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1b50fbb4933b1b17/JGP Shared Folder/Pullman/Board/21-22/22.04/"/>
    </mc:Choice>
  </mc:AlternateContent>
  <xr:revisionPtr revIDLastSave="462" documentId="8_{65CF162F-F679-4923-8B93-1FF41BF50BA5}" xr6:coauthVersionLast="47" xr6:coauthVersionMax="47" xr10:uidLastSave="{7ADE4A06-692F-45F3-93CB-A285BDE7CB05}"/>
  <bookViews>
    <workbookView xWindow="-120" yWindow="-120" windowWidth="29040" windowHeight="15720" xr2:uid="{00000000-000D-0000-FFFF-FFFF00000000}"/>
  </bookViews>
  <sheets>
    <sheet name="Report" sheetId="2" r:id="rId1"/>
    <sheet name="BvA Aug 21" sheetId="3" state="hidden" r:id="rId2"/>
    <sheet name="BS Aug 21" sheetId="4" state="hidden" r:id="rId3"/>
    <sheet name="BS Sep 21" sheetId="5" state="hidden" r:id="rId4"/>
    <sheet name="BvA Sep 21" sheetId="6" state="hidden" r:id="rId5"/>
    <sheet name="BS Oct 21" sheetId="8" state="hidden" r:id="rId6"/>
    <sheet name="BvA Oct 21" sheetId="7" state="hidden" r:id="rId7"/>
    <sheet name="BvA Nov 21" sheetId="9" state="hidden" r:id="rId8"/>
    <sheet name="BvA Dec 21" sheetId="10" state="hidden" r:id="rId9"/>
    <sheet name="BS Jan 22" sheetId="13" state="hidden" r:id="rId10"/>
    <sheet name="BvA Jan 22" sheetId="12" state="hidden" r:id="rId11"/>
    <sheet name="BvA Apr 22" sheetId="18" r:id="rId12"/>
    <sheet name="BS Apr 22" sheetId="19" r:id="rId13"/>
    <sheet name="BvA Mar 22" sheetId="16" r:id="rId14"/>
    <sheet name="BS Mar 22" sheetId="17" r:id="rId15"/>
    <sheet name="BS Feb 22" sheetId="15" r:id="rId16"/>
    <sheet name="BvA Feb 22" sheetId="14" r:id="rId17"/>
    <sheet name="Notes" sheetId="11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9" roundtripDataSignature="AMtx7mhjt4WNjSmUlmRRSgsqt6PXEIjt5A=="/>
    </ext>
  </extLst>
</workbook>
</file>

<file path=xl/calcChain.xml><?xml version="1.0" encoding="utf-8"?>
<calcChain xmlns="http://schemas.openxmlformats.org/spreadsheetml/2006/main">
  <c r="B27" i="2" l="1"/>
  <c r="D27" i="2" s="1"/>
  <c r="B26" i="2"/>
  <c r="D24" i="19"/>
  <c r="D23" i="19"/>
  <c r="D22" i="19"/>
  <c r="K27" i="2"/>
  <c r="I27" i="2"/>
  <c r="C20" i="2"/>
  <c r="B20" i="2"/>
  <c r="D20" i="2" s="1"/>
  <c r="C19" i="2"/>
  <c r="B19" i="2"/>
  <c r="D19" i="2" s="1"/>
  <c r="C18" i="2"/>
  <c r="B18" i="2"/>
  <c r="C17" i="2"/>
  <c r="B17" i="2"/>
  <c r="C16" i="2"/>
  <c r="B16" i="2"/>
  <c r="B21" i="2" s="1"/>
  <c r="C12" i="2"/>
  <c r="B12" i="2"/>
  <c r="E12" i="2" s="1"/>
  <c r="C11" i="2"/>
  <c r="B11" i="2"/>
  <c r="C10" i="2"/>
  <c r="B10" i="2"/>
  <c r="C9" i="2"/>
  <c r="B9" i="2"/>
  <c r="D9" i="2" s="1"/>
  <c r="C8" i="2"/>
  <c r="B8" i="2"/>
  <c r="D8" i="2" s="1"/>
  <c r="D13" i="2" s="1"/>
  <c r="F85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8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8" i="18"/>
  <c r="B49" i="19"/>
  <c r="B48" i="19"/>
  <c r="B47" i="19"/>
  <c r="B43" i="19"/>
  <c r="B44" i="19" s="1"/>
  <c r="B39" i="19"/>
  <c r="B38" i="19"/>
  <c r="B37" i="19"/>
  <c r="B36" i="19"/>
  <c r="B35" i="19"/>
  <c r="B32" i="19"/>
  <c r="B33" i="19" s="1"/>
  <c r="B25" i="19"/>
  <c r="B24" i="19"/>
  <c r="B23" i="19"/>
  <c r="B22" i="19"/>
  <c r="B18" i="19"/>
  <c r="B19" i="19" s="1"/>
  <c r="B15" i="19"/>
  <c r="B16" i="19" s="1"/>
  <c r="B12" i="19"/>
  <c r="B11" i="19"/>
  <c r="B10" i="19"/>
  <c r="B87" i="18"/>
  <c r="B86" i="18"/>
  <c r="D85" i="18"/>
  <c r="C85" i="18"/>
  <c r="C86" i="18" s="1"/>
  <c r="E81" i="18"/>
  <c r="C81" i="18"/>
  <c r="B81" i="18"/>
  <c r="D81" i="18" s="1"/>
  <c r="C80" i="18"/>
  <c r="E80" i="18" s="1"/>
  <c r="B80" i="18"/>
  <c r="D80" i="18" s="1"/>
  <c r="E79" i="18"/>
  <c r="C79" i="18"/>
  <c r="B79" i="18"/>
  <c r="D79" i="18" s="1"/>
  <c r="C78" i="18"/>
  <c r="E78" i="18" s="1"/>
  <c r="B78" i="18"/>
  <c r="D78" i="18" s="1"/>
  <c r="E77" i="18"/>
  <c r="C77" i="18"/>
  <c r="B77" i="18"/>
  <c r="D77" i="18" s="1"/>
  <c r="C76" i="18"/>
  <c r="E76" i="18" s="1"/>
  <c r="E75" i="18"/>
  <c r="D75" i="18"/>
  <c r="C75" i="18"/>
  <c r="B75" i="18"/>
  <c r="C74" i="18"/>
  <c r="E74" i="18" s="1"/>
  <c r="B74" i="18"/>
  <c r="D74" i="18" s="1"/>
  <c r="E73" i="18"/>
  <c r="D73" i="18"/>
  <c r="C73" i="18"/>
  <c r="B73" i="18"/>
  <c r="C72" i="18"/>
  <c r="E72" i="18" s="1"/>
  <c r="B72" i="18"/>
  <c r="D72" i="18" s="1"/>
  <c r="E71" i="18"/>
  <c r="D71" i="18"/>
  <c r="C71" i="18"/>
  <c r="B71" i="18"/>
  <c r="C70" i="18"/>
  <c r="E70" i="18" s="1"/>
  <c r="B70" i="18"/>
  <c r="D70" i="18" s="1"/>
  <c r="E69" i="18"/>
  <c r="D69" i="18"/>
  <c r="C69" i="18"/>
  <c r="B69" i="18"/>
  <c r="E68" i="18"/>
  <c r="B68" i="18"/>
  <c r="D68" i="18" s="1"/>
  <c r="C67" i="18"/>
  <c r="E67" i="18" s="1"/>
  <c r="C66" i="18"/>
  <c r="E66" i="18" s="1"/>
  <c r="C65" i="18"/>
  <c r="E65" i="18" s="1"/>
  <c r="E64" i="18"/>
  <c r="D64" i="18"/>
  <c r="C64" i="18"/>
  <c r="B64" i="18"/>
  <c r="E63" i="18"/>
  <c r="C63" i="18"/>
  <c r="B63" i="18"/>
  <c r="D63" i="18" s="1"/>
  <c r="E62" i="18"/>
  <c r="D62" i="18"/>
  <c r="C62" i="18"/>
  <c r="B62" i="18"/>
  <c r="E61" i="18"/>
  <c r="C61" i="18"/>
  <c r="B61" i="18"/>
  <c r="D61" i="18" s="1"/>
  <c r="E60" i="18"/>
  <c r="D60" i="18"/>
  <c r="B60" i="18"/>
  <c r="D59" i="18"/>
  <c r="C59" i="18"/>
  <c r="E59" i="18" s="1"/>
  <c r="B59" i="18"/>
  <c r="C58" i="18"/>
  <c r="E58" i="18" s="1"/>
  <c r="B58" i="18"/>
  <c r="D57" i="18"/>
  <c r="C57" i="18"/>
  <c r="E57" i="18" s="1"/>
  <c r="B57" i="18"/>
  <c r="C56" i="18"/>
  <c r="E56" i="18" s="1"/>
  <c r="B56" i="18"/>
  <c r="E55" i="18"/>
  <c r="D55" i="18"/>
  <c r="C55" i="18"/>
  <c r="B55" i="18"/>
  <c r="C54" i="18"/>
  <c r="E54" i="18" s="1"/>
  <c r="B54" i="18"/>
  <c r="E53" i="18"/>
  <c r="D53" i="18"/>
  <c r="C53" i="18"/>
  <c r="B53" i="18"/>
  <c r="C52" i="18"/>
  <c r="E52" i="18" s="1"/>
  <c r="B52" i="18"/>
  <c r="E51" i="18"/>
  <c r="D51" i="18"/>
  <c r="B51" i="18"/>
  <c r="C50" i="18"/>
  <c r="E50" i="18" s="1"/>
  <c r="B50" i="18"/>
  <c r="D50" i="18" s="1"/>
  <c r="C49" i="18"/>
  <c r="E49" i="18" s="1"/>
  <c r="B49" i="18"/>
  <c r="C48" i="18"/>
  <c r="E48" i="18" s="1"/>
  <c r="B48" i="18"/>
  <c r="D48" i="18" s="1"/>
  <c r="C47" i="18"/>
  <c r="E47" i="18" s="1"/>
  <c r="B47" i="18"/>
  <c r="C46" i="18"/>
  <c r="E46" i="18" s="1"/>
  <c r="B46" i="18"/>
  <c r="D46" i="18" s="1"/>
  <c r="C45" i="18"/>
  <c r="E45" i="18" s="1"/>
  <c r="B45" i="18"/>
  <c r="C44" i="18"/>
  <c r="E44" i="18" s="1"/>
  <c r="E43" i="18"/>
  <c r="C43" i="18"/>
  <c r="B43" i="18"/>
  <c r="D43" i="18" s="1"/>
  <c r="C42" i="18"/>
  <c r="E42" i="18" s="1"/>
  <c r="B42" i="18"/>
  <c r="D42" i="18" s="1"/>
  <c r="E41" i="18"/>
  <c r="C41" i="18"/>
  <c r="D41" i="18" s="1"/>
  <c r="E40" i="18"/>
  <c r="C40" i="18"/>
  <c r="B40" i="18"/>
  <c r="D40" i="18" s="1"/>
  <c r="E39" i="18"/>
  <c r="D39" i="18"/>
  <c r="C39" i="18"/>
  <c r="B39" i="18"/>
  <c r="E38" i="18"/>
  <c r="C38" i="18"/>
  <c r="B38" i="18"/>
  <c r="D38" i="18" s="1"/>
  <c r="E37" i="18"/>
  <c r="D37" i="18"/>
  <c r="C37" i="18"/>
  <c r="B37" i="18"/>
  <c r="E36" i="18"/>
  <c r="B36" i="18"/>
  <c r="D36" i="18" s="1"/>
  <c r="C35" i="18"/>
  <c r="E35" i="18" s="1"/>
  <c r="B35" i="18"/>
  <c r="E34" i="18"/>
  <c r="D34" i="18"/>
  <c r="C34" i="18"/>
  <c r="B34" i="18"/>
  <c r="C33" i="18"/>
  <c r="E33" i="18" s="1"/>
  <c r="B33" i="18"/>
  <c r="E32" i="18"/>
  <c r="D32" i="18"/>
  <c r="C32" i="18"/>
  <c r="B32" i="18"/>
  <c r="C31" i="18"/>
  <c r="E31" i="18" s="1"/>
  <c r="B31" i="18"/>
  <c r="E30" i="18"/>
  <c r="D30" i="18"/>
  <c r="C30" i="18"/>
  <c r="B30" i="18"/>
  <c r="C29" i="18"/>
  <c r="E29" i="18" s="1"/>
  <c r="B29" i="18"/>
  <c r="E28" i="18"/>
  <c r="D28" i="18"/>
  <c r="C28" i="18"/>
  <c r="C82" i="18" s="1"/>
  <c r="E82" i="18" s="1"/>
  <c r="B28" i="18"/>
  <c r="B82" i="18" s="1"/>
  <c r="C24" i="18"/>
  <c r="E24" i="18" s="1"/>
  <c r="B24" i="18"/>
  <c r="E23" i="18"/>
  <c r="D23" i="18"/>
  <c r="C23" i="18"/>
  <c r="B23" i="18"/>
  <c r="C22" i="18"/>
  <c r="E22" i="18" s="1"/>
  <c r="B22" i="18"/>
  <c r="E21" i="18"/>
  <c r="D21" i="18"/>
  <c r="C21" i="18"/>
  <c r="B21" i="18"/>
  <c r="C20" i="18"/>
  <c r="E20" i="18" s="1"/>
  <c r="C19" i="18"/>
  <c r="E19" i="18" s="1"/>
  <c r="C18" i="18"/>
  <c r="E18" i="18" s="1"/>
  <c r="E17" i="18"/>
  <c r="D17" i="18"/>
  <c r="B17" i="18"/>
  <c r="E16" i="18"/>
  <c r="D16" i="18"/>
  <c r="C16" i="18"/>
  <c r="C15" i="18"/>
  <c r="E15" i="18" s="1"/>
  <c r="B15" i="18"/>
  <c r="D15" i="18" s="1"/>
  <c r="C14" i="18"/>
  <c r="E14" i="18" s="1"/>
  <c r="B14" i="18"/>
  <c r="C13" i="18"/>
  <c r="E13" i="18" s="1"/>
  <c r="B13" i="18"/>
  <c r="D13" i="18" s="1"/>
  <c r="C12" i="18"/>
  <c r="E12" i="18" s="1"/>
  <c r="B12" i="18"/>
  <c r="C11" i="18"/>
  <c r="E11" i="18" s="1"/>
  <c r="B11" i="18"/>
  <c r="D11" i="18" s="1"/>
  <c r="E10" i="18"/>
  <c r="B10" i="18"/>
  <c r="D10" i="18" s="1"/>
  <c r="E9" i="18"/>
  <c r="B9" i="18"/>
  <c r="D9" i="18" s="1"/>
  <c r="E8" i="18"/>
  <c r="D8" i="18"/>
  <c r="C8" i="18"/>
  <c r="C25" i="18" s="1"/>
  <c r="B8" i="18"/>
  <c r="B25" i="18" s="1"/>
  <c r="D23" i="17"/>
  <c r="D22" i="17"/>
  <c r="D21" i="17"/>
  <c r="C23" i="17"/>
  <c r="C22" i="17"/>
  <c r="C21" i="17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B31" i="17"/>
  <c r="B32" i="17"/>
  <c r="B34" i="17"/>
  <c r="B35" i="17"/>
  <c r="B36" i="17"/>
  <c r="B37" i="17"/>
  <c r="B38" i="17"/>
  <c r="B39" i="17"/>
  <c r="B40" i="17"/>
  <c r="B42" i="17"/>
  <c r="B43" i="17"/>
  <c r="B44" i="17"/>
  <c r="B46" i="17"/>
  <c r="B47" i="17"/>
  <c r="B48" i="17"/>
  <c r="B49" i="17"/>
  <c r="B50" i="17"/>
  <c r="B9" i="17"/>
  <c r="B10" i="17"/>
  <c r="B11" i="17"/>
  <c r="B12" i="17"/>
  <c r="B14" i="17"/>
  <c r="B15" i="17"/>
  <c r="B17" i="17"/>
  <c r="B18" i="17"/>
  <c r="B19" i="17"/>
  <c r="B21" i="17"/>
  <c r="B22" i="17"/>
  <c r="B23" i="17"/>
  <c r="B24" i="17"/>
  <c r="B25" i="17"/>
  <c r="B26" i="17"/>
  <c r="C8" i="16"/>
  <c r="C10" i="16"/>
  <c r="C11" i="16"/>
  <c r="C12" i="16"/>
  <c r="C13" i="16"/>
  <c r="C14" i="16"/>
  <c r="C15" i="16"/>
  <c r="C18" i="16"/>
  <c r="C19" i="16"/>
  <c r="C20" i="16"/>
  <c r="C21" i="16"/>
  <c r="C23" i="16"/>
  <c r="C24" i="16"/>
  <c r="C25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50" i="16"/>
  <c r="C51" i="16"/>
  <c r="C52" i="16"/>
  <c r="C53" i="16"/>
  <c r="C54" i="16"/>
  <c r="C55" i="16"/>
  <c r="C56" i="16"/>
  <c r="C57" i="16"/>
  <c r="C59" i="16"/>
  <c r="C60" i="16"/>
  <c r="C61" i="16"/>
  <c r="C62" i="16"/>
  <c r="C63" i="16"/>
  <c r="C64" i="16"/>
  <c r="C65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3" i="16"/>
  <c r="C84" i="16"/>
  <c r="C85" i="16"/>
  <c r="C86" i="16"/>
  <c r="B8" i="16"/>
  <c r="B9" i="16"/>
  <c r="B10" i="16"/>
  <c r="B11" i="16"/>
  <c r="B12" i="16"/>
  <c r="B13" i="16"/>
  <c r="B14" i="16"/>
  <c r="B16" i="16"/>
  <c r="B20" i="16"/>
  <c r="B21" i="16"/>
  <c r="B22" i="16"/>
  <c r="B23" i="16"/>
  <c r="B24" i="16"/>
  <c r="B25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40" i="16"/>
  <c r="B41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8" i="16"/>
  <c r="B59" i="16"/>
  <c r="B60" i="16"/>
  <c r="B61" i="16"/>
  <c r="B62" i="16"/>
  <c r="B66" i="16"/>
  <c r="B67" i="16"/>
  <c r="B68" i="16"/>
  <c r="B69" i="16"/>
  <c r="B70" i="16"/>
  <c r="B71" i="16"/>
  <c r="B72" i="16"/>
  <c r="B73" i="16"/>
  <c r="B75" i="16"/>
  <c r="B76" i="16"/>
  <c r="B77" i="16"/>
  <c r="B78" i="16"/>
  <c r="B79" i="16"/>
  <c r="B80" i="16"/>
  <c r="B81" i="16"/>
  <c r="B84" i="16"/>
  <c r="B85" i="16"/>
  <c r="B86" i="16"/>
  <c r="E86" i="16"/>
  <c r="D86" i="16"/>
  <c r="E85" i="16"/>
  <c r="D85" i="16"/>
  <c r="E84" i="16"/>
  <c r="D84" i="16"/>
  <c r="E83" i="16"/>
  <c r="D83" i="16"/>
  <c r="E81" i="16"/>
  <c r="D81" i="16"/>
  <c r="E80" i="16"/>
  <c r="D80" i="16"/>
  <c r="E79" i="16"/>
  <c r="D79" i="16"/>
  <c r="E78" i="16"/>
  <c r="D78" i="16"/>
  <c r="E77" i="16"/>
  <c r="D77" i="16"/>
  <c r="E76" i="16"/>
  <c r="D76" i="16"/>
  <c r="E75" i="16"/>
  <c r="D75" i="16"/>
  <c r="E74" i="16"/>
  <c r="D74" i="16"/>
  <c r="E73" i="16"/>
  <c r="D73" i="16"/>
  <c r="E72" i="16"/>
  <c r="D72" i="16"/>
  <c r="E71" i="16"/>
  <c r="D71" i="16"/>
  <c r="E70" i="16"/>
  <c r="D70" i="16"/>
  <c r="E69" i="16"/>
  <c r="D69" i="16"/>
  <c r="E68" i="16"/>
  <c r="D68" i="16"/>
  <c r="E67" i="16"/>
  <c r="D67" i="16"/>
  <c r="E66" i="16"/>
  <c r="D66" i="16"/>
  <c r="E65" i="16"/>
  <c r="D65" i="16"/>
  <c r="E64" i="16"/>
  <c r="D64" i="16"/>
  <c r="E63" i="16"/>
  <c r="D63" i="16"/>
  <c r="E62" i="16"/>
  <c r="D62" i="16"/>
  <c r="E61" i="16"/>
  <c r="D61" i="16"/>
  <c r="E60" i="16"/>
  <c r="D60" i="16"/>
  <c r="E59" i="16"/>
  <c r="D59" i="16"/>
  <c r="E58" i="16"/>
  <c r="D58" i="16"/>
  <c r="E57" i="16"/>
  <c r="D57" i="16"/>
  <c r="E56" i="16"/>
  <c r="D56" i="16"/>
  <c r="E55" i="16"/>
  <c r="D55" i="16"/>
  <c r="E54" i="16"/>
  <c r="D54" i="16"/>
  <c r="E53" i="16"/>
  <c r="D53" i="16"/>
  <c r="E52" i="16"/>
  <c r="D52" i="16"/>
  <c r="E51" i="16"/>
  <c r="D51" i="16"/>
  <c r="E50" i="16"/>
  <c r="D50" i="16"/>
  <c r="E49" i="16"/>
  <c r="D49" i="16"/>
  <c r="E48" i="16"/>
  <c r="D48" i="16"/>
  <c r="E47" i="16"/>
  <c r="D47" i="16"/>
  <c r="E46" i="16"/>
  <c r="D46" i="16"/>
  <c r="E45" i="16"/>
  <c r="D45" i="16"/>
  <c r="E44" i="16"/>
  <c r="D44" i="16"/>
  <c r="E43" i="16"/>
  <c r="D43" i="16"/>
  <c r="E42" i="16"/>
  <c r="D42" i="16"/>
  <c r="E41" i="16"/>
  <c r="D41" i="16"/>
  <c r="E40" i="16"/>
  <c r="D40" i="16"/>
  <c r="E39" i="16"/>
  <c r="D39" i="16"/>
  <c r="E38" i="16"/>
  <c r="D38" i="16"/>
  <c r="E37" i="16"/>
  <c r="D37" i="16"/>
  <c r="E36" i="16"/>
  <c r="D36" i="16"/>
  <c r="E35" i="16"/>
  <c r="D35" i="16"/>
  <c r="E34" i="16"/>
  <c r="D34" i="16"/>
  <c r="E33" i="16"/>
  <c r="D33" i="16"/>
  <c r="E32" i="16"/>
  <c r="D32" i="16"/>
  <c r="E31" i="16"/>
  <c r="D31" i="16"/>
  <c r="E30" i="16"/>
  <c r="D30" i="16"/>
  <c r="E29" i="16"/>
  <c r="D29" i="16"/>
  <c r="E28" i="16"/>
  <c r="D28" i="16"/>
  <c r="E27" i="16"/>
  <c r="D27" i="16"/>
  <c r="E25" i="16"/>
  <c r="D25" i="16"/>
  <c r="E24" i="16"/>
  <c r="D24" i="16"/>
  <c r="E23" i="16"/>
  <c r="D23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E11" i="16"/>
  <c r="D11" i="16"/>
  <c r="E10" i="16"/>
  <c r="D10" i="16"/>
  <c r="E9" i="16"/>
  <c r="D9" i="16"/>
  <c r="E8" i="16"/>
  <c r="D8" i="16"/>
  <c r="C23" i="15"/>
  <c r="D23" i="15"/>
  <c r="C22" i="15"/>
  <c r="D22" i="15"/>
  <c r="C21" i="15"/>
  <c r="D21" i="15"/>
  <c r="B9" i="15"/>
  <c r="B10" i="15"/>
  <c r="B11" i="15"/>
  <c r="B12" i="15"/>
  <c r="B14" i="15"/>
  <c r="B15" i="15"/>
  <c r="B17" i="15"/>
  <c r="B18" i="15"/>
  <c r="B19" i="15"/>
  <c r="B21" i="15"/>
  <c r="B22" i="15"/>
  <c r="B23" i="15"/>
  <c r="B24" i="15"/>
  <c r="B25" i="15"/>
  <c r="B26" i="15"/>
  <c r="B31" i="15"/>
  <c r="B32" i="15"/>
  <c r="B34" i="15"/>
  <c r="B35" i="15"/>
  <c r="B36" i="15"/>
  <c r="B37" i="15"/>
  <c r="B38" i="15"/>
  <c r="B39" i="15"/>
  <c r="B41" i="15"/>
  <c r="B42" i="15"/>
  <c r="B43" i="15"/>
  <c r="B45" i="15"/>
  <c r="B46" i="15"/>
  <c r="B47" i="15"/>
  <c r="B48" i="15"/>
  <c r="B49" i="15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C8" i="14"/>
  <c r="C10" i="14"/>
  <c r="C11" i="14"/>
  <c r="C12" i="14"/>
  <c r="C13" i="14"/>
  <c r="C14" i="14"/>
  <c r="C15" i="14"/>
  <c r="C17" i="14"/>
  <c r="C18" i="14"/>
  <c r="C19" i="14"/>
  <c r="C20" i="14"/>
  <c r="C21" i="14"/>
  <c r="C22" i="14"/>
  <c r="C23" i="14"/>
  <c r="C24" i="14"/>
  <c r="C25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50" i="14"/>
  <c r="C51" i="14"/>
  <c r="C52" i="14"/>
  <c r="C53" i="14"/>
  <c r="C54" i="14"/>
  <c r="C55" i="14"/>
  <c r="C56" i="14"/>
  <c r="C57" i="14"/>
  <c r="C59" i="14"/>
  <c r="C60" i="14"/>
  <c r="C61" i="14"/>
  <c r="C62" i="14"/>
  <c r="C63" i="14"/>
  <c r="C64" i="14"/>
  <c r="C65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3" i="14"/>
  <c r="C84" i="14"/>
  <c r="C85" i="14"/>
  <c r="C86" i="14"/>
  <c r="B8" i="14"/>
  <c r="B9" i="14"/>
  <c r="B10" i="14"/>
  <c r="B11" i="14"/>
  <c r="B12" i="14"/>
  <c r="B13" i="14"/>
  <c r="B14" i="14"/>
  <c r="B16" i="14"/>
  <c r="B17" i="14"/>
  <c r="B20" i="14"/>
  <c r="B21" i="14"/>
  <c r="B22" i="14"/>
  <c r="B23" i="14"/>
  <c r="B24" i="14"/>
  <c r="B25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40" i="14"/>
  <c r="B41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8" i="14"/>
  <c r="B59" i="14"/>
  <c r="B60" i="14"/>
  <c r="B61" i="14"/>
  <c r="B62" i="14"/>
  <c r="B66" i="14"/>
  <c r="B67" i="14"/>
  <c r="B68" i="14"/>
  <c r="B69" i="14"/>
  <c r="B70" i="14"/>
  <c r="B71" i="14"/>
  <c r="B73" i="14"/>
  <c r="B75" i="14"/>
  <c r="B76" i="14"/>
  <c r="B77" i="14"/>
  <c r="B78" i="14"/>
  <c r="B79" i="14"/>
  <c r="B80" i="14"/>
  <c r="B81" i="14"/>
  <c r="B84" i="14"/>
  <c r="B85" i="14"/>
  <c r="B86" i="14"/>
  <c r="E86" i="14"/>
  <c r="D86" i="14"/>
  <c r="E85" i="14"/>
  <c r="D85" i="14"/>
  <c r="E84" i="14"/>
  <c r="D84" i="14"/>
  <c r="E83" i="14"/>
  <c r="D83" i="14"/>
  <c r="E81" i="14"/>
  <c r="D81" i="14"/>
  <c r="E80" i="14"/>
  <c r="D80" i="14"/>
  <c r="E79" i="14"/>
  <c r="D79" i="14"/>
  <c r="E78" i="14"/>
  <c r="D78" i="14"/>
  <c r="E77" i="14"/>
  <c r="D77" i="14"/>
  <c r="E76" i="14"/>
  <c r="D76" i="14"/>
  <c r="E75" i="14"/>
  <c r="D75" i="14"/>
  <c r="E74" i="14"/>
  <c r="D74" i="14"/>
  <c r="E73" i="14"/>
  <c r="D73" i="14"/>
  <c r="E72" i="14"/>
  <c r="D72" i="14"/>
  <c r="E71" i="14"/>
  <c r="D71" i="14"/>
  <c r="E70" i="14"/>
  <c r="D70" i="14"/>
  <c r="E69" i="14"/>
  <c r="D69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E62" i="14"/>
  <c r="D62" i="14"/>
  <c r="E61" i="14"/>
  <c r="D61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2" i="14"/>
  <c r="D52" i="14"/>
  <c r="E51" i="14"/>
  <c r="D51" i="14"/>
  <c r="E50" i="14"/>
  <c r="D50" i="14"/>
  <c r="E49" i="14"/>
  <c r="D49" i="14"/>
  <c r="E48" i="14"/>
  <c r="D48" i="14"/>
  <c r="E47" i="14"/>
  <c r="D47" i="14"/>
  <c r="E46" i="14"/>
  <c r="D46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E11" i="14"/>
  <c r="D11" i="14"/>
  <c r="E10" i="14"/>
  <c r="D10" i="14"/>
  <c r="E9" i="14"/>
  <c r="D9" i="14"/>
  <c r="E8" i="14"/>
  <c r="D8" i="14"/>
  <c r="D23" i="13"/>
  <c r="D22" i="13"/>
  <c r="D21" i="13"/>
  <c r="C23" i="13"/>
  <c r="C22" i="13"/>
  <c r="C21" i="13"/>
  <c r="T35" i="2"/>
  <c r="S35" i="2"/>
  <c r="R35" i="2"/>
  <c r="Q35" i="2"/>
  <c r="P35" i="2"/>
  <c r="O35" i="2"/>
  <c r="N35" i="2"/>
  <c r="M35" i="2"/>
  <c r="L35" i="2"/>
  <c r="K35" i="2"/>
  <c r="J35" i="2"/>
  <c r="I35" i="2"/>
  <c r="C28" i="2"/>
  <c r="D26" i="2"/>
  <c r="E27" i="2"/>
  <c r="B28" i="2"/>
  <c r="D28" i="2" s="1"/>
  <c r="E26" i="2"/>
  <c r="B9" i="13"/>
  <c r="B10" i="13"/>
  <c r="B11" i="13"/>
  <c r="B12" i="13"/>
  <c r="B19" i="13"/>
  <c r="B26" i="13"/>
  <c r="B14" i="13"/>
  <c r="B15" i="13"/>
  <c r="B17" i="13"/>
  <c r="B18" i="13"/>
  <c r="B21" i="13"/>
  <c r="B22" i="13"/>
  <c r="B23" i="13"/>
  <c r="B24" i="13"/>
  <c r="B25" i="13"/>
  <c r="B31" i="13"/>
  <c r="B32" i="13"/>
  <c r="B39" i="13"/>
  <c r="B43" i="13"/>
  <c r="B49" i="13"/>
  <c r="B34" i="13"/>
  <c r="B35" i="13"/>
  <c r="B36" i="13"/>
  <c r="B37" i="13"/>
  <c r="B38" i="13"/>
  <c r="B41" i="13"/>
  <c r="B42" i="13"/>
  <c r="B45" i="13"/>
  <c r="B46" i="13"/>
  <c r="B47" i="13"/>
  <c r="B48" i="13"/>
  <c r="F88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6" i="12"/>
  <c r="F25" i="12"/>
  <c r="F24" i="12"/>
  <c r="F23" i="12"/>
  <c r="F22" i="12"/>
  <c r="F21" i="12"/>
  <c r="F20" i="12"/>
  <c r="F19" i="12"/>
  <c r="F17" i="12"/>
  <c r="F16" i="12"/>
  <c r="F15" i="12"/>
  <c r="F14" i="12"/>
  <c r="F13" i="12"/>
  <c r="F12" i="12"/>
  <c r="F11" i="12"/>
  <c r="F9" i="12"/>
  <c r="F8" i="12"/>
  <c r="B8" i="12"/>
  <c r="C8" i="12"/>
  <c r="D8" i="12"/>
  <c r="E8" i="12"/>
  <c r="C9" i="12"/>
  <c r="D9" i="12"/>
  <c r="E9" i="12"/>
  <c r="B10" i="12"/>
  <c r="D10" i="12"/>
  <c r="E10" i="12"/>
  <c r="B11" i="12"/>
  <c r="D11" i="12"/>
  <c r="C11" i="12"/>
  <c r="C27" i="12"/>
  <c r="B12" i="12"/>
  <c r="D12" i="12"/>
  <c r="C12" i="12"/>
  <c r="E12" i="12"/>
  <c r="B13" i="12"/>
  <c r="C13" i="12"/>
  <c r="D13" i="12"/>
  <c r="B14" i="12"/>
  <c r="D14" i="12"/>
  <c r="C14" i="12"/>
  <c r="E14" i="12"/>
  <c r="B15" i="12"/>
  <c r="C15" i="12"/>
  <c r="D15" i="12"/>
  <c r="C16" i="12"/>
  <c r="E16" i="12"/>
  <c r="D16" i="12"/>
  <c r="C17" i="12"/>
  <c r="D17" i="12"/>
  <c r="E17" i="12"/>
  <c r="B18" i="12"/>
  <c r="D18" i="12"/>
  <c r="E18" i="12"/>
  <c r="C19" i="12"/>
  <c r="D19" i="12"/>
  <c r="B20" i="12"/>
  <c r="D20" i="12"/>
  <c r="E20" i="12"/>
  <c r="C21" i="12"/>
  <c r="D21" i="12"/>
  <c r="E21" i="12"/>
  <c r="C22" i="12"/>
  <c r="D22" i="12"/>
  <c r="E22" i="12"/>
  <c r="B23" i="12"/>
  <c r="D23" i="12"/>
  <c r="C23" i="12"/>
  <c r="B24" i="12"/>
  <c r="D24" i="12"/>
  <c r="C24" i="12"/>
  <c r="B25" i="12"/>
  <c r="D25" i="12"/>
  <c r="C25" i="12"/>
  <c r="E25" i="12"/>
  <c r="B26" i="12"/>
  <c r="D26" i="12"/>
  <c r="C26" i="12"/>
  <c r="B30" i="12"/>
  <c r="D30" i="12"/>
  <c r="C30" i="12"/>
  <c r="E30" i="12"/>
  <c r="B31" i="12"/>
  <c r="D31" i="12"/>
  <c r="C31" i="12"/>
  <c r="B32" i="12"/>
  <c r="D32" i="12"/>
  <c r="C32" i="12"/>
  <c r="E32" i="12"/>
  <c r="B33" i="12"/>
  <c r="D33" i="12"/>
  <c r="C33" i="12"/>
  <c r="B34" i="12"/>
  <c r="D34" i="12"/>
  <c r="C34" i="12"/>
  <c r="E34" i="12"/>
  <c r="B35" i="12"/>
  <c r="D35" i="12"/>
  <c r="C35" i="12"/>
  <c r="B36" i="12"/>
  <c r="D36" i="12"/>
  <c r="E36" i="12"/>
  <c r="B37" i="12"/>
  <c r="D37" i="12"/>
  <c r="C37" i="12"/>
  <c r="C85" i="12"/>
  <c r="E85" i="12"/>
  <c r="B38" i="12"/>
  <c r="C38" i="12"/>
  <c r="D38" i="12"/>
  <c r="B39" i="12"/>
  <c r="D39" i="12"/>
  <c r="C39" i="12"/>
  <c r="E39" i="12"/>
  <c r="B40" i="12"/>
  <c r="C40" i="12"/>
  <c r="D40" i="12"/>
  <c r="B41" i="12"/>
  <c r="D41" i="12"/>
  <c r="C41" i="12"/>
  <c r="E41" i="12"/>
  <c r="C42" i="12"/>
  <c r="D42" i="12"/>
  <c r="E42" i="12"/>
  <c r="B43" i="12"/>
  <c r="C43" i="12"/>
  <c r="E43" i="12"/>
  <c r="D43" i="12"/>
  <c r="B44" i="12"/>
  <c r="C44" i="12"/>
  <c r="D44" i="12"/>
  <c r="E44" i="12"/>
  <c r="C45" i="12"/>
  <c r="D45" i="12"/>
  <c r="E45" i="12"/>
  <c r="C46" i="12"/>
  <c r="D46" i="12"/>
  <c r="E46" i="12"/>
  <c r="B47" i="12"/>
  <c r="D47" i="12"/>
  <c r="C47" i="12"/>
  <c r="E47" i="12"/>
  <c r="B48" i="12"/>
  <c r="D48" i="12"/>
  <c r="C48" i="12"/>
  <c r="B49" i="12"/>
  <c r="D49" i="12"/>
  <c r="C49" i="12"/>
  <c r="E49" i="12"/>
  <c r="B50" i="12"/>
  <c r="D50" i="12"/>
  <c r="C50" i="12"/>
  <c r="B51" i="12"/>
  <c r="D51" i="12"/>
  <c r="C51" i="12"/>
  <c r="E51" i="12"/>
  <c r="C52" i="12"/>
  <c r="D52" i="12"/>
  <c r="B53" i="12"/>
  <c r="C53" i="12"/>
  <c r="D53" i="12"/>
  <c r="B54" i="12"/>
  <c r="D54" i="12"/>
  <c r="C54" i="12"/>
  <c r="E54" i="12"/>
  <c r="B55" i="12"/>
  <c r="C55" i="12"/>
  <c r="D55" i="12"/>
  <c r="B56" i="12"/>
  <c r="D56" i="12"/>
  <c r="C56" i="12"/>
  <c r="E56" i="12"/>
  <c r="B57" i="12"/>
  <c r="C57" i="12"/>
  <c r="D57" i="12"/>
  <c r="B58" i="12"/>
  <c r="D58" i="12"/>
  <c r="C58" i="12"/>
  <c r="E58" i="12"/>
  <c r="B59" i="12"/>
  <c r="C59" i="12"/>
  <c r="D59" i="12"/>
  <c r="C60" i="12"/>
  <c r="E60" i="12"/>
  <c r="D60" i="12"/>
  <c r="B61" i="12"/>
  <c r="D61" i="12"/>
  <c r="E61" i="12"/>
  <c r="B62" i="12"/>
  <c r="C62" i="12"/>
  <c r="D62" i="12"/>
  <c r="E62" i="12"/>
  <c r="B63" i="12"/>
  <c r="C63" i="12"/>
  <c r="D63" i="12"/>
  <c r="E63" i="12"/>
  <c r="B64" i="12"/>
  <c r="C64" i="12"/>
  <c r="D64" i="12"/>
  <c r="E64" i="12"/>
  <c r="B65" i="12"/>
  <c r="C65" i="12"/>
  <c r="D65" i="12"/>
  <c r="E65" i="12"/>
  <c r="C66" i="12"/>
  <c r="D66" i="12"/>
  <c r="E66" i="12"/>
  <c r="C67" i="12"/>
  <c r="D67" i="12"/>
  <c r="C68" i="12"/>
  <c r="D68" i="12"/>
  <c r="E68" i="12"/>
  <c r="B69" i="12"/>
  <c r="D69" i="12"/>
  <c r="E69" i="12"/>
  <c r="B70" i="12"/>
  <c r="C70" i="12"/>
  <c r="D70" i="12"/>
  <c r="E70" i="12"/>
  <c r="B71" i="12"/>
  <c r="C71" i="12"/>
  <c r="D71" i="12"/>
  <c r="E71" i="12"/>
  <c r="B72" i="12"/>
  <c r="C72" i="12"/>
  <c r="D72" i="12"/>
  <c r="E72" i="12"/>
  <c r="B73" i="12"/>
  <c r="C73" i="12"/>
  <c r="D73" i="12"/>
  <c r="E73" i="12"/>
  <c r="B74" i="12"/>
  <c r="D74" i="12"/>
  <c r="C74" i="12"/>
  <c r="E74" i="12"/>
  <c r="C75" i="12"/>
  <c r="D75" i="12"/>
  <c r="E75" i="12"/>
  <c r="B76" i="12"/>
  <c r="D76" i="12"/>
  <c r="C76" i="12"/>
  <c r="E76" i="12"/>
  <c r="C77" i="12"/>
  <c r="D77" i="12"/>
  <c r="C78" i="12"/>
  <c r="E78" i="12"/>
  <c r="D78" i="12"/>
  <c r="B79" i="12"/>
  <c r="C79" i="12"/>
  <c r="D79" i="12"/>
  <c r="E79" i="12"/>
  <c r="B80" i="12"/>
  <c r="D80" i="12"/>
  <c r="E80" i="12"/>
  <c r="B81" i="12"/>
  <c r="C81" i="12"/>
  <c r="D81" i="12"/>
  <c r="E81" i="12"/>
  <c r="B82" i="12"/>
  <c r="C82" i="12"/>
  <c r="D82" i="12"/>
  <c r="E82" i="12"/>
  <c r="C83" i="12"/>
  <c r="D83" i="12"/>
  <c r="E83" i="12"/>
  <c r="B84" i="12"/>
  <c r="D84" i="12"/>
  <c r="C84" i="12"/>
  <c r="E84" i="12"/>
  <c r="B85" i="12"/>
  <c r="D85" i="12"/>
  <c r="C88" i="12"/>
  <c r="D88" i="12"/>
  <c r="B89" i="12"/>
  <c r="B90" i="12"/>
  <c r="B89" i="10"/>
  <c r="B88" i="10"/>
  <c r="D88" i="10"/>
  <c r="C87" i="10"/>
  <c r="C88" i="10"/>
  <c r="E83" i="10"/>
  <c r="C83" i="10"/>
  <c r="D83" i="10"/>
  <c r="C82" i="10"/>
  <c r="E82" i="10"/>
  <c r="C81" i="10"/>
  <c r="E81" i="10"/>
  <c r="B81" i="10"/>
  <c r="C80" i="10"/>
  <c r="E80" i="10"/>
  <c r="B80" i="10"/>
  <c r="D80" i="10"/>
  <c r="E79" i="10"/>
  <c r="B79" i="10"/>
  <c r="D79" i="10"/>
  <c r="C78" i="10"/>
  <c r="B78" i="10"/>
  <c r="E78" i="10"/>
  <c r="D77" i="10"/>
  <c r="C77" i="10"/>
  <c r="E77" i="10"/>
  <c r="E76" i="10"/>
  <c r="D76" i="10"/>
  <c r="C76" i="10"/>
  <c r="C75" i="10"/>
  <c r="E75" i="10"/>
  <c r="B75" i="10"/>
  <c r="D75" i="10"/>
  <c r="D74" i="10"/>
  <c r="C74" i="10"/>
  <c r="E74" i="10"/>
  <c r="C73" i="10"/>
  <c r="E73" i="10"/>
  <c r="B73" i="10"/>
  <c r="D73" i="10"/>
  <c r="C72" i="10"/>
  <c r="E72" i="10"/>
  <c r="B72" i="10"/>
  <c r="D72" i="10"/>
  <c r="C71" i="10"/>
  <c r="E71" i="10"/>
  <c r="B71" i="10"/>
  <c r="D71" i="10"/>
  <c r="C70" i="10"/>
  <c r="E70" i="10"/>
  <c r="B70" i="10"/>
  <c r="D70" i="10"/>
  <c r="C69" i="10"/>
  <c r="E69" i="10"/>
  <c r="B69" i="10"/>
  <c r="D69" i="10"/>
  <c r="E68" i="10"/>
  <c r="B68" i="10"/>
  <c r="D68" i="10"/>
  <c r="E67" i="10"/>
  <c r="C67" i="10"/>
  <c r="D67" i="10"/>
  <c r="C66" i="10"/>
  <c r="E66" i="10"/>
  <c r="D65" i="10"/>
  <c r="C65" i="10"/>
  <c r="E65" i="10"/>
  <c r="C64" i="10"/>
  <c r="E64" i="10"/>
  <c r="B64" i="10"/>
  <c r="D64" i="10"/>
  <c r="C63" i="10"/>
  <c r="E63" i="10"/>
  <c r="B63" i="10"/>
  <c r="D63" i="10"/>
  <c r="C62" i="10"/>
  <c r="E62" i="10"/>
  <c r="B62" i="10"/>
  <c r="D62" i="10"/>
  <c r="C61" i="10"/>
  <c r="E61" i="10"/>
  <c r="B61" i="10"/>
  <c r="D61" i="10"/>
  <c r="E60" i="10"/>
  <c r="B60" i="10"/>
  <c r="D60" i="10"/>
  <c r="D59" i="10"/>
  <c r="C59" i="10"/>
  <c r="E59" i="10"/>
  <c r="E58" i="10"/>
  <c r="C58" i="10"/>
  <c r="D58" i="10"/>
  <c r="B58" i="10"/>
  <c r="C57" i="10"/>
  <c r="E57" i="10"/>
  <c r="B57" i="10"/>
  <c r="D57" i="10"/>
  <c r="E56" i="10"/>
  <c r="C56" i="10"/>
  <c r="D56" i="10"/>
  <c r="B56" i="10"/>
  <c r="C55" i="10"/>
  <c r="E55" i="10"/>
  <c r="B55" i="10"/>
  <c r="D55" i="10"/>
  <c r="E54" i="10"/>
  <c r="C54" i="10"/>
  <c r="D54" i="10"/>
  <c r="B54" i="10"/>
  <c r="C53" i="10"/>
  <c r="E53" i="10"/>
  <c r="B53" i="10"/>
  <c r="D53" i="10"/>
  <c r="E52" i="10"/>
  <c r="C52" i="10"/>
  <c r="D52" i="10"/>
  <c r="C51" i="10"/>
  <c r="E51" i="10"/>
  <c r="C50" i="10"/>
  <c r="E50" i="10"/>
  <c r="B50" i="10"/>
  <c r="D50" i="10"/>
  <c r="E49" i="10"/>
  <c r="C49" i="10"/>
  <c r="D49" i="10"/>
  <c r="C48" i="10"/>
  <c r="E48" i="10"/>
  <c r="B48" i="10"/>
  <c r="D48" i="10"/>
  <c r="E47" i="10"/>
  <c r="D47" i="10"/>
  <c r="C47" i="10"/>
  <c r="B47" i="10"/>
  <c r="C46" i="10"/>
  <c r="E46" i="10"/>
  <c r="B46" i="10"/>
  <c r="D46" i="10"/>
  <c r="E45" i="10"/>
  <c r="D45" i="10"/>
  <c r="C45" i="10"/>
  <c r="C44" i="10"/>
  <c r="E44" i="10"/>
  <c r="D43" i="10"/>
  <c r="C43" i="10"/>
  <c r="E43" i="10"/>
  <c r="B43" i="10"/>
  <c r="C42" i="10"/>
  <c r="E42" i="10"/>
  <c r="B42" i="10"/>
  <c r="D42" i="10"/>
  <c r="D41" i="10"/>
  <c r="C41" i="10"/>
  <c r="E41" i="10"/>
  <c r="E40" i="10"/>
  <c r="C40" i="10"/>
  <c r="B40" i="10"/>
  <c r="D40" i="10"/>
  <c r="C39" i="10"/>
  <c r="E39" i="10"/>
  <c r="B39" i="10"/>
  <c r="D39" i="10"/>
  <c r="E38" i="10"/>
  <c r="C38" i="10"/>
  <c r="B38" i="10"/>
  <c r="D38" i="10"/>
  <c r="C37" i="10"/>
  <c r="E37" i="10"/>
  <c r="B37" i="10"/>
  <c r="D37" i="10"/>
  <c r="E36" i="10"/>
  <c r="C36" i="10"/>
  <c r="B36" i="10"/>
  <c r="D36" i="10"/>
  <c r="E35" i="10"/>
  <c r="B35" i="10"/>
  <c r="D35" i="10"/>
  <c r="E34" i="10"/>
  <c r="D34" i="10"/>
  <c r="C34" i="10"/>
  <c r="B34" i="10"/>
  <c r="C33" i="10"/>
  <c r="E33" i="10"/>
  <c r="B33" i="10"/>
  <c r="D33" i="10"/>
  <c r="E32" i="10"/>
  <c r="D32" i="10"/>
  <c r="C32" i="10"/>
  <c r="B32" i="10"/>
  <c r="C31" i="10"/>
  <c r="E31" i="10"/>
  <c r="B31" i="10"/>
  <c r="D31" i="10"/>
  <c r="E30" i="10"/>
  <c r="D30" i="10"/>
  <c r="C30" i="10"/>
  <c r="B30" i="10"/>
  <c r="C29" i="10"/>
  <c r="E29" i="10"/>
  <c r="B29" i="10"/>
  <c r="D29" i="10"/>
  <c r="E25" i="10"/>
  <c r="D25" i="10"/>
  <c r="C25" i="10"/>
  <c r="B25" i="10"/>
  <c r="C24" i="10"/>
  <c r="E24" i="10"/>
  <c r="B24" i="10"/>
  <c r="D24" i="10"/>
  <c r="E23" i="10"/>
  <c r="D23" i="10"/>
  <c r="C23" i="10"/>
  <c r="B23" i="10"/>
  <c r="D22" i="10"/>
  <c r="C22" i="10"/>
  <c r="E22" i="10"/>
  <c r="E21" i="10"/>
  <c r="C21" i="10"/>
  <c r="D21" i="10"/>
  <c r="C20" i="10"/>
  <c r="E20" i="10"/>
  <c r="E19" i="10"/>
  <c r="B19" i="10"/>
  <c r="D19" i="10"/>
  <c r="E18" i="10"/>
  <c r="D18" i="10"/>
  <c r="C18" i="10"/>
  <c r="C17" i="10"/>
  <c r="E17" i="10"/>
  <c r="D16" i="10"/>
  <c r="C16" i="10"/>
  <c r="E16" i="10"/>
  <c r="E15" i="10"/>
  <c r="C15" i="10"/>
  <c r="B15" i="10"/>
  <c r="D15" i="10"/>
  <c r="C14" i="10"/>
  <c r="E14" i="10"/>
  <c r="B14" i="10"/>
  <c r="D14" i="10"/>
  <c r="E13" i="10"/>
  <c r="C13" i="10"/>
  <c r="B13" i="10"/>
  <c r="D13" i="10"/>
  <c r="C12" i="10"/>
  <c r="E12" i="10"/>
  <c r="B12" i="10"/>
  <c r="D12" i="10"/>
  <c r="E11" i="10"/>
  <c r="C11" i="10"/>
  <c r="B11" i="10"/>
  <c r="D11" i="10"/>
  <c r="E10" i="10"/>
  <c r="B10" i="10"/>
  <c r="D10" i="10"/>
  <c r="E9" i="10"/>
  <c r="D9" i="10"/>
  <c r="C9" i="10"/>
  <c r="C8" i="10"/>
  <c r="E8" i="10"/>
  <c r="B8" i="10"/>
  <c r="D8" i="10"/>
  <c r="R2" i="2"/>
  <c r="F87" i="10"/>
  <c r="F83" i="10"/>
  <c r="F82" i="10"/>
  <c r="F81" i="10"/>
  <c r="F80" i="10"/>
  <c r="F79" i="10"/>
  <c r="F78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4" i="10"/>
  <c r="F33" i="10"/>
  <c r="F32" i="10"/>
  <c r="F31" i="10"/>
  <c r="F30" i="10"/>
  <c r="F29" i="10"/>
  <c r="F25" i="10"/>
  <c r="F24" i="10"/>
  <c r="F23" i="10"/>
  <c r="F22" i="10"/>
  <c r="F21" i="10"/>
  <c r="F20" i="10"/>
  <c r="F18" i="10"/>
  <c r="F17" i="10"/>
  <c r="F16" i="10"/>
  <c r="F15" i="10"/>
  <c r="F14" i="10"/>
  <c r="F13" i="10"/>
  <c r="F12" i="10"/>
  <c r="F11" i="10"/>
  <c r="F10" i="10"/>
  <c r="F9" i="10"/>
  <c r="F8" i="10"/>
  <c r="F86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C28" i="12"/>
  <c r="E23" i="12"/>
  <c r="E77" i="12"/>
  <c r="E59" i="12"/>
  <c r="E57" i="12"/>
  <c r="E55" i="12"/>
  <c r="E53" i="12"/>
  <c r="E40" i="12"/>
  <c r="E38" i="12"/>
  <c r="E15" i="12"/>
  <c r="E13" i="12"/>
  <c r="E11" i="12"/>
  <c r="E50" i="12"/>
  <c r="E48" i="12"/>
  <c r="E35" i="12"/>
  <c r="E33" i="12"/>
  <c r="E31" i="12"/>
  <c r="E26" i="12"/>
  <c r="E24" i="12"/>
  <c r="C89" i="12"/>
  <c r="E88" i="12"/>
  <c r="E67" i="12"/>
  <c r="E52" i="12"/>
  <c r="E37" i="12"/>
  <c r="E19" i="12"/>
  <c r="B27" i="12"/>
  <c r="E88" i="10"/>
  <c r="C89" i="10"/>
  <c r="E89" i="10"/>
  <c r="D89" i="10"/>
  <c r="B26" i="10"/>
  <c r="C26" i="10"/>
  <c r="D81" i="10"/>
  <c r="B84" i="10"/>
  <c r="C84" i="10"/>
  <c r="E84" i="10"/>
  <c r="D87" i="10"/>
  <c r="D17" i="10"/>
  <c r="D44" i="10"/>
  <c r="D66" i="10"/>
  <c r="E87" i="10"/>
  <c r="D20" i="10"/>
  <c r="D51" i="10"/>
  <c r="D82" i="10"/>
  <c r="D78" i="10"/>
  <c r="B8" i="9"/>
  <c r="D8" i="9"/>
  <c r="C8" i="9"/>
  <c r="E8" i="9"/>
  <c r="C9" i="9"/>
  <c r="D9" i="9"/>
  <c r="E9" i="9"/>
  <c r="B10" i="9"/>
  <c r="D10" i="9"/>
  <c r="E10" i="9"/>
  <c r="B11" i="9"/>
  <c r="C11" i="9"/>
  <c r="D11" i="9"/>
  <c r="E11" i="9"/>
  <c r="B12" i="9"/>
  <c r="D12" i="9"/>
  <c r="C12" i="9"/>
  <c r="E12" i="9"/>
  <c r="B13" i="9"/>
  <c r="C13" i="9"/>
  <c r="D13" i="9"/>
  <c r="E13" i="9"/>
  <c r="B14" i="9"/>
  <c r="D14" i="9"/>
  <c r="C14" i="9"/>
  <c r="E14" i="9"/>
  <c r="B15" i="9"/>
  <c r="C15" i="9"/>
  <c r="D15" i="9"/>
  <c r="E15" i="9"/>
  <c r="C16" i="9"/>
  <c r="E16" i="9"/>
  <c r="D16" i="9"/>
  <c r="C17" i="9"/>
  <c r="D17" i="9"/>
  <c r="C18" i="9"/>
  <c r="D18" i="9"/>
  <c r="E18" i="9"/>
  <c r="C19" i="9"/>
  <c r="D19" i="9"/>
  <c r="C20" i="9"/>
  <c r="D20" i="9"/>
  <c r="E20" i="9"/>
  <c r="C21" i="9"/>
  <c r="D21" i="9"/>
  <c r="E21" i="9"/>
  <c r="C22" i="9"/>
  <c r="D22" i="9"/>
  <c r="E22" i="9"/>
  <c r="C23" i="9"/>
  <c r="D23" i="9"/>
  <c r="E23" i="9"/>
  <c r="B24" i="9"/>
  <c r="D24" i="9"/>
  <c r="C24" i="9"/>
  <c r="E24" i="9"/>
  <c r="B28" i="9"/>
  <c r="C28" i="9"/>
  <c r="D28" i="9"/>
  <c r="E28" i="9"/>
  <c r="B29" i="9"/>
  <c r="D29" i="9"/>
  <c r="C29" i="9"/>
  <c r="E29" i="9"/>
  <c r="B30" i="9"/>
  <c r="C30" i="9"/>
  <c r="D30" i="9"/>
  <c r="E30" i="9"/>
  <c r="B31" i="9"/>
  <c r="D31" i="9"/>
  <c r="C31" i="9"/>
  <c r="E31" i="9"/>
  <c r="B32" i="9"/>
  <c r="C32" i="9"/>
  <c r="D32" i="9"/>
  <c r="E32" i="9"/>
  <c r="B33" i="9"/>
  <c r="D33" i="9"/>
  <c r="C33" i="9"/>
  <c r="E33" i="9"/>
  <c r="B34" i="9"/>
  <c r="D34" i="9"/>
  <c r="E34" i="9"/>
  <c r="B35" i="9"/>
  <c r="C35" i="9"/>
  <c r="E35" i="9"/>
  <c r="D35" i="9"/>
  <c r="B36" i="9"/>
  <c r="D36" i="9"/>
  <c r="C36" i="9"/>
  <c r="B37" i="9"/>
  <c r="C37" i="9"/>
  <c r="E37" i="9"/>
  <c r="D37" i="9"/>
  <c r="B38" i="9"/>
  <c r="D38" i="9"/>
  <c r="C38" i="9"/>
  <c r="B39" i="9"/>
  <c r="C39" i="9"/>
  <c r="E39" i="9"/>
  <c r="D39" i="9"/>
  <c r="C40" i="9"/>
  <c r="D40" i="9"/>
  <c r="B41" i="9"/>
  <c r="C41" i="9"/>
  <c r="D41" i="9"/>
  <c r="E41" i="9"/>
  <c r="B42" i="9"/>
  <c r="C42" i="9"/>
  <c r="D42" i="9"/>
  <c r="C43" i="9"/>
  <c r="D43" i="9"/>
  <c r="E43" i="9"/>
  <c r="C44" i="9"/>
  <c r="D44" i="9"/>
  <c r="B45" i="9"/>
  <c r="C45" i="9"/>
  <c r="D45" i="9"/>
  <c r="E45" i="9"/>
  <c r="B46" i="9"/>
  <c r="D46" i="9"/>
  <c r="C46" i="9"/>
  <c r="E46" i="9"/>
  <c r="B47" i="9"/>
  <c r="C47" i="9"/>
  <c r="D47" i="9"/>
  <c r="E47" i="9"/>
  <c r="B48" i="9"/>
  <c r="D48" i="9"/>
  <c r="C48" i="9"/>
  <c r="E48" i="9"/>
  <c r="B49" i="9"/>
  <c r="C49" i="9"/>
  <c r="D49" i="9"/>
  <c r="E49" i="9"/>
  <c r="C50" i="9"/>
  <c r="E50" i="9"/>
  <c r="D50" i="9"/>
  <c r="C51" i="9"/>
  <c r="D51" i="9"/>
  <c r="B52" i="9"/>
  <c r="C52" i="9"/>
  <c r="D52" i="9"/>
  <c r="E52" i="9"/>
  <c r="C53" i="9"/>
  <c r="D53" i="9"/>
  <c r="E53" i="9"/>
  <c r="B54" i="9"/>
  <c r="C54" i="9"/>
  <c r="D54" i="9"/>
  <c r="E54" i="9"/>
  <c r="B55" i="9"/>
  <c r="D55" i="9"/>
  <c r="C55" i="9"/>
  <c r="B56" i="9"/>
  <c r="C56" i="9"/>
  <c r="D56" i="9"/>
  <c r="E56" i="9"/>
  <c r="B57" i="9"/>
  <c r="D57" i="9"/>
  <c r="C57" i="9"/>
  <c r="C58" i="9"/>
  <c r="D58" i="9"/>
  <c r="E58" i="9"/>
  <c r="B59" i="9"/>
  <c r="D59" i="9"/>
  <c r="E59" i="9"/>
  <c r="B60" i="9"/>
  <c r="D60" i="9"/>
  <c r="C60" i="9"/>
  <c r="B61" i="9"/>
  <c r="C61" i="9"/>
  <c r="E61" i="9"/>
  <c r="D61" i="9"/>
  <c r="B62" i="9"/>
  <c r="D62" i="9"/>
  <c r="C62" i="9"/>
  <c r="B63" i="9"/>
  <c r="C63" i="9"/>
  <c r="E63" i="9"/>
  <c r="D63" i="9"/>
  <c r="C64" i="9"/>
  <c r="D64" i="9"/>
  <c r="C65" i="9"/>
  <c r="D65" i="9"/>
  <c r="E65" i="9"/>
  <c r="C66" i="9"/>
  <c r="D66" i="9"/>
  <c r="B67" i="9"/>
  <c r="D67" i="9"/>
  <c r="E67" i="9"/>
  <c r="B68" i="9"/>
  <c r="C68" i="9"/>
  <c r="E68" i="9"/>
  <c r="D68" i="9"/>
  <c r="B69" i="9"/>
  <c r="D69" i="9"/>
  <c r="C69" i="9"/>
  <c r="C70" i="9"/>
  <c r="D70" i="9"/>
  <c r="E70" i="9"/>
  <c r="B71" i="9"/>
  <c r="D71" i="9"/>
  <c r="C71" i="9"/>
  <c r="E71" i="9"/>
  <c r="B72" i="9"/>
  <c r="C72" i="9"/>
  <c r="D72" i="9"/>
  <c r="E72" i="9"/>
  <c r="C73" i="9"/>
  <c r="E73" i="9"/>
  <c r="D73" i="9"/>
  <c r="B74" i="9"/>
  <c r="C74" i="9"/>
  <c r="D74" i="9"/>
  <c r="E74" i="9"/>
  <c r="C75" i="9"/>
  <c r="D75" i="9"/>
  <c r="E75" i="9"/>
  <c r="C76" i="9"/>
  <c r="D76" i="9"/>
  <c r="E76" i="9"/>
  <c r="B77" i="9"/>
  <c r="C77" i="9"/>
  <c r="E77" i="9"/>
  <c r="D77" i="9"/>
  <c r="B78" i="9"/>
  <c r="D78" i="9"/>
  <c r="E78" i="9"/>
  <c r="B79" i="9"/>
  <c r="C79" i="9"/>
  <c r="D79" i="9"/>
  <c r="E79" i="9"/>
  <c r="B80" i="9"/>
  <c r="D80" i="9"/>
  <c r="C80" i="9"/>
  <c r="E80" i="9"/>
  <c r="C81" i="9"/>
  <c r="D81" i="9"/>
  <c r="E81" i="9"/>
  <c r="C82" i="9"/>
  <c r="D82" i="9"/>
  <c r="E82" i="9"/>
  <c r="C86" i="9"/>
  <c r="D86" i="9"/>
  <c r="E86" i="9"/>
  <c r="B87" i="9"/>
  <c r="C87" i="9"/>
  <c r="E87" i="9"/>
  <c r="D87" i="9"/>
  <c r="B88" i="9"/>
  <c r="C90" i="12"/>
  <c r="D89" i="12"/>
  <c r="E89" i="12"/>
  <c r="D27" i="12"/>
  <c r="B28" i="12"/>
  <c r="E27" i="12"/>
  <c r="E28" i="12"/>
  <c r="C86" i="12"/>
  <c r="B27" i="10"/>
  <c r="D26" i="10"/>
  <c r="D84" i="10"/>
  <c r="C27" i="10"/>
  <c r="E26" i="10"/>
  <c r="E69" i="9"/>
  <c r="E62" i="9"/>
  <c r="E60" i="9"/>
  <c r="E38" i="9"/>
  <c r="E36" i="9"/>
  <c r="C83" i="9"/>
  <c r="E83" i="9"/>
  <c r="E64" i="9"/>
  <c r="E51" i="9"/>
  <c r="E42" i="9"/>
  <c r="E40" i="9"/>
  <c r="C25" i="9"/>
  <c r="E17" i="9"/>
  <c r="C88" i="9"/>
  <c r="E88" i="9"/>
  <c r="B83" i="9"/>
  <c r="D83" i="9"/>
  <c r="E57" i="9"/>
  <c r="E55" i="9"/>
  <c r="B25" i="9"/>
  <c r="E66" i="9"/>
  <c r="E44" i="9"/>
  <c r="E19" i="9"/>
  <c r="C91" i="12"/>
  <c r="B86" i="12"/>
  <c r="D28" i="12"/>
  <c r="E90" i="12"/>
  <c r="D90" i="12"/>
  <c r="E27" i="10"/>
  <c r="C85" i="10"/>
  <c r="D27" i="10"/>
  <c r="B85" i="10"/>
  <c r="E25" i="9"/>
  <c r="C26" i="9"/>
  <c r="B26" i="9"/>
  <c r="D25" i="9"/>
  <c r="D88" i="9"/>
  <c r="B91" i="12"/>
  <c r="D91" i="12"/>
  <c r="D86" i="12"/>
  <c r="E86" i="12"/>
  <c r="E91" i="12"/>
  <c r="D85" i="10"/>
  <c r="B90" i="10"/>
  <c r="C90" i="10"/>
  <c r="E90" i="10"/>
  <c r="E85" i="10"/>
  <c r="D26" i="9"/>
  <c r="B84" i="9"/>
  <c r="E26" i="9"/>
  <c r="C84" i="9"/>
  <c r="D90" i="10"/>
  <c r="E84" i="9"/>
  <c r="C89" i="9"/>
  <c r="D84" i="9"/>
  <c r="B89" i="9"/>
  <c r="D89" i="9"/>
  <c r="E89" i="9"/>
  <c r="O2" i="2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9" i="7"/>
  <c r="F8" i="7"/>
  <c r="B9" i="8"/>
  <c r="B10" i="8"/>
  <c r="B11" i="8"/>
  <c r="B12" i="8"/>
  <c r="B19" i="8"/>
  <c r="B26" i="8"/>
  <c r="B14" i="8"/>
  <c r="B15" i="8"/>
  <c r="B17" i="8"/>
  <c r="B18" i="8"/>
  <c r="B21" i="8"/>
  <c r="B22" i="8"/>
  <c r="B25" i="8"/>
  <c r="B23" i="8"/>
  <c r="B24" i="8"/>
  <c r="B31" i="8"/>
  <c r="B32" i="8"/>
  <c r="B34" i="8"/>
  <c r="B35" i="8"/>
  <c r="B41" i="8"/>
  <c r="B36" i="8"/>
  <c r="B37" i="8"/>
  <c r="B38" i="8"/>
  <c r="B39" i="8"/>
  <c r="B40" i="8"/>
  <c r="B44" i="8"/>
  <c r="B45" i="8"/>
  <c r="B48" i="8"/>
  <c r="B49" i="8"/>
  <c r="B51" i="8"/>
  <c r="B50" i="8"/>
  <c r="B8" i="7"/>
  <c r="C8" i="7"/>
  <c r="D8" i="7"/>
  <c r="E8" i="7"/>
  <c r="C9" i="7"/>
  <c r="D9" i="7"/>
  <c r="E9" i="7"/>
  <c r="B10" i="7"/>
  <c r="D10" i="7"/>
  <c r="E10" i="7"/>
  <c r="B11" i="7"/>
  <c r="D11" i="7"/>
  <c r="C11" i="7"/>
  <c r="E11" i="7"/>
  <c r="B12" i="7"/>
  <c r="D12" i="7"/>
  <c r="C12" i="7"/>
  <c r="E12" i="7"/>
  <c r="B13" i="7"/>
  <c r="D13" i="7"/>
  <c r="C13" i="7"/>
  <c r="E13" i="7"/>
  <c r="B14" i="7"/>
  <c r="D14" i="7"/>
  <c r="C14" i="7"/>
  <c r="E14" i="7"/>
  <c r="C15" i="7"/>
  <c r="E15" i="7"/>
  <c r="D15" i="7"/>
  <c r="C16" i="7"/>
  <c r="D16" i="7"/>
  <c r="E16" i="7"/>
  <c r="C17" i="7"/>
  <c r="D17" i="7"/>
  <c r="E17" i="7"/>
  <c r="C18" i="7"/>
  <c r="D18" i="7"/>
  <c r="C19" i="7"/>
  <c r="E19" i="7"/>
  <c r="D19" i="7"/>
  <c r="C20" i="7"/>
  <c r="D20" i="7"/>
  <c r="E20" i="7"/>
  <c r="C21" i="7"/>
  <c r="D21" i="7"/>
  <c r="E21" i="7"/>
  <c r="C22" i="7"/>
  <c r="D22" i="7"/>
  <c r="C23" i="7"/>
  <c r="E23" i="7"/>
  <c r="D23" i="7"/>
  <c r="B24" i="7"/>
  <c r="C24" i="7"/>
  <c r="E24" i="7"/>
  <c r="D24" i="7"/>
  <c r="B28" i="7"/>
  <c r="C28" i="7"/>
  <c r="E28" i="7"/>
  <c r="D28" i="7"/>
  <c r="B29" i="7"/>
  <c r="C29" i="7"/>
  <c r="E29" i="7"/>
  <c r="D29" i="7"/>
  <c r="B30" i="7"/>
  <c r="C30" i="7"/>
  <c r="E30" i="7"/>
  <c r="D30" i="7"/>
  <c r="B31" i="7"/>
  <c r="C31" i="7"/>
  <c r="E31" i="7"/>
  <c r="D31" i="7"/>
  <c r="B32" i="7"/>
  <c r="C32" i="7"/>
  <c r="E32" i="7"/>
  <c r="D32" i="7"/>
  <c r="B33" i="7"/>
  <c r="C33" i="7"/>
  <c r="E33" i="7"/>
  <c r="D33" i="7"/>
  <c r="B34" i="7"/>
  <c r="C34" i="7"/>
  <c r="E34" i="7"/>
  <c r="D34" i="7"/>
  <c r="B35" i="7"/>
  <c r="C35" i="7"/>
  <c r="E35" i="7"/>
  <c r="D35" i="7"/>
  <c r="B36" i="7"/>
  <c r="C36" i="7"/>
  <c r="E36" i="7"/>
  <c r="D36" i="7"/>
  <c r="B37" i="7"/>
  <c r="C37" i="7"/>
  <c r="E37" i="7"/>
  <c r="D37" i="7"/>
  <c r="B38" i="7"/>
  <c r="C38" i="7"/>
  <c r="E38" i="7"/>
  <c r="D38" i="7"/>
  <c r="C39" i="7"/>
  <c r="D39" i="7"/>
  <c r="E39" i="7"/>
  <c r="B40" i="7"/>
  <c r="C40" i="7"/>
  <c r="D40" i="7"/>
  <c r="E40" i="7"/>
  <c r="B41" i="7"/>
  <c r="C41" i="7"/>
  <c r="D41" i="7"/>
  <c r="E41" i="7"/>
  <c r="C42" i="7"/>
  <c r="D42" i="7"/>
  <c r="E42" i="7"/>
  <c r="C43" i="7"/>
  <c r="D43" i="7"/>
  <c r="B44" i="7"/>
  <c r="D44" i="7"/>
  <c r="C44" i="7"/>
  <c r="E44" i="7"/>
  <c r="B45" i="7"/>
  <c r="D45" i="7"/>
  <c r="C45" i="7"/>
  <c r="E45" i="7"/>
  <c r="B46" i="7"/>
  <c r="D46" i="7"/>
  <c r="C46" i="7"/>
  <c r="E46" i="7"/>
  <c r="B47" i="7"/>
  <c r="D47" i="7"/>
  <c r="C47" i="7"/>
  <c r="E47" i="7"/>
  <c r="B48" i="7"/>
  <c r="D48" i="7"/>
  <c r="C48" i="7"/>
  <c r="E48" i="7"/>
  <c r="C49" i="7"/>
  <c r="E49" i="7"/>
  <c r="D49" i="7"/>
  <c r="C50" i="7"/>
  <c r="D50" i="7"/>
  <c r="E50" i="7"/>
  <c r="B51" i="7"/>
  <c r="C51" i="7"/>
  <c r="D51" i="7"/>
  <c r="E51" i="7"/>
  <c r="C52" i="7"/>
  <c r="D52" i="7"/>
  <c r="E52" i="7"/>
  <c r="B53" i="7"/>
  <c r="E53" i="7"/>
  <c r="C53" i="7"/>
  <c r="B54" i="7"/>
  <c r="D54" i="7"/>
  <c r="C54" i="7"/>
  <c r="B55" i="7"/>
  <c r="E55" i="7"/>
  <c r="C55" i="7"/>
  <c r="B56" i="7"/>
  <c r="D56" i="7"/>
  <c r="C56" i="7"/>
  <c r="C57" i="7"/>
  <c r="D57" i="7"/>
  <c r="B58" i="7"/>
  <c r="D58" i="7"/>
  <c r="E58" i="7"/>
  <c r="B59" i="7"/>
  <c r="C59" i="7"/>
  <c r="E59" i="7"/>
  <c r="D59" i="7"/>
  <c r="B60" i="7"/>
  <c r="C60" i="7"/>
  <c r="E60" i="7"/>
  <c r="D60" i="7"/>
  <c r="B61" i="7"/>
  <c r="C61" i="7"/>
  <c r="E61" i="7"/>
  <c r="D61" i="7"/>
  <c r="B62" i="7"/>
  <c r="C62" i="7"/>
  <c r="E62" i="7"/>
  <c r="D62" i="7"/>
  <c r="C63" i="7"/>
  <c r="D63" i="7"/>
  <c r="E63" i="7"/>
  <c r="C64" i="7"/>
  <c r="D64" i="7"/>
  <c r="E64" i="7"/>
  <c r="C65" i="7"/>
  <c r="D65" i="7"/>
  <c r="B66" i="7"/>
  <c r="D66" i="7"/>
  <c r="E66" i="7"/>
  <c r="B67" i="7"/>
  <c r="C67" i="7"/>
  <c r="E67" i="7"/>
  <c r="D67" i="7"/>
  <c r="B68" i="7"/>
  <c r="C68" i="7"/>
  <c r="E68" i="7"/>
  <c r="D68" i="7"/>
  <c r="C69" i="7"/>
  <c r="D69" i="7"/>
  <c r="E69" i="7"/>
  <c r="B70" i="7"/>
  <c r="C70" i="7"/>
  <c r="D70" i="7"/>
  <c r="E70" i="7"/>
  <c r="B71" i="7"/>
  <c r="C71" i="7"/>
  <c r="D71" i="7"/>
  <c r="E71" i="7"/>
  <c r="C72" i="7"/>
  <c r="D72" i="7"/>
  <c r="E72" i="7"/>
  <c r="C73" i="7"/>
  <c r="D73" i="7"/>
  <c r="C74" i="7"/>
  <c r="E74" i="7"/>
  <c r="D74" i="7"/>
  <c r="B75" i="7"/>
  <c r="C75" i="7"/>
  <c r="E75" i="7"/>
  <c r="D75" i="7"/>
  <c r="B76" i="7"/>
  <c r="C76" i="7"/>
  <c r="E76" i="7"/>
  <c r="D76" i="7"/>
  <c r="B77" i="7"/>
  <c r="D77" i="7"/>
  <c r="E77" i="7"/>
  <c r="B78" i="7"/>
  <c r="C78" i="7"/>
  <c r="D78" i="7"/>
  <c r="E78" i="7"/>
  <c r="C79" i="7"/>
  <c r="D79" i="7"/>
  <c r="E79" i="7"/>
  <c r="C80" i="7"/>
  <c r="D80" i="7"/>
  <c r="C81" i="7"/>
  <c r="E81" i="7"/>
  <c r="D81" i="7"/>
  <c r="C85" i="7"/>
  <c r="D85" i="7"/>
  <c r="E85" i="7"/>
  <c r="B86" i="7"/>
  <c r="C86" i="7"/>
  <c r="C87" i="7"/>
  <c r="D86" i="7"/>
  <c r="E86" i="7"/>
  <c r="B87" i="7"/>
  <c r="B42" i="8"/>
  <c r="B46" i="8"/>
  <c r="B52" i="8"/>
  <c r="D87" i="7"/>
  <c r="E87" i="7"/>
  <c r="C82" i="7"/>
  <c r="E82" i="7"/>
  <c r="E56" i="7"/>
  <c r="E54" i="7"/>
  <c r="C25" i="7"/>
  <c r="B82" i="7"/>
  <c r="D82" i="7"/>
  <c r="E80" i="7"/>
  <c r="E73" i="7"/>
  <c r="E65" i="7"/>
  <c r="E57" i="7"/>
  <c r="D55" i="7"/>
  <c r="D53" i="7"/>
  <c r="E43" i="7"/>
  <c r="B25" i="7"/>
  <c r="E22" i="7"/>
  <c r="E18" i="7"/>
  <c r="C21" i="2"/>
  <c r="C33" i="2" s="1"/>
  <c r="C34" i="2" s="1"/>
  <c r="C29" i="2"/>
  <c r="E25" i="7"/>
  <c r="C26" i="7"/>
  <c r="D25" i="7"/>
  <c r="B26" i="7"/>
  <c r="F76" i="6"/>
  <c r="F75" i="6"/>
  <c r="F74" i="6"/>
  <c r="F70" i="6"/>
  <c r="F69" i="6"/>
  <c r="F68" i="6"/>
  <c r="F67" i="6"/>
  <c r="F66" i="6"/>
  <c r="F65" i="6"/>
  <c r="F62" i="6"/>
  <c r="F61" i="6"/>
  <c r="F60" i="6"/>
  <c r="F59" i="6"/>
  <c r="F58" i="6"/>
  <c r="F55" i="6"/>
  <c r="F54" i="6"/>
  <c r="F53" i="6"/>
  <c r="F52" i="6"/>
  <c r="F39" i="6"/>
  <c r="F38" i="6"/>
  <c r="F37" i="6"/>
  <c r="F36" i="6"/>
  <c r="F35" i="6"/>
  <c r="F34" i="6"/>
  <c r="F23" i="6"/>
  <c r="F10" i="6"/>
  <c r="F9" i="6"/>
  <c r="F8" i="6"/>
  <c r="E26" i="7"/>
  <c r="C83" i="7"/>
  <c r="B83" i="7"/>
  <c r="D26" i="7"/>
  <c r="B8" i="6"/>
  <c r="C8" i="6"/>
  <c r="D8" i="6"/>
  <c r="E8" i="6"/>
  <c r="C9" i="6"/>
  <c r="D9" i="6"/>
  <c r="E9" i="6"/>
  <c r="B10" i="6"/>
  <c r="D10" i="6"/>
  <c r="C10" i="6"/>
  <c r="B11" i="6"/>
  <c r="D11" i="6"/>
  <c r="C11" i="6"/>
  <c r="B12" i="6"/>
  <c r="D12" i="6"/>
  <c r="C12" i="6"/>
  <c r="B13" i="6"/>
  <c r="D13" i="6"/>
  <c r="C13" i="6"/>
  <c r="C14" i="6"/>
  <c r="D14" i="6"/>
  <c r="C15" i="6"/>
  <c r="E15" i="6"/>
  <c r="D15" i="6"/>
  <c r="C16" i="6"/>
  <c r="D16" i="6"/>
  <c r="E16" i="6"/>
  <c r="C17" i="6"/>
  <c r="D17" i="6"/>
  <c r="E17" i="6"/>
  <c r="C18" i="6"/>
  <c r="D18" i="6"/>
  <c r="C19" i="6"/>
  <c r="E19" i="6"/>
  <c r="D19" i="6"/>
  <c r="C20" i="6"/>
  <c r="D20" i="6"/>
  <c r="E20" i="6"/>
  <c r="C21" i="6"/>
  <c r="D21" i="6"/>
  <c r="E21" i="6"/>
  <c r="C22" i="6"/>
  <c r="D22" i="6"/>
  <c r="B23" i="6"/>
  <c r="D23" i="6"/>
  <c r="C23" i="6"/>
  <c r="E23" i="6"/>
  <c r="C24" i="6"/>
  <c r="C25" i="6"/>
  <c r="B27" i="6"/>
  <c r="D27" i="6"/>
  <c r="C27" i="6"/>
  <c r="C80" i="6"/>
  <c r="E80" i="6"/>
  <c r="B28" i="6"/>
  <c r="D28" i="6"/>
  <c r="C28" i="6"/>
  <c r="E28" i="6"/>
  <c r="B29" i="6"/>
  <c r="D29" i="6"/>
  <c r="C29" i="6"/>
  <c r="E29" i="6"/>
  <c r="B30" i="6"/>
  <c r="D30" i="6"/>
  <c r="C30" i="6"/>
  <c r="E30" i="6"/>
  <c r="B31" i="6"/>
  <c r="D31" i="6"/>
  <c r="C31" i="6"/>
  <c r="E31" i="6"/>
  <c r="B32" i="6"/>
  <c r="D32" i="6"/>
  <c r="C32" i="6"/>
  <c r="E32" i="6"/>
  <c r="B33" i="6"/>
  <c r="D33" i="6"/>
  <c r="C33" i="6"/>
  <c r="E33" i="6"/>
  <c r="B34" i="6"/>
  <c r="D34" i="6"/>
  <c r="C34" i="6"/>
  <c r="E34" i="6"/>
  <c r="B35" i="6"/>
  <c r="D35" i="6"/>
  <c r="C35" i="6"/>
  <c r="E35" i="6"/>
  <c r="B36" i="6"/>
  <c r="D36" i="6"/>
  <c r="C36" i="6"/>
  <c r="E36" i="6"/>
  <c r="B37" i="6"/>
  <c r="D37" i="6"/>
  <c r="C37" i="6"/>
  <c r="E37" i="6"/>
  <c r="C38" i="6"/>
  <c r="E38" i="6"/>
  <c r="D38" i="6"/>
  <c r="B39" i="6"/>
  <c r="C39" i="6"/>
  <c r="E39" i="6"/>
  <c r="D39" i="6"/>
  <c r="B40" i="6"/>
  <c r="C40" i="6"/>
  <c r="E40" i="6"/>
  <c r="D40" i="6"/>
  <c r="C41" i="6"/>
  <c r="D41" i="6"/>
  <c r="E41" i="6"/>
  <c r="C42" i="6"/>
  <c r="D42" i="6"/>
  <c r="E42" i="6"/>
  <c r="B43" i="6"/>
  <c r="D43" i="6"/>
  <c r="C43" i="6"/>
  <c r="B44" i="6"/>
  <c r="D44" i="6"/>
  <c r="C44" i="6"/>
  <c r="B45" i="6"/>
  <c r="D45" i="6"/>
  <c r="C45" i="6"/>
  <c r="C46" i="6"/>
  <c r="D46" i="6"/>
  <c r="B47" i="6"/>
  <c r="D47" i="6"/>
  <c r="C47" i="6"/>
  <c r="E47" i="6"/>
  <c r="C48" i="6"/>
  <c r="E48" i="6"/>
  <c r="D48" i="6"/>
  <c r="C49" i="6"/>
  <c r="D49" i="6"/>
  <c r="E49" i="6"/>
  <c r="C50" i="6"/>
  <c r="D50" i="6"/>
  <c r="E50" i="6"/>
  <c r="C51" i="6"/>
  <c r="D51" i="6"/>
  <c r="B52" i="6"/>
  <c r="D52" i="6"/>
  <c r="C52" i="6"/>
  <c r="E52" i="6"/>
  <c r="B53" i="6"/>
  <c r="D53" i="6"/>
  <c r="C53" i="6"/>
  <c r="E53" i="6"/>
  <c r="B54" i="6"/>
  <c r="D54" i="6"/>
  <c r="C54" i="6"/>
  <c r="E54" i="6"/>
  <c r="B55" i="6"/>
  <c r="D55" i="6"/>
  <c r="C55" i="6"/>
  <c r="E55" i="6"/>
  <c r="C56" i="6"/>
  <c r="E56" i="6"/>
  <c r="D56" i="6"/>
  <c r="B57" i="6"/>
  <c r="D57" i="6"/>
  <c r="E57" i="6"/>
  <c r="B58" i="6"/>
  <c r="C58" i="6"/>
  <c r="D58" i="6"/>
  <c r="E58" i="6"/>
  <c r="B59" i="6"/>
  <c r="C59" i="6"/>
  <c r="D59" i="6"/>
  <c r="E59" i="6"/>
  <c r="B60" i="6"/>
  <c r="C60" i="6"/>
  <c r="D60" i="6"/>
  <c r="E60" i="6"/>
  <c r="B61" i="6"/>
  <c r="C61" i="6"/>
  <c r="D61" i="6"/>
  <c r="E61" i="6"/>
  <c r="C62" i="6"/>
  <c r="D62" i="6"/>
  <c r="E62" i="6"/>
  <c r="C63" i="6"/>
  <c r="D63" i="6"/>
  <c r="C64" i="6"/>
  <c r="E64" i="6"/>
  <c r="D64" i="6"/>
  <c r="B65" i="6"/>
  <c r="C65" i="6"/>
  <c r="E65" i="6"/>
  <c r="D65" i="6"/>
  <c r="C66" i="6"/>
  <c r="D66" i="6"/>
  <c r="E66" i="6"/>
  <c r="C67" i="6"/>
  <c r="D67" i="6"/>
  <c r="E67" i="6"/>
  <c r="B68" i="6"/>
  <c r="D68" i="6"/>
  <c r="C68" i="6"/>
  <c r="B69" i="6"/>
  <c r="D69" i="6"/>
  <c r="C69" i="6"/>
  <c r="C70" i="6"/>
  <c r="D70" i="6"/>
  <c r="C71" i="6"/>
  <c r="E71" i="6"/>
  <c r="D71" i="6"/>
  <c r="C72" i="6"/>
  <c r="D72" i="6"/>
  <c r="E72" i="6"/>
  <c r="C73" i="6"/>
  <c r="D73" i="6"/>
  <c r="E73" i="6"/>
  <c r="B74" i="6"/>
  <c r="D74" i="6"/>
  <c r="C74" i="6"/>
  <c r="B75" i="6"/>
  <c r="D75" i="6"/>
  <c r="E75" i="6"/>
  <c r="B76" i="6"/>
  <c r="D76" i="6"/>
  <c r="C76" i="6"/>
  <c r="E76" i="6"/>
  <c r="C77" i="6"/>
  <c r="E77" i="6"/>
  <c r="D77" i="6"/>
  <c r="C78" i="6"/>
  <c r="D78" i="6"/>
  <c r="E78" i="6"/>
  <c r="C79" i="6"/>
  <c r="D79" i="6"/>
  <c r="E79" i="6"/>
  <c r="B80" i="6"/>
  <c r="D80" i="6"/>
  <c r="C83" i="6"/>
  <c r="D83" i="6"/>
  <c r="B84" i="6"/>
  <c r="B85" i="6"/>
  <c r="B9" i="5"/>
  <c r="B10" i="5"/>
  <c r="B11" i="5"/>
  <c r="B12" i="5"/>
  <c r="B19" i="5"/>
  <c r="B26" i="5"/>
  <c r="B14" i="5"/>
  <c r="B15" i="5"/>
  <c r="B17" i="5"/>
  <c r="B18" i="5"/>
  <c r="B21" i="5"/>
  <c r="B22" i="5"/>
  <c r="B25" i="5"/>
  <c r="B23" i="5"/>
  <c r="B24" i="5"/>
  <c r="B31" i="5"/>
  <c r="B32" i="5"/>
  <c r="B41" i="5"/>
  <c r="B45" i="5"/>
  <c r="B51" i="5"/>
  <c r="B34" i="5"/>
  <c r="B35" i="5"/>
  <c r="B36" i="5"/>
  <c r="B37" i="5"/>
  <c r="B38" i="5"/>
  <c r="B39" i="5"/>
  <c r="B40" i="5"/>
  <c r="B43" i="5"/>
  <c r="B44" i="5"/>
  <c r="B47" i="5"/>
  <c r="B48" i="5"/>
  <c r="B49" i="5"/>
  <c r="B50" i="5"/>
  <c r="B88" i="7"/>
  <c r="D83" i="7"/>
  <c r="E83" i="7"/>
  <c r="C88" i="7"/>
  <c r="E88" i="7"/>
  <c r="C81" i="6"/>
  <c r="E74" i="6"/>
  <c r="E69" i="6"/>
  <c r="E68" i="6"/>
  <c r="E45" i="6"/>
  <c r="E44" i="6"/>
  <c r="E43" i="6"/>
  <c r="B24" i="6"/>
  <c r="E13" i="6"/>
  <c r="E12" i="6"/>
  <c r="E11" i="6"/>
  <c r="E10" i="6"/>
  <c r="C84" i="6"/>
  <c r="E70" i="6"/>
  <c r="E63" i="6"/>
  <c r="E51" i="6"/>
  <c r="E46" i="6"/>
  <c r="E27" i="6"/>
  <c r="E22" i="6"/>
  <c r="E18" i="6"/>
  <c r="E14" i="6"/>
  <c r="E83" i="6"/>
  <c r="D88" i="7"/>
  <c r="E84" i="6"/>
  <c r="C85" i="6"/>
  <c r="D24" i="6"/>
  <c r="B25" i="6"/>
  <c r="C86" i="6"/>
  <c r="D84" i="6"/>
  <c r="E24" i="6"/>
  <c r="E85" i="6"/>
  <c r="D85" i="6"/>
  <c r="D25" i="6"/>
  <c r="B81" i="6"/>
  <c r="E25" i="6"/>
  <c r="B46" i="4"/>
  <c r="B45" i="4"/>
  <c r="B44" i="4"/>
  <c r="B43" i="4"/>
  <c r="B39" i="4"/>
  <c r="B40" i="4"/>
  <c r="B36" i="4"/>
  <c r="B35" i="4"/>
  <c r="B34" i="4"/>
  <c r="B33" i="4"/>
  <c r="B31" i="4"/>
  <c r="B37" i="4"/>
  <c r="B41" i="4"/>
  <c r="B47" i="4"/>
  <c r="B30" i="4"/>
  <c r="B23" i="4"/>
  <c r="B24" i="4"/>
  <c r="B22" i="4"/>
  <c r="B21" i="4"/>
  <c r="B18" i="4"/>
  <c r="B17" i="4"/>
  <c r="B14" i="4"/>
  <c r="B15" i="4"/>
  <c r="B12" i="4"/>
  <c r="B19" i="4"/>
  <c r="B11" i="4"/>
  <c r="B10" i="4"/>
  <c r="B9" i="4"/>
  <c r="C57" i="3"/>
  <c r="E57" i="3"/>
  <c r="B57" i="3"/>
  <c r="D57" i="3"/>
  <c r="E56" i="3"/>
  <c r="B56" i="3"/>
  <c r="D56" i="3"/>
  <c r="E55" i="3"/>
  <c r="D55" i="3"/>
  <c r="C54" i="3"/>
  <c r="D54" i="3"/>
  <c r="B54" i="3"/>
  <c r="E53" i="3"/>
  <c r="B53" i="3"/>
  <c r="D53" i="3"/>
  <c r="C52" i="3"/>
  <c r="E52" i="3"/>
  <c r="B52" i="3"/>
  <c r="D52" i="3"/>
  <c r="E51" i="3"/>
  <c r="B51" i="3"/>
  <c r="D51" i="3"/>
  <c r="E50" i="3"/>
  <c r="D50" i="3"/>
  <c r="B50" i="3"/>
  <c r="E49" i="3"/>
  <c r="D49" i="3"/>
  <c r="C49" i="3"/>
  <c r="B49" i="3"/>
  <c r="E48" i="3"/>
  <c r="D48" i="3"/>
  <c r="C48" i="3"/>
  <c r="B48" i="3"/>
  <c r="E47" i="3"/>
  <c r="D47" i="3"/>
  <c r="B47" i="3"/>
  <c r="C46" i="3"/>
  <c r="D46" i="3"/>
  <c r="B46" i="3"/>
  <c r="E45" i="3"/>
  <c r="B45" i="3"/>
  <c r="D45" i="3"/>
  <c r="E44" i="3"/>
  <c r="B44" i="3"/>
  <c r="D44" i="3"/>
  <c r="E43" i="3"/>
  <c r="C43" i="3"/>
  <c r="B43" i="3"/>
  <c r="D43" i="3"/>
  <c r="E42" i="3"/>
  <c r="D42" i="3"/>
  <c r="B42" i="3"/>
  <c r="E41" i="3"/>
  <c r="D41" i="3"/>
  <c r="C41" i="3"/>
  <c r="B41" i="3"/>
  <c r="E40" i="3"/>
  <c r="D40" i="3"/>
  <c r="B40" i="3"/>
  <c r="C39" i="3"/>
  <c r="D39" i="3"/>
  <c r="B39" i="3"/>
  <c r="C38" i="3"/>
  <c r="D38" i="3"/>
  <c r="B38" i="3"/>
  <c r="E37" i="3"/>
  <c r="B37" i="3"/>
  <c r="D37" i="3"/>
  <c r="C36" i="3"/>
  <c r="E36" i="3"/>
  <c r="B36" i="3"/>
  <c r="D36" i="3"/>
  <c r="C35" i="3"/>
  <c r="E35" i="3"/>
  <c r="B35" i="3"/>
  <c r="D35" i="3"/>
  <c r="E34" i="3"/>
  <c r="B34" i="3"/>
  <c r="D34" i="3"/>
  <c r="E33" i="3"/>
  <c r="D33" i="3"/>
  <c r="B33" i="3"/>
  <c r="E32" i="3"/>
  <c r="D32" i="3"/>
  <c r="C32" i="3"/>
  <c r="B32" i="3"/>
  <c r="E31" i="3"/>
  <c r="D31" i="3"/>
  <c r="B31" i="3"/>
  <c r="E30" i="3"/>
  <c r="B30" i="3"/>
  <c r="D30" i="3"/>
  <c r="E29" i="3"/>
  <c r="B29" i="3"/>
  <c r="D29" i="3"/>
  <c r="E28" i="3"/>
  <c r="D28" i="3"/>
  <c r="B28" i="3"/>
  <c r="E27" i="3"/>
  <c r="D27" i="3"/>
  <c r="B27" i="3"/>
  <c r="C26" i="3"/>
  <c r="D26" i="3"/>
  <c r="B26" i="3"/>
  <c r="C25" i="3"/>
  <c r="D25" i="3"/>
  <c r="B25" i="3"/>
  <c r="C24" i="3"/>
  <c r="D24" i="3"/>
  <c r="B24" i="3"/>
  <c r="C23" i="3"/>
  <c r="D23" i="3"/>
  <c r="B23" i="3"/>
  <c r="C22" i="3"/>
  <c r="D22" i="3"/>
  <c r="B22" i="3"/>
  <c r="E21" i="3"/>
  <c r="B21" i="3"/>
  <c r="D21" i="3"/>
  <c r="C20" i="3"/>
  <c r="E20" i="3"/>
  <c r="B20" i="3"/>
  <c r="D20" i="3"/>
  <c r="C19" i="3"/>
  <c r="E19" i="3"/>
  <c r="B19" i="3"/>
  <c r="D19" i="3"/>
  <c r="C18" i="3"/>
  <c r="E18" i="3"/>
  <c r="B18" i="3"/>
  <c r="D18" i="3"/>
  <c r="C17" i="3"/>
  <c r="E17" i="3"/>
  <c r="B17" i="3"/>
  <c r="B58" i="3"/>
  <c r="B14" i="3"/>
  <c r="B15" i="3"/>
  <c r="E13" i="3"/>
  <c r="B13" i="3"/>
  <c r="D13" i="3"/>
  <c r="E12" i="3"/>
  <c r="C12" i="3"/>
  <c r="B12" i="3"/>
  <c r="D12" i="3"/>
  <c r="E11" i="3"/>
  <c r="C11" i="3"/>
  <c r="B11" i="3"/>
  <c r="D11" i="3"/>
  <c r="E10" i="3"/>
  <c r="D10" i="3"/>
  <c r="B10" i="3"/>
  <c r="E9" i="3"/>
  <c r="D9" i="3"/>
  <c r="B9" i="3"/>
  <c r="C8" i="3"/>
  <c r="C14" i="3"/>
  <c r="B8" i="3"/>
  <c r="D81" i="6"/>
  <c r="B86" i="6"/>
  <c r="E81" i="6"/>
  <c r="B25" i="4"/>
  <c r="E14" i="3"/>
  <c r="C15" i="3"/>
  <c r="B59" i="3"/>
  <c r="E8" i="3"/>
  <c r="D14" i="3"/>
  <c r="D17" i="3"/>
  <c r="E22" i="3"/>
  <c r="E23" i="3"/>
  <c r="E24" i="3"/>
  <c r="E25" i="3"/>
  <c r="E26" i="3"/>
  <c r="E38" i="3"/>
  <c r="E39" i="3"/>
  <c r="E46" i="3"/>
  <c r="E54" i="3"/>
  <c r="D8" i="3"/>
  <c r="C58" i="3"/>
  <c r="E58" i="3"/>
  <c r="D86" i="6"/>
  <c r="E86" i="6"/>
  <c r="B60" i="3"/>
  <c r="E15" i="3"/>
  <c r="C59" i="3"/>
  <c r="D58" i="3"/>
  <c r="D15" i="3"/>
  <c r="D18" i="2"/>
  <c r="E10" i="2"/>
  <c r="C31" i="2"/>
  <c r="E37" i="2"/>
  <c r="C35" i="2"/>
  <c r="B31" i="2"/>
  <c r="D31" i="2" s="1"/>
  <c r="E59" i="3"/>
  <c r="C60" i="3"/>
  <c r="E60" i="3"/>
  <c r="D59" i="3"/>
  <c r="D60" i="3"/>
  <c r="E20" i="2"/>
  <c r="E17" i="2"/>
  <c r="E18" i="2"/>
  <c r="D17" i="2"/>
  <c r="D12" i="2"/>
  <c r="D11" i="2"/>
  <c r="E11" i="2"/>
  <c r="D10" i="2"/>
  <c r="C13" i="2"/>
  <c r="E31" i="2"/>
  <c r="E28" i="2" l="1"/>
  <c r="B26" i="19"/>
  <c r="B29" i="2"/>
  <c r="D29" i="2" s="1"/>
  <c r="E21" i="2"/>
  <c r="B13" i="2"/>
  <c r="B14" i="2" s="1"/>
  <c r="E19" i="2"/>
  <c r="D16" i="2"/>
  <c r="D21" i="2" s="1"/>
  <c r="E8" i="2"/>
  <c r="B35" i="2"/>
  <c r="G12" i="2"/>
  <c r="G13" i="2" s="1"/>
  <c r="C14" i="2"/>
  <c r="C38" i="2"/>
  <c r="E9" i="2"/>
  <c r="E16" i="2"/>
  <c r="B13" i="19"/>
  <c r="B40" i="19"/>
  <c r="B50" i="19"/>
  <c r="E86" i="18"/>
  <c r="C87" i="18"/>
  <c r="E87" i="18" s="1"/>
  <c r="D82" i="18"/>
  <c r="B26" i="18"/>
  <c r="D25" i="18"/>
  <c r="D86" i="18"/>
  <c r="E25" i="18"/>
  <c r="C26" i="18"/>
  <c r="D20" i="18"/>
  <c r="D22" i="18"/>
  <c r="D24" i="18"/>
  <c r="D29" i="18"/>
  <c r="D31" i="18"/>
  <c r="D33" i="18"/>
  <c r="D35" i="18"/>
  <c r="D52" i="18"/>
  <c r="D54" i="18"/>
  <c r="D56" i="18"/>
  <c r="D58" i="18"/>
  <c r="D67" i="18"/>
  <c r="D44" i="18"/>
  <c r="D18" i="18"/>
  <c r="D65" i="18"/>
  <c r="D76" i="18"/>
  <c r="E85" i="18"/>
  <c r="D12" i="18"/>
  <c r="D14" i="18"/>
  <c r="D19" i="18"/>
  <c r="D45" i="18"/>
  <c r="D47" i="18"/>
  <c r="D49" i="18"/>
  <c r="D66" i="18"/>
  <c r="E29" i="2" l="1"/>
  <c r="E35" i="2"/>
  <c r="D35" i="2"/>
  <c r="D14" i="2"/>
  <c r="B22" i="2"/>
  <c r="C22" i="2"/>
  <c r="E14" i="2"/>
  <c r="E13" i="2"/>
  <c r="B20" i="19"/>
  <c r="B41" i="19"/>
  <c r="C83" i="18"/>
  <c r="E26" i="18"/>
  <c r="D87" i="18"/>
  <c r="B83" i="18"/>
  <c r="D26" i="18"/>
  <c r="E22" i="2" l="1"/>
  <c r="C23" i="2"/>
  <c r="D22" i="2"/>
  <c r="B23" i="2"/>
  <c r="D23" i="2" s="1"/>
  <c r="B45" i="19"/>
  <c r="B27" i="19"/>
  <c r="D83" i="18"/>
  <c r="B88" i="18"/>
  <c r="D88" i="18" s="1"/>
  <c r="C88" i="18"/>
  <c r="E83" i="18"/>
  <c r="E23" i="2" l="1"/>
  <c r="B51" i="19"/>
  <c r="E88" i="18"/>
</calcChain>
</file>

<file path=xl/sharedStrings.xml><?xml version="1.0" encoding="utf-8"?>
<sst xmlns="http://schemas.openxmlformats.org/spreadsheetml/2006/main" count="1329" uniqueCount="268">
  <si>
    <t>Total</t>
  </si>
  <si>
    <t>Actual</t>
  </si>
  <si>
    <t>Budget</t>
  </si>
  <si>
    <t>over Budget</t>
  </si>
  <si>
    <t>% of Budget</t>
  </si>
  <si>
    <t>Revenue</t>
  </si>
  <si>
    <t xml:space="preserve">   3100 Local donations</t>
  </si>
  <si>
    <t xml:space="preserve">   3199 Local revenue - misc</t>
  </si>
  <si>
    <t xml:space="preserve">   3520 Private Foundations / Grants</t>
  </si>
  <si>
    <t xml:space="preserve">   5200 Federal - CSP</t>
  </si>
  <si>
    <t>Total Revenue</t>
  </si>
  <si>
    <t>Gross Profit</t>
  </si>
  <si>
    <t>Expenditures</t>
  </si>
  <si>
    <t xml:space="preserve">   6106 Classified - Operations Staff</t>
  </si>
  <si>
    <t xml:space="preserve">   6270 Certificated - Teachers - Regular</t>
  </si>
  <si>
    <t xml:space="preserve">   7051 Social Security/Medicare/FUTA</t>
  </si>
  <si>
    <t xml:space="preserve">   7052 Worker's Compensation Insurance</t>
  </si>
  <si>
    <t xml:space="preserve">   7053 State Unemployment</t>
  </si>
  <si>
    <t xml:space="preserve">   7054 Paid Family Medical Leave</t>
  </si>
  <si>
    <t xml:space="preserve">   8035 Payroll &amp; Accounting Services</t>
  </si>
  <si>
    <t xml:space="preserve">   8050 Contracted Services - Tech</t>
  </si>
  <si>
    <t xml:space="preserve">   8060 Dues &amp; Memberships</t>
  </si>
  <si>
    <t xml:space="preserve">   8065 Interest Expense</t>
  </si>
  <si>
    <t xml:space="preserve">   8505 Board Expenses</t>
  </si>
  <si>
    <t xml:space="preserve">   8510 Classroom / Teaching Supplies &amp; Materials</t>
  </si>
  <si>
    <t xml:space="preserve">   8530 Equipment / Furniture</t>
  </si>
  <si>
    <t xml:space="preserve">   8535 Telephone / Internet</t>
  </si>
  <si>
    <t xml:space="preserve">   8540 Technology - Hardware</t>
  </si>
  <si>
    <t xml:space="preserve">   8541 Technology - Software</t>
  </si>
  <si>
    <t xml:space="preserve">   8565 Office Expense</t>
  </si>
  <si>
    <t xml:space="preserve">   8570 Staff Development</t>
  </si>
  <si>
    <t xml:space="preserve">   8575 Staff Recruitment</t>
  </si>
  <si>
    <t xml:space="preserve">   8580 Student Recruitment / Marketing</t>
  </si>
  <si>
    <t xml:space="preserve">   8590 Travel (Staff)</t>
  </si>
  <si>
    <t xml:space="preserve">   9005 Insurance Expense</t>
  </si>
  <si>
    <t xml:space="preserve">   9015 Building and Land Rent / Lease</t>
  </si>
  <si>
    <t>Total Expenditures</t>
  </si>
  <si>
    <t>Net Operating Revenue</t>
  </si>
  <si>
    <t>Net Revenue</t>
  </si>
  <si>
    <t>Over/(Under) Budget</t>
  </si>
  <si>
    <t>Local Support</t>
  </si>
  <si>
    <t>State Revenue - General</t>
  </si>
  <si>
    <t>State Revenue - Special Purpose</t>
  </si>
  <si>
    <t>Federal Revenue</t>
  </si>
  <si>
    <t>Grants &amp; Other Sources</t>
  </si>
  <si>
    <t>Salaries</t>
  </si>
  <si>
    <t>Personnel Taxes &amp; Benefits</t>
  </si>
  <si>
    <t>Contracted Services</t>
  </si>
  <si>
    <t>School Operations</t>
  </si>
  <si>
    <t>Facility Operations &amp; Maintenance</t>
  </si>
  <si>
    <t>Public revenue</t>
  </si>
  <si>
    <t>Private</t>
  </si>
  <si>
    <t xml:space="preserve">   Total Payroll Expenses</t>
  </si>
  <si>
    <t xml:space="preserve">      Wages</t>
  </si>
  <si>
    <t xml:space="preserve">   Payroll Expenses</t>
  </si>
  <si>
    <t xml:space="preserve">   9010 Janitorial</t>
  </si>
  <si>
    <t xml:space="preserve">   8585 School Meals / Lunch</t>
  </si>
  <si>
    <t xml:space="preserve">   6105 Classified - Executive Management</t>
  </si>
  <si>
    <t>TOTAL LIABILITIES AND EQUITY</t>
  </si>
  <si>
    <t xml:space="preserve">   Total Equity</t>
  </si>
  <si>
    <t xml:space="preserve">      Net Revenue</t>
  </si>
  <si>
    <t xml:space="preserve">      2999 Restricted Net Assets</t>
  </si>
  <si>
    <t xml:space="preserve">      2998 Unrestricted Net Assets</t>
  </si>
  <si>
    <t xml:space="preserve">   Equity</t>
  </si>
  <si>
    <t xml:space="preserve">   Total Liabilities</t>
  </si>
  <si>
    <t xml:space="preserve">      Total Long-Term Liabilities</t>
  </si>
  <si>
    <t xml:space="preserve">         2501 Construction Loan Payable</t>
  </si>
  <si>
    <t xml:space="preserve">      Long-Term Liabilities</t>
  </si>
  <si>
    <t xml:space="preserve">      Total Current Liabilities</t>
  </si>
  <si>
    <t xml:space="preserve">         Total Other Current Liabilities</t>
  </si>
  <si>
    <t xml:space="preserve">            2171 Use Tax Payable</t>
  </si>
  <si>
    <t xml:space="preserve">         Other Current Liabilities</t>
  </si>
  <si>
    <t xml:space="preserve">         Total Accounts Payable</t>
  </si>
  <si>
    <t xml:space="preserve">            2100 Accounts Payable</t>
  </si>
  <si>
    <t xml:space="preserve">         Accounts Payable</t>
  </si>
  <si>
    <t xml:space="preserve">      Current Liabilities</t>
  </si>
  <si>
    <t xml:space="preserve">   Liabilities</t>
  </si>
  <si>
    <t>LIABILITIES AND EQUITY</t>
  </si>
  <si>
    <t>TOTAL ASSETS</t>
  </si>
  <si>
    <t xml:space="preserve">   Total Fixed Assets</t>
  </si>
  <si>
    <t xml:space="preserve">      1504 Fixed Assets-Furniture, Fixtures &amp; Other</t>
  </si>
  <si>
    <t xml:space="preserve">      1503 Fixed Assets-Leasehold Improvements</t>
  </si>
  <si>
    <t xml:space="preserve">      1501 Fixed Assets-Capitalized Equipment</t>
  </si>
  <si>
    <t xml:space="preserve">   Fixed Assets</t>
  </si>
  <si>
    <t xml:space="preserve">   Total Current Assets</t>
  </si>
  <si>
    <t xml:space="preserve">      Total Other Current Assets</t>
  </si>
  <si>
    <t xml:space="preserve">         1150 Prepaids &amp; Other Assets</t>
  </si>
  <si>
    <t xml:space="preserve">      Other Current Assets</t>
  </si>
  <si>
    <t xml:space="preserve">      Total Accounts Receivable</t>
  </si>
  <si>
    <t xml:space="preserve">         1100 Accounts Receivable (A/R)</t>
  </si>
  <si>
    <t xml:space="preserve">      Accounts Receivable</t>
  </si>
  <si>
    <t xml:space="preserve">      Total Bank Accounts</t>
  </si>
  <si>
    <t xml:space="preserve">      Bank Accounts</t>
  </si>
  <si>
    <t xml:space="preserve">   Current Assets</t>
  </si>
  <si>
    <t>ASSETS</t>
  </si>
  <si>
    <t>As of August 31, 2021</t>
  </si>
  <si>
    <t>Balance Sheet</t>
  </si>
  <si>
    <t>Pullman Community Montessori</t>
  </si>
  <si>
    <t>Friday, Sep 17, 2021 04:41:32 PM GMT-7 - Accrual Basis</t>
  </si>
  <si>
    <t xml:space="preserve">            2202 Loan Payable - short-term</t>
  </si>
  <si>
    <t xml:space="preserve">            2101 Accrued Accounts &amp; Payroll Payable</t>
  </si>
  <si>
    <t xml:space="preserve">         1005 Banner Bank x3234 - PUBLIC Savings</t>
  </si>
  <si>
    <t xml:space="preserve">         1001 Banner Bank x4695 - PRIVATE Checking</t>
  </si>
  <si>
    <t xml:space="preserve">         1000 Banner Bank x4353 - PUBLIC Checking</t>
  </si>
  <si>
    <t>Friday, Sep 17, 2021 04:41:23 PM GMT-7 - Accrual Basis</t>
  </si>
  <si>
    <t xml:space="preserve">   8545 Student Testing &amp; Assessment</t>
  </si>
  <si>
    <t xml:space="preserve">   8515 Special Ed Supplies &amp; Materials</t>
  </si>
  <si>
    <t xml:space="preserve">   8051 Contracted Services - Program Support / PD</t>
  </si>
  <si>
    <t xml:space="preserve">   8040 Special Ed Services</t>
  </si>
  <si>
    <t xml:space="preserve">   8030 Food Service / School Lunch</t>
  </si>
  <si>
    <t xml:space="preserve">   8025 Nurse Services</t>
  </si>
  <si>
    <t xml:space="preserve">   8010 Legal</t>
  </si>
  <si>
    <t xml:space="preserve">   7055 Retirement Contribution - DRS</t>
  </si>
  <si>
    <t xml:space="preserve">   6373 Classified - Aides - Regular</t>
  </si>
  <si>
    <t xml:space="preserve">   6198 Classified - Lunch Staff</t>
  </si>
  <si>
    <t xml:space="preserve">   6107 Classified - Other Admin - Non -Instructional</t>
  </si>
  <si>
    <t xml:space="preserve">   6010 Certificated - Instructional Management</t>
  </si>
  <si>
    <t xml:space="preserve">   Sales</t>
  </si>
  <si>
    <t xml:space="preserve">   3501 Interest Income (Private)</t>
  </si>
  <si>
    <t>September 2020 - August 2021</t>
  </si>
  <si>
    <t>Year 0 Budget vs Actual</t>
  </si>
  <si>
    <t>Monday, Oct 18, 2021 08:57:31 AM GMT-7 - Accrual Basis</t>
  </si>
  <si>
    <t xml:space="preserve">            2158 LTD Payable</t>
  </si>
  <si>
    <t xml:space="preserve">            2156 Health Insurance Payable - SEBB</t>
  </si>
  <si>
    <t xml:space="preserve">            2155 Retirement Payable - DRS</t>
  </si>
  <si>
    <t xml:space="preserve">      1510 Facilities - In Progress</t>
  </si>
  <si>
    <t>As of September 30, 2021</t>
  </si>
  <si>
    <t>Monday, Oct 18, 2021 08:57:14 AM GMT-7 - Accrual Basis</t>
  </si>
  <si>
    <t>Net Other Revenue</t>
  </si>
  <si>
    <t>Total Other Expenditures</t>
  </si>
  <si>
    <t xml:space="preserve">   9050 Depreciation</t>
  </si>
  <si>
    <t>Other Expenditures</t>
  </si>
  <si>
    <t xml:space="preserve">   9045 Interest Expense</t>
  </si>
  <si>
    <t xml:space="preserve">   9030 Security Services</t>
  </si>
  <si>
    <t xml:space="preserve">   9020 Repairs &amp; Maintenance Bld</t>
  </si>
  <si>
    <t xml:space="preserve">   8630 Prior Year Expenses - Not Accrued</t>
  </si>
  <si>
    <t xml:space="preserve">   8599 Transportation (student)</t>
  </si>
  <si>
    <t xml:space="preserve">   8595 Fundraising</t>
  </si>
  <si>
    <t xml:space="preserve">   8561 Student Activites - Clubs</t>
  </si>
  <si>
    <t xml:space="preserve">   8550 Student Activities - Field Trips</t>
  </si>
  <si>
    <t xml:space="preserve">   8526 COVID-19 Expenses</t>
  </si>
  <si>
    <t xml:space="preserve">   8520 Textbooks / Workbooks</t>
  </si>
  <si>
    <t xml:space="preserve">   8055 Printing</t>
  </si>
  <si>
    <t xml:space="preserve">   8054 Contracted Services - Afterschool</t>
  </si>
  <si>
    <t xml:space="preserve">   8053 Contracted Services - Misc</t>
  </si>
  <si>
    <t xml:space="preserve">   8052 Contracted Services - Instructional</t>
  </si>
  <si>
    <t xml:space="preserve">   8015 Oversight Fee (3%)</t>
  </si>
  <si>
    <t xml:space="preserve">   8005 Audits</t>
  </si>
  <si>
    <t xml:space="preserve">   7056 Health Insurance - SEBB</t>
  </si>
  <si>
    <t xml:space="preserve">   6275 Certificated - Teachers - SPED</t>
  </si>
  <si>
    <t xml:space="preserve">   6190 Classified - Other - Non -Instructional</t>
  </si>
  <si>
    <t xml:space="preserve">   6005 Certificated - Executive Management</t>
  </si>
  <si>
    <t xml:space="preserve">   5199 Federal - Misc Grants</t>
  </si>
  <si>
    <t xml:space="preserve">   5198 Federal - School Food Services (NSLP)</t>
  </si>
  <si>
    <t xml:space="preserve">   5124 Federal SPED - IDEA</t>
  </si>
  <si>
    <t xml:space="preserve">   5102 Title 2</t>
  </si>
  <si>
    <t xml:space="preserve">   5101 Title 1</t>
  </si>
  <si>
    <t xml:space="preserve">   4199 Transportation</t>
  </si>
  <si>
    <t xml:space="preserve">   4174 Highly Capable</t>
  </si>
  <si>
    <t xml:space="preserve">   4165 Transitional Bilingual</t>
  </si>
  <si>
    <t xml:space="preserve">   4155 Learning Assistance</t>
  </si>
  <si>
    <t xml:space="preserve">   4121 Special Education - State</t>
  </si>
  <si>
    <t xml:space="preserve">   4021 Special Education - General Apportionment</t>
  </si>
  <si>
    <t xml:space="preserve">   4000 General Apportionment</t>
  </si>
  <si>
    <t>September 2021</t>
  </si>
  <si>
    <t>2021-22 Budget vs. Actuals</t>
  </si>
  <si>
    <t>FY 21-22 Budget Status Report</t>
  </si>
  <si>
    <t>Friday, Nov 12, 2021 11:36:26 AM GMT-8 - Accrual Basis</t>
  </si>
  <si>
    <t xml:space="preserve">   8564 Bank &amp; Payment Processing Fees</t>
  </si>
  <si>
    <t>September - October, 2021</t>
  </si>
  <si>
    <t>Friday, Nov 12, 2021 11:37:07 AM GMT-8 - Accrual Basis</t>
  </si>
  <si>
    <t xml:space="preserve">            2157 HSA/FSA/DCAP Payable - SEBB</t>
  </si>
  <si>
    <t>As of October 31, 2021</t>
  </si>
  <si>
    <t>Nurse: FTE increased due to grant</t>
  </si>
  <si>
    <t>Increased budget a bit in file</t>
  </si>
  <si>
    <t>Not annualized, will track to # of school days elapsed…</t>
  </si>
  <si>
    <t>1. Update month name</t>
  </si>
  <si>
    <t>Months Elapsed</t>
  </si>
  <si>
    <t xml:space="preserve">3. Look for any expenses that don't have a budget </t>
  </si>
  <si>
    <t>3a. Make sure there's a reason for it, for this month there's:</t>
  </si>
  <si>
    <t>Subs: I'm not sure why there's no subs budget so I opened the budget file and it's coded to "Contracted Services - Instructional"</t>
  </si>
  <si>
    <t>Covid 19: not an actual budget line</t>
  </si>
  <si>
    <t>Bank fees: new line created after budget approval</t>
  </si>
  <si>
    <t>Janitorial: supposed to be covered by landlord</t>
  </si>
  <si>
    <t>3b. Anything above worth following up on? If I noticed janitorial services then yes, but it looks like it's all supplies.</t>
  </si>
  <si>
    <t>Friday, Dec 17, 2021 09:13:37 AM GMT-8 - Accrual Basis</t>
  </si>
  <si>
    <t xml:space="preserve">   8630 Prior Year Expenses - Not Accrued (deleted)</t>
  </si>
  <si>
    <t xml:space="preserve">   6271 Certificated - Teachers - Substitutes</t>
  </si>
  <si>
    <t>September - November, 2021</t>
  </si>
  <si>
    <t>5. I also like looking at the balance sheet to see what, if anything, has been capitalized, this month there was:</t>
  </si>
  <si>
    <t>Facilities in progress increased $40k</t>
  </si>
  <si>
    <t>Loan payable increased $40k</t>
  </si>
  <si>
    <t>5a. Anything worth reporting to the Board? I'd say if the project went way over budget then yeah.</t>
  </si>
  <si>
    <t>5b. Anything need updated in your budget workbook? I updated the loan amounts.</t>
  </si>
  <si>
    <t>4. Look for any expenses that are not tracking to the marker (months elapsed: 25%)</t>
  </si>
  <si>
    <t>4a. If it looks like those expenses are going to go over or under budget by a material amount, update budget workbook. This month there's</t>
  </si>
  <si>
    <t>1a. Export line by line BvA from QBO and put here</t>
  </si>
  <si>
    <t>3. Enrollment update: I try to always make sure to get Laylah or Sean to give an enrollment update</t>
  </si>
  <si>
    <t>Expense Marker</t>
  </si>
  <si>
    <t>Revenue Marker</t>
  </si>
  <si>
    <t>Apportionment</t>
  </si>
  <si>
    <t>1b. Find &amp; replace equations to new month</t>
  </si>
  <si>
    <t>7. Based on analysis above, what would be the 3 top items you'd think are important to highlight and I stick those on the dashboard for additional notes</t>
  </si>
  <si>
    <t>Staff: classified non instructional (nurse) and lunch staff are way above 25%, but I've already updated the budget. Aides is a bit high but I'm not worried about it.</t>
  </si>
  <si>
    <t>SPED services: can be normal to run a bit high as schools need to front load IEP eval costs</t>
  </si>
  <si>
    <t>Dues &amp; memberships is over by a small amount but I'll update the budget regardless hah</t>
  </si>
  <si>
    <t>6. Rinse and repeat for revenues, for this month there's</t>
  </si>
  <si>
    <t>0.</t>
  </si>
  <si>
    <t>Forgot to mention the transaction detail scrub, ideally done before all of this.</t>
  </si>
  <si>
    <t>Still no TBIP funding, iGrant never filed, ask Laylah if planning to finish it</t>
  </si>
  <si>
    <t>Will make Federal funds claims in Jan; Any update from Laylah on Food Service claims?</t>
  </si>
  <si>
    <t>1. Expenses: Final loan draw down + staffing increases for nurse &amp; lunch manager</t>
  </si>
  <si>
    <t xml:space="preserve">2. Revenue: what's the update on the TBIP iGrant app &amp; update on meals claims? </t>
  </si>
  <si>
    <t>% Received / Spent</t>
  </si>
  <si>
    <t xml:space="preserve">   4258 State Miscellaneous Revenue</t>
  </si>
  <si>
    <t>September - December, 2021</t>
  </si>
  <si>
    <t>Contingency</t>
  </si>
  <si>
    <t>Wednesday, Jan 19, 2022 07:22:25 AM GMT-8 - Accrual Basis</t>
  </si>
  <si>
    <t>For Januay, add the capital section back</t>
  </si>
  <si>
    <t>Figure out a way to add SPED enrollment to dashboard</t>
  </si>
  <si>
    <t>From FPPM: Financial Reporting 
One week before each Board meeting, the following will be sent to the Finance Committee for review: 
1) the budget vs. actual report for the operating budget; 
2) the budget vs. actual report for the capital budget; 
3) the Statement of Financial Position; and 
4) the enrollment budget vs. actual report per grade for General Education and Special Education students.</t>
  </si>
  <si>
    <t>Wednesday, Feb 16, 2022 03:30:31 PM GMT-8 - Accrual Basis</t>
  </si>
  <si>
    <t xml:space="preserve">   4198 State - School Food Service</t>
  </si>
  <si>
    <t xml:space="preserve">   3201 Interest Income (Public)</t>
  </si>
  <si>
    <t>September 2021 - January 2022</t>
  </si>
  <si>
    <t>Wednesday, Feb 16, 2022 03:32:43 PM GMT-8 - Accrual Basis</t>
  </si>
  <si>
    <t>As of January 31, 2022</t>
  </si>
  <si>
    <t xml:space="preserve">   1501 Fixed Assets-Capitalized Equipment (Tech)</t>
  </si>
  <si>
    <t xml:space="preserve">   1504 Fixed Assets-Furniture, Fixtures &amp; Other</t>
  </si>
  <si>
    <t>Total Capital Expenditures</t>
  </si>
  <si>
    <t>All Expenditures</t>
  </si>
  <si>
    <t>Capital Expenditures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</si>
  <si>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</si>
  <si>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</si>
  <si>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</si>
  <si>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</si>
  <si>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</si>
  <si>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</si>
  <si>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</si>
  <si>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</si>
  <si>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</si>
  <si>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</si>
  <si>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</si>
  <si>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</si>
  <si>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Public rev goal:</t>
  </si>
  <si>
    <t>Expenditures goal:</t>
  </si>
  <si>
    <t>Aug '21</t>
  </si>
  <si>
    <t>New spending</t>
  </si>
  <si>
    <t xml:space="preserve">Budget vs. Actuals: 21-22 Revised Budget - FY22 P&amp;L </t>
  </si>
  <si>
    <t>September 2021 - February 2022</t>
  </si>
  <si>
    <t>Monday, Mar 14, 2022 09:45:50 AM GMT-7 - Accrual Basis</t>
  </si>
  <si>
    <t>Monday, Mar 14, 2022 11:31:47 AM GMT-7 - Accrual Basis</t>
  </si>
  <si>
    <t>As of February 28, 2022</t>
  </si>
  <si>
    <t>September 2021 - March 2022</t>
  </si>
  <si>
    <t>Monday, Apr 18, 2022 07:22:18 AM GMT-7 - Accrual Basis</t>
  </si>
  <si>
    <t>As of March 31, 2022</t>
  </si>
  <si>
    <t>Monday, Apr 18, 2022 07:31:07 AM GMT-7 - Accrual Basis</t>
  </si>
  <si>
    <t>April 2022</t>
  </si>
  <si>
    <t>September 2021 - April 2022</t>
  </si>
  <si>
    <t xml:space="preserve">   3100 Local Donations</t>
  </si>
  <si>
    <t xml:space="preserve">   3102 Sales - Student Activities</t>
  </si>
  <si>
    <t xml:space="preserve">   6278 Certificated - Stipends</t>
  </si>
  <si>
    <t xml:space="preserve">   8550 Field Trips</t>
  </si>
  <si>
    <t xml:space="preserve">   8561 Student Activities</t>
  </si>
  <si>
    <t>Monday, May 16, 2022 03:26:06 PM GMT-7 - Accrual Basis</t>
  </si>
  <si>
    <t>As of April 30, 2022</t>
  </si>
  <si>
    <t>As of Apr 30, 2022</t>
  </si>
  <si>
    <t>Monday, May 16, 2022 03:26:28 PM GMT-7 - Accrual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</si>
</sst>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</numFmts>
  <fonts count="16" x14ac:knownFonts="1">
    <font>
      <sz val="11"/>
      <color rgb="FF000000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1">
    <xf numFmtId="0" fontId="0" fillId="0" borderId="0" xfId="0" applyFont="1" applyAlignment="1"/>
    <xf numFmtId="0" fontId="1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/>
    <xf numFmtId="0" fontId="1" fillId="0" borderId="0" xfId="0" applyFont="1"/>
    <xf numFmtId="0" fontId="3" fillId="0" borderId="0" xfId="1"/>
    <xf numFmtId="0" fontId="3" fillId="0" borderId="0" xfId="1" applyAlignment="1">
      <alignment wrapText="1"/>
    </xf>
    <xf numFmtId="0" fontId="6" fillId="0" borderId="1" xfId="1" applyFont="1" applyBorder="1" applyAlignment="1">
      <alignment horizontal="center" wrapText="1"/>
    </xf>
    <xf numFmtId="0" fontId="7" fillId="0" borderId="0" xfId="1" applyFont="1" applyAlignment="1">
      <alignment horizontal="left" wrapText="1"/>
    </xf>
    <xf numFmtId="164" fontId="8" fillId="0" borderId="0" xfId="1" applyNumberFormat="1" applyFont="1" applyAlignment="1">
      <alignment wrapText="1"/>
    </xf>
    <xf numFmtId="0" fontId="7" fillId="0" borderId="0" xfId="1" applyFont="1" applyAlignment="1">
      <alignment horizontal="left" wrapText="1" indent="1"/>
    </xf>
    <xf numFmtId="164" fontId="8" fillId="0" borderId="0" xfId="1" applyNumberFormat="1" applyFont="1" applyAlignment="1">
      <alignment horizontal="right" wrapText="1"/>
    </xf>
    <xf numFmtId="10" fontId="8" fillId="0" borderId="0" xfId="1" applyNumberFormat="1" applyFont="1" applyAlignment="1">
      <alignment horizontal="right" wrapText="1"/>
    </xf>
    <xf numFmtId="165" fontId="7" fillId="0" borderId="2" xfId="1" applyNumberFormat="1" applyFont="1" applyBorder="1" applyAlignment="1">
      <alignment horizontal="right" wrapText="1"/>
    </xf>
    <xf numFmtId="10" fontId="7" fillId="0" borderId="2" xfId="1" applyNumberFormat="1" applyFont="1" applyBorder="1" applyAlignment="1">
      <alignment horizontal="right" wrapText="1"/>
    </xf>
    <xf numFmtId="4" fontId="3" fillId="0" borderId="0" xfId="1" applyNumberFormat="1"/>
    <xf numFmtId="44" fontId="3" fillId="0" borderId="0" xfId="1" applyNumberFormat="1"/>
    <xf numFmtId="43" fontId="0" fillId="0" borderId="0" xfId="2" applyFont="1"/>
    <xf numFmtId="9" fontId="0" fillId="0" borderId="0" xfId="3" applyFont="1"/>
    <xf numFmtId="0" fontId="6" fillId="0" borderId="1" xfId="1" applyFont="1" applyBorder="1" applyAlignment="1">
      <alignment horizontal="center" wrapText="1"/>
    </xf>
    <xf numFmtId="0" fontId="3" fillId="0" borderId="0" xfId="1" applyAlignment="1">
      <alignment wrapText="1"/>
    </xf>
    <xf numFmtId="0" fontId="3" fillId="0" borderId="0" xfId="1"/>
    <xf numFmtId="0" fontId="3" fillId="0" borderId="0" xfId="1"/>
    <xf numFmtId="0" fontId="6" fillId="0" borderId="1" xfId="1" applyFont="1" applyBorder="1" applyAlignment="1">
      <alignment horizontal="center" wrapText="1"/>
    </xf>
    <xf numFmtId="0" fontId="3" fillId="0" borderId="0" xfId="1" applyAlignment="1">
      <alignment wrapText="1"/>
    </xf>
    <xf numFmtId="0" fontId="3" fillId="0" borderId="0" xfId="1"/>
    <xf numFmtId="0" fontId="6" fillId="0" borderId="1" xfId="1" applyFont="1" applyBorder="1" applyAlignment="1">
      <alignment horizontal="center" wrapText="1"/>
    </xf>
    <xf numFmtId="0" fontId="3" fillId="0" borderId="0" xfId="1" applyAlignment="1">
      <alignment wrapText="1"/>
    </xf>
    <xf numFmtId="0" fontId="3" fillId="0" borderId="0" xfId="1"/>
    <xf numFmtId="0" fontId="6" fillId="0" borderId="1" xfId="1" applyFont="1" applyBorder="1" applyAlignment="1">
      <alignment horizontal="center" wrapText="1"/>
    </xf>
    <xf numFmtId="0" fontId="3" fillId="0" borderId="0" xfId="1" applyAlignment="1">
      <alignment wrapText="1"/>
    </xf>
    <xf numFmtId="0" fontId="3" fillId="0" borderId="0" xfId="1"/>
    <xf numFmtId="0" fontId="9" fillId="0" borderId="0" xfId="1" applyFont="1"/>
    <xf numFmtId="9" fontId="3" fillId="0" borderId="0" xfId="4" applyFont="1"/>
    <xf numFmtId="9" fontId="3" fillId="0" borderId="0" xfId="1" applyNumberFormat="1"/>
    <xf numFmtId="10" fontId="8" fillId="2" borderId="0" xfId="1" applyNumberFormat="1" applyFont="1" applyFill="1" applyAlignment="1">
      <alignment horizontal="right" wrapText="1"/>
    </xf>
    <xf numFmtId="0" fontId="3" fillId="0" borderId="0" xfId="1" quotePrefix="1"/>
    <xf numFmtId="10" fontId="8" fillId="0" borderId="0" xfId="1" applyNumberFormat="1" applyFont="1" applyFill="1" applyAlignment="1">
      <alignment horizontal="right" wrapText="1"/>
    </xf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164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right" wrapText="1"/>
    </xf>
    <xf numFmtId="10" fontId="8" fillId="0" borderId="0" xfId="0" applyNumberFormat="1" applyFont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10" fontId="7" fillId="0" borderId="2" xfId="0" applyNumberFormat="1" applyFont="1" applyBorder="1" applyAlignment="1">
      <alignment horizontal="right" wrapText="1"/>
    </xf>
    <xf numFmtId="0" fontId="6" fillId="0" borderId="1" xfId="1" applyFont="1" applyBorder="1" applyAlignment="1">
      <alignment horizontal="center" wrapText="1"/>
    </xf>
    <xf numFmtId="0" fontId="3" fillId="0" borderId="0" xfId="1" applyAlignment="1">
      <alignment wrapText="1"/>
    </xf>
    <xf numFmtId="0" fontId="3" fillId="0" borderId="0" xfId="1"/>
    <xf numFmtId="0" fontId="3" fillId="2" borderId="0" xfId="1" applyFill="1"/>
    <xf numFmtId="0" fontId="6" fillId="0" borderId="1" xfId="1" applyFont="1" applyBorder="1" applyAlignment="1">
      <alignment horizontal="center" wrapText="1"/>
    </xf>
    <xf numFmtId="0" fontId="3" fillId="0" borderId="0" xfId="1" applyAlignment="1">
      <alignment wrapText="1"/>
    </xf>
    <xf numFmtId="0" fontId="3" fillId="0" borderId="0" xfId="1"/>
    <xf numFmtId="10" fontId="2" fillId="0" borderId="0" xfId="0" applyNumberFormat="1" applyFont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0" fontId="2" fillId="0" borderId="3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0" fontId="2" fillId="0" borderId="0" xfId="0" applyNumberFormat="1" applyFont="1" applyBorder="1" applyAlignment="1">
      <alignment horizontal="right" wrapText="1"/>
    </xf>
    <xf numFmtId="0" fontId="3" fillId="0" borderId="0" xfId="1" applyAlignment="1">
      <alignment wrapText="1"/>
    </xf>
    <xf numFmtId="0" fontId="3" fillId="0" borderId="0" xfId="1"/>
    <xf numFmtId="0" fontId="6" fillId="0" borderId="1" xfId="1" applyFont="1" applyBorder="1" applyAlignment="1">
      <alignment horizontal="center" wrapText="1"/>
    </xf>
    <xf numFmtId="0" fontId="3" fillId="0" borderId="0" xfId="1" applyAlignment="1">
      <alignment wrapText="1"/>
    </xf>
    <xf numFmtId="0" fontId="3" fillId="0" borderId="0" xfId="1"/>
    <xf numFmtId="0" fontId="13" fillId="0" borderId="1" xfId="1" applyFont="1" applyBorder="1" applyAlignment="1">
      <alignment horizontal="center" wrapText="1"/>
    </xf>
    <xf numFmtId="0" fontId="14" fillId="0" borderId="0" xfId="1" applyFont="1" applyAlignment="1">
      <alignment horizontal="left" wrapText="1"/>
    </xf>
    <xf numFmtId="164" fontId="15" fillId="0" borderId="0" xfId="1" applyNumberFormat="1" applyFont="1" applyAlignment="1">
      <alignment wrapText="1"/>
    </xf>
    <xf numFmtId="164" fontId="15" fillId="0" borderId="0" xfId="1" applyNumberFormat="1" applyFont="1" applyAlignment="1">
      <alignment horizontal="right" wrapText="1"/>
    </xf>
    <xf numFmtId="10" fontId="15" fillId="0" borderId="0" xfId="1" applyNumberFormat="1" applyFont="1" applyAlignment="1">
      <alignment horizontal="right" wrapText="1"/>
    </xf>
    <xf numFmtId="165" fontId="14" fillId="0" borderId="2" xfId="1" applyNumberFormat="1" applyFont="1" applyBorder="1" applyAlignment="1">
      <alignment horizontal="right" wrapText="1"/>
    </xf>
    <xf numFmtId="10" fontId="14" fillId="0" borderId="2" xfId="1" applyNumberFormat="1" applyFont="1" applyBorder="1" applyAlignment="1">
      <alignment horizontal="right" wrapText="1"/>
    </xf>
    <xf numFmtId="0" fontId="6" fillId="0" borderId="1" xfId="1" applyFont="1" applyBorder="1" applyAlignment="1">
      <alignment horizontal="center" wrapText="1"/>
    </xf>
    <xf numFmtId="0" fontId="3" fillId="0" borderId="0" xfId="1" applyAlignment="1">
      <alignment wrapText="1"/>
    </xf>
    <xf numFmtId="0" fontId="4" fillId="0" borderId="0" xfId="1" applyFont="1" applyAlignment="1">
      <alignment horizontal="center"/>
    </xf>
    <xf numFmtId="0" fontId="3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3" fillId="0" borderId="1" xfId="1" applyFont="1" applyBorder="1" applyAlignment="1">
      <alignment horizontal="center" wrapText="1"/>
    </xf>
    <xf numFmtId="17" fontId="5" fillId="0" borderId="0" xfId="1" quotePrefix="1" applyNumberFormat="1" applyFont="1" applyAlignment="1">
      <alignment horizontal="center"/>
    </xf>
    <xf numFmtId="0" fontId="3" fillId="0" borderId="1" xfId="1" applyBorder="1" applyAlignment="1">
      <alignment wrapText="1"/>
    </xf>
    <xf numFmtId="0" fontId="3" fillId="2" borderId="0" xfId="1" applyFill="1" applyAlignment="1">
      <alignment horizontal="center" wrapText="1"/>
    </xf>
  </cellXfs>
  <cellStyles count="5">
    <cellStyle name="Comma 2" xfId="2" xr:uid="{0B9E6769-A69D-4E76-926F-A43082BD87FF}"/>
    <cellStyle name="Normal" xfId="0" builtinId="0"/>
    <cellStyle name="Normal 2" xfId="1" xr:uid="{A19AC61D-2D1F-465B-8E4A-F4D779993257}"/>
    <cellStyle name="Percent" xfId="4" builtinId="5"/>
    <cellStyle name="Percent 2" xfId="3" xr:uid="{DD669E2B-B7A4-46BE-8485-1082875200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574</xdr:colOff>
      <xdr:row>2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A42EC8-0FCC-42CE-8239-0C8F51F18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4" cy="563880"/>
        </a:xfrm>
        <a:prstGeom prst="rect">
          <a:avLst/>
        </a:prstGeom>
      </xdr:spPr>
    </xdr:pic>
    <xdr:clientData/>
  </xdr:twoCellAnchor>
  <xdr:twoCellAnchor editAs="oneCell">
    <xdr:from>
      <xdr:col>0</xdr:col>
      <xdr:colOff>462915</xdr:colOff>
      <xdr:row>0</xdr:row>
      <xdr:rowOff>133350</xdr:rowOff>
    </xdr:from>
    <xdr:to>
      <xdr:col>0</xdr:col>
      <xdr:colOff>1501140</xdr:colOff>
      <xdr:row>3</xdr:row>
      <xdr:rowOff>523875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313195-E56C-4F77-BC36-CD6C564D7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" y="133350"/>
          <a:ext cx="103822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C6FE2-8666-42C5-973F-1AE16F3BBA73}">
  <sheetPr>
    <pageSetUpPr fitToPage="1"/>
  </sheetPr>
  <dimension ref="A1:T38"/>
  <sheetViews>
    <sheetView tabSelected="1" topLeftCell="A7" workbookViewId="0">
      <selection activeCell="E29" sqref="E29"/>
    </sheetView>
  </sheetViews>
  <sheetFormatPr defaultColWidth="8.75" defaultRowHeight="15" x14ac:dyDescent="0.25"/>
  <cols>
    <col min="1" max="1" width="35.625" style="5" bestFit="1" customWidth="1"/>
    <col min="2" max="2" width="12.375" style="5" bestFit="1" customWidth="1"/>
    <col min="3" max="3" width="10.75" style="5" customWidth="1"/>
    <col min="4" max="4" width="12.375" style="5" customWidth="1"/>
    <col min="5" max="5" width="9.25" style="5" customWidth="1"/>
    <col min="6" max="13" width="8.75" style="5"/>
    <col min="14" max="14" width="13.25" style="5" bestFit="1" customWidth="1"/>
    <col min="15" max="16" width="8.75" style="5"/>
    <col min="17" max="17" width="14" style="5" customWidth="1"/>
    <col min="18" max="16384" width="8.75" style="5"/>
  </cols>
  <sheetData>
    <row r="1" spans="1:18" ht="18" x14ac:dyDescent="0.25">
      <c r="A1" s="74" t="s">
        <v>97</v>
      </c>
      <c r="B1" s="75"/>
      <c r="C1" s="75"/>
      <c r="D1" s="75"/>
      <c r="E1" s="75"/>
      <c r="I1" s="51" t="s">
        <v>218</v>
      </c>
      <c r="J1" s="51"/>
      <c r="K1" s="51"/>
      <c r="L1" s="51"/>
      <c r="N1" s="5" t="s">
        <v>177</v>
      </c>
      <c r="O1" s="5">
        <v>4</v>
      </c>
    </row>
    <row r="2" spans="1:18" ht="18" x14ac:dyDescent="0.25">
      <c r="A2" s="74" t="s">
        <v>166</v>
      </c>
      <c r="B2" s="75"/>
      <c r="C2" s="75"/>
      <c r="D2" s="75"/>
      <c r="E2" s="75"/>
      <c r="I2" s="51" t="s">
        <v>219</v>
      </c>
      <c r="J2" s="51"/>
      <c r="K2" s="51"/>
      <c r="L2" s="51"/>
      <c r="N2" s="5" t="s">
        <v>198</v>
      </c>
      <c r="O2" s="33">
        <f>O1/12</f>
        <v>0.33333333333333331</v>
      </c>
      <c r="Q2" s="5" t="s">
        <v>199</v>
      </c>
      <c r="R2" s="34">
        <f>SUM(I32:L32)</f>
        <v>0.30999999999999994</v>
      </c>
    </row>
    <row r="3" spans="1:18" ht="15" customHeight="1" x14ac:dyDescent="0.25">
      <c r="A3" s="88" t="s">
        <v>257</v>
      </c>
      <c r="B3" s="75"/>
      <c r="C3" s="75"/>
      <c r="D3" s="75"/>
      <c r="E3" s="75"/>
      <c r="I3" s="90" t="s">
        <v>220</v>
      </c>
      <c r="J3" s="90"/>
      <c r="K3" s="90"/>
      <c r="L3" s="90"/>
      <c r="M3" s="90"/>
      <c r="N3" s="90"/>
      <c r="O3" s="90"/>
      <c r="P3" s="90"/>
      <c r="Q3" s="90"/>
    </row>
    <row r="4" spans="1:18" ht="71.25" customHeight="1" x14ac:dyDescent="0.25">
      <c r="I4" s="90"/>
      <c r="J4" s="90"/>
      <c r="K4" s="90"/>
      <c r="L4" s="90"/>
      <c r="M4" s="90"/>
      <c r="N4" s="90"/>
      <c r="O4" s="90"/>
      <c r="P4" s="90"/>
      <c r="Q4" s="90"/>
    </row>
    <row r="5" spans="1:18" x14ac:dyDescent="0.25">
      <c r="A5" s="6"/>
      <c r="B5" s="72" t="s">
        <v>0</v>
      </c>
      <c r="C5" s="89"/>
      <c r="D5" s="89"/>
      <c r="E5" s="89"/>
    </row>
    <row r="6" spans="1:18" ht="24.75" x14ac:dyDescent="0.25">
      <c r="A6" s="6"/>
      <c r="B6" s="7" t="s">
        <v>1</v>
      </c>
      <c r="C6" s="7" t="s">
        <v>2</v>
      </c>
      <c r="D6" s="7" t="s">
        <v>39</v>
      </c>
      <c r="E6" s="7" t="s">
        <v>213</v>
      </c>
      <c r="M6" s="15"/>
    </row>
    <row r="7" spans="1:18" x14ac:dyDescent="0.25">
      <c r="A7" s="8" t="s">
        <v>5</v>
      </c>
      <c r="B7" s="9"/>
      <c r="C7" s="9"/>
      <c r="D7" s="9"/>
      <c r="E7" s="9"/>
    </row>
    <row r="8" spans="1:18" x14ac:dyDescent="0.25">
      <c r="A8" s="10" t="s">
        <v>40</v>
      </c>
      <c r="B8" s="9">
        <f>SUMIF('BvA Apr 22'!F:F,Report!A8,'BvA Apr 22'!B:B)</f>
        <v>7901.21</v>
      </c>
      <c r="C8" s="9">
        <f>SUMIF('BvA Apr 22'!F:F,Report!A8,'BvA Apr 22'!C:C)</f>
        <v>5000</v>
      </c>
      <c r="D8" s="11">
        <f>(B8)-(C8)</f>
        <v>2901.21</v>
      </c>
      <c r="E8" s="12">
        <f t="shared" ref="E8:E14" si="0">IF(C8=0,"",(B8)/(C8))</f>
        <v>1.5802419999999999</v>
      </c>
      <c r="M8" s="15"/>
    </row>
    <row r="9" spans="1:18" x14ac:dyDescent="0.25">
      <c r="A9" s="10" t="s">
        <v>41</v>
      </c>
      <c r="B9" s="9">
        <f>SUMIF('BvA Apr 22'!F:F,Report!A9,'BvA Apr 22'!B:B)</f>
        <v>543549.47</v>
      </c>
      <c r="C9" s="9">
        <f>SUMIF('BvA Apr 22'!F:F,Report!A9,'BvA Apr 22'!C:C)</f>
        <v>784175</v>
      </c>
      <c r="D9" s="11">
        <f t="shared" ref="D9:D14" si="1">(B9)-(C9)</f>
        <v>-240625.53000000003</v>
      </c>
      <c r="E9" s="12">
        <f t="shared" si="0"/>
        <v>0.69314817483342361</v>
      </c>
    </row>
    <row r="10" spans="1:18" x14ac:dyDescent="0.25">
      <c r="A10" s="10" t="s">
        <v>42</v>
      </c>
      <c r="B10" s="9">
        <f>SUMIF('BvA Apr 22'!F:F,Report!A10,'BvA Apr 22'!B:B)</f>
        <v>90394.170000000013</v>
      </c>
      <c r="C10" s="9">
        <f>SUMIF('BvA Apr 22'!F:F,Report!A10,'BvA Apr 22'!C:C)</f>
        <v>133751</v>
      </c>
      <c r="D10" s="11">
        <f t="shared" si="1"/>
        <v>-43356.829999999987</v>
      </c>
      <c r="E10" s="12">
        <f t="shared" si="0"/>
        <v>0.67583920867881375</v>
      </c>
    </row>
    <row r="11" spans="1:18" x14ac:dyDescent="0.25">
      <c r="A11" s="10" t="s">
        <v>43</v>
      </c>
      <c r="B11" s="9">
        <f>SUMIF('BvA Apr 22'!F:F,Report!A11,'BvA Apr 22'!B:B)</f>
        <v>299721.45</v>
      </c>
      <c r="C11" s="9">
        <f>SUMIF('BvA Apr 22'!F:F,Report!A11,'BvA Apr 22'!C:C)</f>
        <v>552639</v>
      </c>
      <c r="D11" s="11">
        <f t="shared" si="1"/>
        <v>-252917.55</v>
      </c>
      <c r="E11" s="12">
        <f t="shared" si="0"/>
        <v>0.54234581707045648</v>
      </c>
    </row>
    <row r="12" spans="1:18" x14ac:dyDescent="0.25">
      <c r="A12" s="10" t="s">
        <v>44</v>
      </c>
      <c r="B12" s="9">
        <f>SUMIF('BvA Apr 22'!F:F,Report!A12,'BvA Apr 22'!B:B)</f>
        <v>105000</v>
      </c>
      <c r="C12" s="9">
        <f>SUMIF('BvA Apr 22'!F:F,Report!A12,'BvA Apr 22'!C:C)</f>
        <v>260500</v>
      </c>
      <c r="D12" s="11">
        <f t="shared" si="1"/>
        <v>-155500</v>
      </c>
      <c r="E12" s="12">
        <f t="shared" si="0"/>
        <v>0.40307101727447214</v>
      </c>
      <c r="G12" s="15">
        <f>B12+31000</f>
        <v>136000</v>
      </c>
    </row>
    <row r="13" spans="1:18" x14ac:dyDescent="0.25">
      <c r="A13" s="8" t="s">
        <v>10</v>
      </c>
      <c r="B13" s="13">
        <f>SUM(B8:B12)</f>
        <v>1046566.3</v>
      </c>
      <c r="C13" s="13">
        <f t="shared" ref="C13:D13" si="2">SUM(C8:C12)</f>
        <v>1736065</v>
      </c>
      <c r="D13" s="13">
        <f t="shared" si="2"/>
        <v>-689498.7</v>
      </c>
      <c r="E13" s="14">
        <f t="shared" si="0"/>
        <v>0.60283820018259693</v>
      </c>
      <c r="G13" s="5">
        <f>G12/C12</f>
        <v>0.52207293666026866</v>
      </c>
    </row>
    <row r="14" spans="1:18" x14ac:dyDescent="0.25">
      <c r="A14" s="8" t="s">
        <v>11</v>
      </c>
      <c r="B14" s="13">
        <f>(B13)-(0)</f>
        <v>1046566.3</v>
      </c>
      <c r="C14" s="13">
        <f>(C13)-(0)</f>
        <v>1736065</v>
      </c>
      <c r="D14" s="13">
        <f t="shared" si="1"/>
        <v>-689498.7</v>
      </c>
      <c r="E14" s="14">
        <f t="shared" si="0"/>
        <v>0.60283820018259693</v>
      </c>
    </row>
    <row r="15" spans="1:18" x14ac:dyDescent="0.25">
      <c r="A15" s="8" t="s">
        <v>12</v>
      </c>
      <c r="B15" s="9"/>
      <c r="C15" s="9"/>
      <c r="D15" s="9"/>
      <c r="E15" s="9"/>
    </row>
    <row r="16" spans="1:18" x14ac:dyDescent="0.25">
      <c r="A16" s="10" t="s">
        <v>45</v>
      </c>
      <c r="B16" s="9">
        <f>SUMIF('BvA Apr 22'!F:F,Report!A16,'BvA Apr 22'!B:B)</f>
        <v>426918.22</v>
      </c>
      <c r="C16" s="9">
        <f>SUMIF('BvA Apr 22'!F:F,Report!A16,'BvA Apr 22'!C:C)</f>
        <v>653932</v>
      </c>
      <c r="D16" s="11">
        <f t="shared" ref="D16:D23" si="3">(B16)-(C16)</f>
        <v>-227013.78000000003</v>
      </c>
      <c r="E16" s="12">
        <f t="shared" ref="E16:E23" si="4">IF(C16=0,"",(B16)/(C16))</f>
        <v>0.65284803312882678</v>
      </c>
    </row>
    <row r="17" spans="1:20" x14ac:dyDescent="0.25">
      <c r="A17" s="10" t="s">
        <v>46</v>
      </c>
      <c r="B17" s="9">
        <f>SUMIF('BvA Apr 22'!F:F,Report!A17,'BvA Apr 22'!B:B)</f>
        <v>179535.32</v>
      </c>
      <c r="C17" s="9">
        <f>SUMIF('BvA Apr 22'!F:F,Report!A17,'BvA Apr 22'!C:C)</f>
        <v>310590</v>
      </c>
      <c r="D17" s="11">
        <f t="shared" si="3"/>
        <v>-131054.68</v>
      </c>
      <c r="E17" s="12">
        <f t="shared" si="4"/>
        <v>0.57804604140506777</v>
      </c>
    </row>
    <row r="18" spans="1:20" x14ac:dyDescent="0.25">
      <c r="A18" s="10" t="s">
        <v>47</v>
      </c>
      <c r="B18" s="9">
        <f>SUMIF('BvA Apr 22'!F:F,Report!A18,'BvA Apr 22'!B:B)</f>
        <v>207044.81</v>
      </c>
      <c r="C18" s="9">
        <f>SUMIF('BvA Apr 22'!F:F,Report!A18,'BvA Apr 22'!C:C)</f>
        <v>323794</v>
      </c>
      <c r="D18" s="11">
        <f t="shared" si="3"/>
        <v>-116749.19</v>
      </c>
      <c r="E18" s="12">
        <f t="shared" si="4"/>
        <v>0.63943374491188842</v>
      </c>
    </row>
    <row r="19" spans="1:20" x14ac:dyDescent="0.25">
      <c r="A19" s="10" t="s">
        <v>48</v>
      </c>
      <c r="B19" s="9">
        <f>SUMIF('BvA Apr 22'!F:F,Report!A19,'BvA Apr 22'!B:B)</f>
        <v>151307.12999999998</v>
      </c>
      <c r="C19" s="9">
        <f>SUMIF('BvA Apr 22'!F:F,Report!A19,'BvA Apr 22'!C:C)-C26-C27</f>
        <v>226211</v>
      </c>
      <c r="D19" s="11">
        <f t="shared" si="3"/>
        <v>-74903.870000000024</v>
      </c>
      <c r="E19" s="12">
        <f t="shared" si="4"/>
        <v>0.66887609355866862</v>
      </c>
    </row>
    <row r="20" spans="1:20" x14ac:dyDescent="0.25">
      <c r="A20" s="10" t="s">
        <v>49</v>
      </c>
      <c r="B20" s="9">
        <f>SUMIF('BvA Apr 22'!F:F,Report!A20,'BvA Apr 22'!B:B)</f>
        <v>136664.24</v>
      </c>
      <c r="C20" s="9">
        <f>SUMIF('BvA Apr 22'!F:F,Report!A20,'BvA Apr 22'!C:C)</f>
        <v>179368</v>
      </c>
      <c r="D20" s="11">
        <f t="shared" si="3"/>
        <v>-42703.760000000009</v>
      </c>
      <c r="E20" s="12">
        <f t="shared" si="4"/>
        <v>0.76192096695062661</v>
      </c>
    </row>
    <row r="21" spans="1:20" x14ac:dyDescent="0.25">
      <c r="A21" s="8" t="s">
        <v>36</v>
      </c>
      <c r="B21" s="13">
        <f>SUM(B16:B20)</f>
        <v>1101469.7200000002</v>
      </c>
      <c r="C21" s="13">
        <f>SUM(C16:C20)</f>
        <v>1693895</v>
      </c>
      <c r="D21" s="13">
        <f t="shared" ref="D21" si="5">SUM(D16:D20)</f>
        <v>-592425.28</v>
      </c>
      <c r="E21" s="14">
        <f t="shared" si="4"/>
        <v>0.65025855793895149</v>
      </c>
    </row>
    <row r="22" spans="1:20" x14ac:dyDescent="0.25">
      <c r="A22" s="8" t="s">
        <v>37</v>
      </c>
      <c r="B22" s="13">
        <f>(B14)-(B21)</f>
        <v>-54903.420000000158</v>
      </c>
      <c r="C22" s="13">
        <f>(C14)-(C21)</f>
        <v>42170</v>
      </c>
      <c r="D22" s="13">
        <f t="shared" si="3"/>
        <v>-97073.420000000158</v>
      </c>
      <c r="E22" s="14">
        <f t="shared" si="4"/>
        <v>-1.3019544700023751</v>
      </c>
    </row>
    <row r="23" spans="1:20" x14ac:dyDescent="0.25">
      <c r="A23" s="8" t="s">
        <v>38</v>
      </c>
      <c r="B23" s="13">
        <f>(B22)+(0)</f>
        <v>-54903.420000000158</v>
      </c>
      <c r="C23" s="13">
        <f>(C22)+(0)</f>
        <v>42170</v>
      </c>
      <c r="D23" s="13">
        <f t="shared" si="3"/>
        <v>-97073.420000000158</v>
      </c>
      <c r="E23" s="14">
        <f t="shared" si="4"/>
        <v>-1.3019544700023751</v>
      </c>
    </row>
    <row r="24" spans="1:20" x14ac:dyDescent="0.25">
      <c r="A24" s="8"/>
      <c r="B24" s="9"/>
      <c r="C24" s="9"/>
      <c r="D24" s="9"/>
      <c r="E24" s="9"/>
    </row>
    <row r="25" spans="1:20" x14ac:dyDescent="0.25">
      <c r="A25" s="4" t="s">
        <v>231</v>
      </c>
      <c r="B25" s="2"/>
      <c r="C25" s="2"/>
      <c r="D25" s="3"/>
      <c r="E25" s="3"/>
    </row>
    <row r="26" spans="1:20" x14ac:dyDescent="0.25">
      <c r="A26" s="1" t="s">
        <v>227</v>
      </c>
      <c r="B26" s="2">
        <f>+'BS Apr 22'!D22</f>
        <v>11113.849999999999</v>
      </c>
      <c r="C26" s="2">
        <v>17206</v>
      </c>
      <c r="D26" s="2">
        <f t="shared" ref="D26:D29" si="6">(B26)-(C26)</f>
        <v>-6092.1500000000015</v>
      </c>
      <c r="E26" s="55">
        <f t="shared" ref="E26:E29" si="7">IF(C26=0,"",(B26)/(C26))</f>
        <v>0.64592874578635351</v>
      </c>
      <c r="I26" s="5" t="s">
        <v>244</v>
      </c>
      <c r="K26" s="5" t="s">
        <v>245</v>
      </c>
    </row>
    <row r="27" spans="1:20" x14ac:dyDescent="0.25">
      <c r="A27" s="1" t="s">
        <v>228</v>
      </c>
      <c r="B27" s="2">
        <f>+'BS Apr 22'!D24</f>
        <v>0</v>
      </c>
      <c r="C27" s="2">
        <v>46710</v>
      </c>
      <c r="D27" s="2">
        <f t="shared" si="6"/>
        <v>-46710</v>
      </c>
      <c r="E27" s="55">
        <f t="shared" si="7"/>
        <v>0</v>
      </c>
      <c r="I27" s="34">
        <f>SUM(I32:P32)</f>
        <v>0.66499999999999992</v>
      </c>
      <c r="K27" s="34">
        <f>SUM(I35:P35)</f>
        <v>0.66666666666666663</v>
      </c>
    </row>
    <row r="28" spans="1:20" x14ac:dyDescent="0.25">
      <c r="A28" s="4" t="s">
        <v>229</v>
      </c>
      <c r="B28" s="56">
        <f>SUM(B26:B27)</f>
        <v>11113.849999999999</v>
      </c>
      <c r="C28" s="56">
        <f>SUM(C26:C27)</f>
        <v>63916</v>
      </c>
      <c r="D28" s="56">
        <f t="shared" si="6"/>
        <v>-52802.15</v>
      </c>
      <c r="E28" s="57">
        <f t="shared" si="7"/>
        <v>0.17388212654108515</v>
      </c>
    </row>
    <row r="29" spans="1:20" x14ac:dyDescent="0.25">
      <c r="A29" s="4" t="s">
        <v>230</v>
      </c>
      <c r="B29" s="56">
        <f>B28+B21</f>
        <v>1112583.5700000003</v>
      </c>
      <c r="C29" s="56">
        <f>C28+C21</f>
        <v>1757811</v>
      </c>
      <c r="D29" s="56">
        <f t="shared" si="6"/>
        <v>-645227.4299999997</v>
      </c>
      <c r="E29" s="57">
        <f t="shared" si="7"/>
        <v>0.63293697103954882</v>
      </c>
    </row>
    <row r="30" spans="1:20" s="50" customFormat="1" x14ac:dyDescent="0.25">
      <c r="A30" s="4"/>
      <c r="B30" s="58"/>
      <c r="C30" s="58"/>
      <c r="D30" s="58"/>
      <c r="E30" s="59"/>
    </row>
    <row r="31" spans="1:20" x14ac:dyDescent="0.25">
      <c r="A31" s="5" t="s">
        <v>50</v>
      </c>
      <c r="B31" s="15">
        <f>B9+B10+B11</f>
        <v>933665.09000000008</v>
      </c>
      <c r="C31" s="15">
        <f>C9+C10+C11</f>
        <v>1470565</v>
      </c>
      <c r="D31" s="11">
        <f t="shared" ref="D31" si="8">(B31)-(C31)</f>
        <v>-536899.90999999992</v>
      </c>
      <c r="E31" s="12">
        <f t="shared" ref="E31" si="9">IF(C31=0,"",(B31)/(C31))</f>
        <v>0.634902292656224</v>
      </c>
      <c r="I31" s="5" t="s">
        <v>200</v>
      </c>
    </row>
    <row r="32" spans="1:20" x14ac:dyDescent="0.25">
      <c r="I32" s="33">
        <v>0.09</v>
      </c>
      <c r="J32" s="33">
        <v>0.08</v>
      </c>
      <c r="K32" s="33">
        <v>0.05</v>
      </c>
      <c r="L32" s="33">
        <v>0.09</v>
      </c>
      <c r="M32" s="33">
        <v>8.5000000000000006E-2</v>
      </c>
      <c r="N32" s="33">
        <v>0.09</v>
      </c>
      <c r="O32" s="33">
        <v>0.09</v>
      </c>
      <c r="P32" s="33">
        <v>0.09</v>
      </c>
      <c r="Q32" s="33">
        <v>0.05</v>
      </c>
      <c r="R32" s="33">
        <v>0.06</v>
      </c>
      <c r="S32" s="33">
        <v>0.125</v>
      </c>
      <c r="T32" s="33">
        <v>0.1</v>
      </c>
    </row>
    <row r="33" spans="1:20" x14ac:dyDescent="0.25">
      <c r="C33" s="16">
        <f>C21/365</f>
        <v>4640.8082191780823</v>
      </c>
      <c r="I33" s="5" t="s">
        <v>232</v>
      </c>
      <c r="J33" s="5" t="s">
        <v>233</v>
      </c>
      <c r="K33" s="5" t="s">
        <v>234</v>
      </c>
      <c r="L33" s="5" t="s">
        <v>235</v>
      </c>
      <c r="M33" s="5" t="s">
        <v>236</v>
      </c>
      <c r="N33" s="5" t="s">
        <v>237</v>
      </c>
      <c r="O33" s="5" t="s">
        <v>238</v>
      </c>
      <c r="P33" s="5" t="s">
        <v>239</v>
      </c>
      <c r="Q33" s="5" t="s">
        <v>240</v>
      </c>
      <c r="R33" s="5" t="s">
        <v>241</v>
      </c>
      <c r="S33" s="5" t="s">
        <v>242</v>
      </c>
      <c r="T33" s="5" t="s">
        <v>243</v>
      </c>
    </row>
    <row r="34" spans="1:20" x14ac:dyDescent="0.25">
      <c r="C34" s="17">
        <f>1527366/C33</f>
        <v>329.11637970476329</v>
      </c>
    </row>
    <row r="35" spans="1:20" x14ac:dyDescent="0.25">
      <c r="A35" s="5" t="s">
        <v>51</v>
      </c>
      <c r="B35" s="15">
        <f>B8+B12</f>
        <v>112901.21</v>
      </c>
      <c r="C35" s="15">
        <f>C8+C12</f>
        <v>265500</v>
      </c>
      <c r="D35" s="11">
        <f>(B35)-(C35)</f>
        <v>-152598.78999999998</v>
      </c>
      <c r="E35" s="12">
        <f t="shared" ref="E35" si="10">IF(C35=0,"",(B35)/(C35))</f>
        <v>0.4252399623352166</v>
      </c>
      <c r="I35" s="33">
        <f>1/12</f>
        <v>8.3333333333333329E-2</v>
      </c>
      <c r="J35" s="33">
        <f t="shared" ref="J35:T35" si="11">1/12</f>
        <v>8.3333333333333329E-2</v>
      </c>
      <c r="K35" s="33">
        <f t="shared" si="11"/>
        <v>8.3333333333333329E-2</v>
      </c>
      <c r="L35" s="33">
        <f t="shared" si="11"/>
        <v>8.3333333333333329E-2</v>
      </c>
      <c r="M35" s="33">
        <f t="shared" si="11"/>
        <v>8.3333333333333329E-2</v>
      </c>
      <c r="N35" s="33">
        <f t="shared" si="11"/>
        <v>8.3333333333333329E-2</v>
      </c>
      <c r="O35" s="33">
        <f t="shared" si="11"/>
        <v>8.3333333333333329E-2</v>
      </c>
      <c r="P35" s="33">
        <f t="shared" si="11"/>
        <v>8.3333333333333329E-2</v>
      </c>
      <c r="Q35" s="33">
        <f t="shared" si="11"/>
        <v>8.3333333333333329E-2</v>
      </c>
      <c r="R35" s="33">
        <f t="shared" si="11"/>
        <v>8.3333333333333329E-2</v>
      </c>
      <c r="S35" s="33">
        <f t="shared" si="11"/>
        <v>8.3333333333333329E-2</v>
      </c>
      <c r="T35" s="33">
        <f t="shared" si="11"/>
        <v>8.3333333333333329E-2</v>
      </c>
    </row>
    <row r="37" spans="1:20" x14ac:dyDescent="0.25">
      <c r="E37" s="18">
        <f>9/12</f>
        <v>0.75</v>
      </c>
    </row>
    <row r="38" spans="1:20" x14ac:dyDescent="0.25">
      <c r="C38" s="16">
        <f>C21/365*30</f>
        <v>139224.24657534246</v>
      </c>
    </row>
  </sheetData>
  <mergeCells count="5">
    <mergeCell ref="A1:E1"/>
    <mergeCell ref="A2:E2"/>
    <mergeCell ref="A3:E3"/>
    <mergeCell ref="B5:E5"/>
    <mergeCell ref="I3:Q4"/>
  </mergeCells>
  <printOptions horizontalCentered="1"/>
  <pageMargins left="0.7" right="0.7" top="0.75" bottom="0.75" header="0.3" footer="0.3"/>
  <pageSetup scale="3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9B4EB-E11D-45F3-82FD-988DFBF7B69C}">
  <dimension ref="A1:D53"/>
  <sheetViews>
    <sheetView workbookViewId="0">
      <selection activeCell="C20" sqref="C20:D23"/>
    </sheetView>
  </sheetViews>
  <sheetFormatPr defaultRowHeight="15" x14ac:dyDescent="0.25"/>
  <cols>
    <col min="1" max="1" width="39.125" style="50" customWidth="1"/>
    <col min="2" max="2" width="21.75" style="50" customWidth="1"/>
    <col min="3" max="16384" width="9" style="50"/>
  </cols>
  <sheetData>
    <row r="1" spans="1:2" ht="18" x14ac:dyDescent="0.25">
      <c r="A1" s="74" t="s">
        <v>97</v>
      </c>
      <c r="B1" s="75"/>
    </row>
    <row r="2" spans="1:2" ht="18" x14ac:dyDescent="0.25">
      <c r="A2" s="74" t="s">
        <v>96</v>
      </c>
      <c r="B2" s="75"/>
    </row>
    <row r="3" spans="1:2" x14ac:dyDescent="0.25">
      <c r="A3" s="76" t="s">
        <v>226</v>
      </c>
      <c r="B3" s="75"/>
    </row>
    <row r="5" spans="1:2" x14ac:dyDescent="0.25">
      <c r="A5" s="49"/>
      <c r="B5" s="48" t="s">
        <v>0</v>
      </c>
    </row>
    <row r="6" spans="1:2" x14ac:dyDescent="0.25">
      <c r="A6" s="8" t="s">
        <v>94</v>
      </c>
      <c r="B6" s="9"/>
    </row>
    <row r="7" spans="1:2" x14ac:dyDescent="0.25">
      <c r="A7" s="8" t="s">
        <v>93</v>
      </c>
      <c r="B7" s="9"/>
    </row>
    <row r="8" spans="1:2" x14ac:dyDescent="0.25">
      <c r="A8" s="8" t="s">
        <v>92</v>
      </c>
      <c r="B8" s="9"/>
    </row>
    <row r="9" spans="1:2" x14ac:dyDescent="0.25">
      <c r="A9" s="8" t="s">
        <v>103</v>
      </c>
      <c r="B9" s="11">
        <f>126588.77</f>
        <v>126588.77</v>
      </c>
    </row>
    <row r="10" spans="1:2" x14ac:dyDescent="0.25">
      <c r="A10" s="8" t="s">
        <v>102</v>
      </c>
      <c r="B10" s="11">
        <f>1232.38</f>
        <v>1232.3800000000001</v>
      </c>
    </row>
    <row r="11" spans="1:2" x14ac:dyDescent="0.25">
      <c r="A11" s="8" t="s">
        <v>101</v>
      </c>
      <c r="B11" s="11">
        <f>1095.4</f>
        <v>1095.4000000000001</v>
      </c>
    </row>
    <row r="12" spans="1:2" x14ac:dyDescent="0.25">
      <c r="A12" s="8" t="s">
        <v>91</v>
      </c>
      <c r="B12" s="13">
        <f>((B9)+(B10))+(B11)</f>
        <v>128916.55</v>
      </c>
    </row>
    <row r="13" spans="1:2" x14ac:dyDescent="0.25">
      <c r="A13" s="8" t="s">
        <v>90</v>
      </c>
      <c r="B13" s="9"/>
    </row>
    <row r="14" spans="1:2" x14ac:dyDescent="0.25">
      <c r="A14" s="8" t="s">
        <v>89</v>
      </c>
      <c r="B14" s="11">
        <f>219082.96</f>
        <v>219082.96</v>
      </c>
    </row>
    <row r="15" spans="1:2" x14ac:dyDescent="0.25">
      <c r="A15" s="8" t="s">
        <v>88</v>
      </c>
      <c r="B15" s="13">
        <f>B14</f>
        <v>219082.96</v>
      </c>
    </row>
    <row r="16" spans="1:2" x14ac:dyDescent="0.25">
      <c r="A16" s="8" t="s">
        <v>87</v>
      </c>
      <c r="B16" s="9"/>
    </row>
    <row r="17" spans="1:4" x14ac:dyDescent="0.25">
      <c r="A17" s="8" t="s">
        <v>86</v>
      </c>
      <c r="B17" s="11">
        <f>10192.14</f>
        <v>10192.14</v>
      </c>
    </row>
    <row r="18" spans="1:4" x14ac:dyDescent="0.25">
      <c r="A18" s="8" t="s">
        <v>85</v>
      </c>
      <c r="B18" s="13">
        <f>B17</f>
        <v>10192.14</v>
      </c>
    </row>
    <row r="19" spans="1:4" x14ac:dyDescent="0.25">
      <c r="A19" s="8" t="s">
        <v>84</v>
      </c>
      <c r="B19" s="13">
        <f>((B12)+(B15))+(B18)</f>
        <v>358191.65</v>
      </c>
    </row>
    <row r="20" spans="1:4" x14ac:dyDescent="0.25">
      <c r="A20" s="8" t="s">
        <v>83</v>
      </c>
      <c r="B20" s="9"/>
      <c r="C20" s="50" t="s">
        <v>246</v>
      </c>
      <c r="D20" s="50" t="s">
        <v>247</v>
      </c>
    </row>
    <row r="21" spans="1:4" x14ac:dyDescent="0.25">
      <c r="A21" s="8" t="s">
        <v>82</v>
      </c>
      <c r="B21" s="11">
        <f>46770.36</f>
        <v>46770.36</v>
      </c>
      <c r="C21" s="50">
        <f>'BS Aug 21'!B21</f>
        <v>35656.51</v>
      </c>
      <c r="D21" s="15">
        <f>B21-C21</f>
        <v>11113.849999999999</v>
      </c>
    </row>
    <row r="22" spans="1:4" x14ac:dyDescent="0.25">
      <c r="A22" s="8" t="s">
        <v>81</v>
      </c>
      <c r="B22" s="11">
        <f>391802.62</f>
        <v>391802.62</v>
      </c>
      <c r="C22" s="50">
        <f>'BS Aug 21'!B22</f>
        <v>106222.74</v>
      </c>
      <c r="D22" s="15">
        <f>B22-C22</f>
        <v>285579.88</v>
      </c>
    </row>
    <row r="23" spans="1:4" x14ac:dyDescent="0.25">
      <c r="A23" s="8" t="s">
        <v>80</v>
      </c>
      <c r="B23" s="11">
        <f>68838.42</f>
        <v>68838.42</v>
      </c>
      <c r="C23" s="50">
        <f>'BS Aug 21'!B23</f>
        <v>68838.42</v>
      </c>
      <c r="D23" s="15">
        <f>B23-C23</f>
        <v>0</v>
      </c>
    </row>
    <row r="24" spans="1:4" x14ac:dyDescent="0.25">
      <c r="A24" s="8" t="s">
        <v>125</v>
      </c>
      <c r="B24" s="11">
        <f>95705.81</f>
        <v>95705.81</v>
      </c>
    </row>
    <row r="25" spans="1:4" x14ac:dyDescent="0.25">
      <c r="A25" s="8" t="s">
        <v>79</v>
      </c>
      <c r="B25" s="13">
        <f>(((B21)+(B22))+(B23))+(B24)</f>
        <v>603117.21</v>
      </c>
    </row>
    <row r="26" spans="1:4" x14ac:dyDescent="0.25">
      <c r="A26" s="8" t="s">
        <v>78</v>
      </c>
      <c r="B26" s="13">
        <f>(B19)+(B25)</f>
        <v>961308.86</v>
      </c>
    </row>
    <row r="27" spans="1:4" x14ac:dyDescent="0.25">
      <c r="A27" s="8" t="s">
        <v>77</v>
      </c>
      <c r="B27" s="9"/>
    </row>
    <row r="28" spans="1:4" x14ac:dyDescent="0.25">
      <c r="A28" s="8" t="s">
        <v>76</v>
      </c>
      <c r="B28" s="9"/>
    </row>
    <row r="29" spans="1:4" x14ac:dyDescent="0.25">
      <c r="A29" s="8" t="s">
        <v>75</v>
      </c>
      <c r="B29" s="9"/>
    </row>
    <row r="30" spans="1:4" x14ac:dyDescent="0.25">
      <c r="A30" s="8" t="s">
        <v>74</v>
      </c>
      <c r="B30" s="9"/>
    </row>
    <row r="31" spans="1:4" x14ac:dyDescent="0.25">
      <c r="A31" s="8" t="s">
        <v>73</v>
      </c>
      <c r="B31" s="11">
        <f>13881.76</f>
        <v>13881.76</v>
      </c>
    </row>
    <row r="32" spans="1:4" x14ac:dyDescent="0.25">
      <c r="A32" s="8" t="s">
        <v>72</v>
      </c>
      <c r="B32" s="13">
        <f>B31</f>
        <v>13881.76</v>
      </c>
    </row>
    <row r="33" spans="1:2" x14ac:dyDescent="0.25">
      <c r="A33" s="8" t="s">
        <v>71</v>
      </c>
      <c r="B33" s="9"/>
    </row>
    <row r="34" spans="1:2" x14ac:dyDescent="0.25">
      <c r="A34" s="8" t="s">
        <v>100</v>
      </c>
      <c r="B34" s="11">
        <f>37091.25</f>
        <v>37091.25</v>
      </c>
    </row>
    <row r="35" spans="1:2" x14ac:dyDescent="0.25">
      <c r="A35" s="8" t="s">
        <v>124</v>
      </c>
      <c r="B35" s="11">
        <f>9360.3</f>
        <v>9360.2999999999993</v>
      </c>
    </row>
    <row r="36" spans="1:2" x14ac:dyDescent="0.25">
      <c r="A36" s="8" t="s">
        <v>123</v>
      </c>
      <c r="B36" s="11">
        <f>-20205.5</f>
        <v>-20205.5</v>
      </c>
    </row>
    <row r="37" spans="1:2" x14ac:dyDescent="0.25">
      <c r="A37" s="8" t="s">
        <v>70</v>
      </c>
      <c r="B37" s="11">
        <f>8527.69</f>
        <v>8527.69</v>
      </c>
    </row>
    <row r="38" spans="1:2" x14ac:dyDescent="0.25">
      <c r="A38" s="8" t="s">
        <v>69</v>
      </c>
      <c r="B38" s="13">
        <f>(((B34)+(B35))+(B36))+(B37)</f>
        <v>34773.740000000005</v>
      </c>
    </row>
    <row r="39" spans="1:2" x14ac:dyDescent="0.25">
      <c r="A39" s="8" t="s">
        <v>68</v>
      </c>
      <c r="B39" s="13">
        <f>(B32)+(B38)</f>
        <v>48655.500000000007</v>
      </c>
    </row>
    <row r="40" spans="1:2" x14ac:dyDescent="0.25">
      <c r="A40" s="8" t="s">
        <v>67</v>
      </c>
      <c r="B40" s="9"/>
    </row>
    <row r="41" spans="1:2" x14ac:dyDescent="0.25">
      <c r="A41" s="8" t="s">
        <v>66</v>
      </c>
      <c r="B41" s="11">
        <f>469476.6</f>
        <v>469476.6</v>
      </c>
    </row>
    <row r="42" spans="1:2" x14ac:dyDescent="0.25">
      <c r="A42" s="8" t="s">
        <v>65</v>
      </c>
      <c r="B42" s="13">
        <f>B41</f>
        <v>469476.6</v>
      </c>
    </row>
    <row r="43" spans="1:2" x14ac:dyDescent="0.25">
      <c r="A43" s="8" t="s">
        <v>64</v>
      </c>
      <c r="B43" s="13">
        <f>(B39)+(B42)</f>
        <v>518132.1</v>
      </c>
    </row>
    <row r="44" spans="1:2" x14ac:dyDescent="0.25">
      <c r="A44" s="8" t="s">
        <v>63</v>
      </c>
      <c r="B44" s="9"/>
    </row>
    <row r="45" spans="1:2" x14ac:dyDescent="0.25">
      <c r="A45" s="8" t="s">
        <v>62</v>
      </c>
      <c r="B45" s="11">
        <f>447957.24</f>
        <v>447957.24</v>
      </c>
    </row>
    <row r="46" spans="1:2" x14ac:dyDescent="0.25">
      <c r="A46" s="8" t="s">
        <v>61</v>
      </c>
      <c r="B46" s="11">
        <f>4500</f>
        <v>4500</v>
      </c>
    </row>
    <row r="47" spans="1:2" x14ac:dyDescent="0.25">
      <c r="A47" s="8" t="s">
        <v>60</v>
      </c>
      <c r="B47" s="11">
        <f>-9280.48</f>
        <v>-9280.48</v>
      </c>
    </row>
    <row r="48" spans="1:2" x14ac:dyDescent="0.25">
      <c r="A48" s="8" t="s">
        <v>59</v>
      </c>
      <c r="B48" s="13">
        <f>((B45)+(B46))+(B47)</f>
        <v>443176.76</v>
      </c>
    </row>
    <row r="49" spans="1:2" x14ac:dyDescent="0.25">
      <c r="A49" s="8" t="s">
        <v>58</v>
      </c>
      <c r="B49" s="13">
        <f>(B43)+(B48)</f>
        <v>961308.86</v>
      </c>
    </row>
    <row r="50" spans="1:2" x14ac:dyDescent="0.25">
      <c r="A50" s="8"/>
      <c r="B50" s="9"/>
    </row>
    <row r="53" spans="1:2" x14ac:dyDescent="0.25">
      <c r="A53" s="77" t="s">
        <v>225</v>
      </c>
      <c r="B53" s="75"/>
    </row>
  </sheetData>
  <mergeCells count="4">
    <mergeCell ref="A53:B53"/>
    <mergeCell ref="A1:B1"/>
    <mergeCell ref="A2:B2"/>
    <mergeCell ref="A3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B3E3D-94F8-4DAA-A2B4-01A88C7EFB4D}">
  <dimension ref="A1:F95"/>
  <sheetViews>
    <sheetView topLeftCell="A76" workbookViewId="0">
      <selection activeCell="F8" sqref="F8"/>
    </sheetView>
  </sheetViews>
  <sheetFormatPr defaultRowHeight="15" x14ac:dyDescent="0.25"/>
  <cols>
    <col min="1" max="1" width="39.125" style="50" customWidth="1"/>
    <col min="2" max="2" width="9" style="50" customWidth="1"/>
    <col min="3" max="3" width="10.5" style="50" customWidth="1"/>
    <col min="4" max="4" width="12" style="50" customWidth="1"/>
    <col min="5" max="5" width="9" style="50" customWidth="1"/>
    <col min="6" max="16384" width="9" style="50"/>
  </cols>
  <sheetData>
    <row r="1" spans="1:6" ht="18" x14ac:dyDescent="0.25">
      <c r="A1" s="74" t="s">
        <v>97</v>
      </c>
      <c r="B1" s="75"/>
      <c r="C1" s="75"/>
      <c r="D1" s="75"/>
      <c r="E1" s="75"/>
    </row>
    <row r="2" spans="1:6" ht="18" x14ac:dyDescent="0.25">
      <c r="A2" s="74" t="s">
        <v>165</v>
      </c>
      <c r="B2" s="75"/>
      <c r="C2" s="75"/>
      <c r="D2" s="75"/>
      <c r="E2" s="75"/>
    </row>
    <row r="3" spans="1:6" x14ac:dyDescent="0.25">
      <c r="A3" s="76" t="s">
        <v>224</v>
      </c>
      <c r="B3" s="75"/>
      <c r="C3" s="75"/>
      <c r="D3" s="75"/>
      <c r="E3" s="75"/>
    </row>
    <row r="5" spans="1:6" x14ac:dyDescent="0.25">
      <c r="A5" s="49"/>
      <c r="B5" s="72" t="s">
        <v>0</v>
      </c>
      <c r="C5" s="73"/>
      <c r="D5" s="73"/>
      <c r="E5" s="73"/>
    </row>
    <row r="6" spans="1:6" ht="24.75" x14ac:dyDescent="0.25">
      <c r="A6" s="49"/>
      <c r="B6" s="48" t="s">
        <v>1</v>
      </c>
      <c r="C6" s="48" t="s">
        <v>2</v>
      </c>
      <c r="D6" s="48" t="s">
        <v>3</v>
      </c>
      <c r="E6" s="48" t="s">
        <v>4</v>
      </c>
    </row>
    <row r="7" spans="1:6" x14ac:dyDescent="0.25">
      <c r="A7" s="8" t="s">
        <v>5</v>
      </c>
      <c r="B7" s="9"/>
      <c r="C7" s="9"/>
      <c r="D7" s="9"/>
      <c r="E7" s="9"/>
    </row>
    <row r="8" spans="1:6" x14ac:dyDescent="0.25">
      <c r="A8" s="8" t="s">
        <v>6</v>
      </c>
      <c r="B8" s="11">
        <f>4014.79</f>
        <v>4014.79</v>
      </c>
      <c r="C8" s="11">
        <f>25000</f>
        <v>25000</v>
      </c>
      <c r="D8" s="11">
        <f t="shared" ref="D8:D28" si="0">(B8)-(C8)</f>
        <v>-20985.21</v>
      </c>
      <c r="E8" s="12">
        <f t="shared" ref="E8:E28" si="1">IF(C8=0,"",(B8)/(C8))</f>
        <v>0.1605916</v>
      </c>
      <c r="F8" s="50" t="str">
        <f>VLOOKUP(A8,'BvA Dec 21'!A:F,6,FALSE)</f>
        <v>Local Support</v>
      </c>
    </row>
    <row r="9" spans="1:6" x14ac:dyDescent="0.25">
      <c r="A9" s="8" t="s">
        <v>7</v>
      </c>
      <c r="B9" s="9"/>
      <c r="C9" s="11">
        <f>7050</f>
        <v>7050</v>
      </c>
      <c r="D9" s="11">
        <f t="shared" si="0"/>
        <v>-7050</v>
      </c>
      <c r="E9" s="12">
        <f t="shared" si="1"/>
        <v>0</v>
      </c>
      <c r="F9" s="50" t="str">
        <f>VLOOKUP(A9,'BvA Dec 21'!A:F,6,FALSE)</f>
        <v>Local Support</v>
      </c>
    </row>
    <row r="10" spans="1:6" x14ac:dyDescent="0.25">
      <c r="A10" s="8" t="s">
        <v>223</v>
      </c>
      <c r="B10" s="11">
        <f>0.09</f>
        <v>0.09</v>
      </c>
      <c r="C10" s="9"/>
      <c r="D10" s="11">
        <f t="shared" si="0"/>
        <v>0.09</v>
      </c>
      <c r="E10" s="12" t="str">
        <f t="shared" si="1"/>
        <v/>
      </c>
      <c r="F10" s="50" t="s">
        <v>40</v>
      </c>
    </row>
    <row r="11" spans="1:6" x14ac:dyDescent="0.25">
      <c r="A11" s="8" t="s">
        <v>8</v>
      </c>
      <c r="B11" s="11">
        <f>105000</f>
        <v>105000</v>
      </c>
      <c r="C11" s="11">
        <f>241000</f>
        <v>241000</v>
      </c>
      <c r="D11" s="11">
        <f t="shared" si="0"/>
        <v>-136000</v>
      </c>
      <c r="E11" s="12">
        <f t="shared" si="1"/>
        <v>0.43568464730290457</v>
      </c>
      <c r="F11" s="50" t="str">
        <f>VLOOKUP(A11,'BvA Dec 21'!A:F,6,FALSE)</f>
        <v>Grants &amp; Other Sources</v>
      </c>
    </row>
    <row r="12" spans="1:6" x14ac:dyDescent="0.25">
      <c r="A12" s="8" t="s">
        <v>163</v>
      </c>
      <c r="B12" s="11">
        <f>322860.21</f>
        <v>322860.21000000002</v>
      </c>
      <c r="C12" s="11">
        <f>989953.75</f>
        <v>989953.75</v>
      </c>
      <c r="D12" s="11">
        <f t="shared" si="0"/>
        <v>-667093.54</v>
      </c>
      <c r="E12" s="12">
        <f t="shared" si="1"/>
        <v>0.32613666042479261</v>
      </c>
      <c r="F12" s="50" t="str">
        <f>VLOOKUP(A12,'BvA Dec 21'!A:F,6,FALSE)</f>
        <v>State Revenue - General</v>
      </c>
    </row>
    <row r="13" spans="1:6" x14ac:dyDescent="0.25">
      <c r="A13" s="8" t="s">
        <v>162</v>
      </c>
      <c r="B13" s="11">
        <f>8668.01</f>
        <v>8668.01</v>
      </c>
      <c r="C13" s="11">
        <f>24001.51</f>
        <v>24001.51</v>
      </c>
      <c r="D13" s="11">
        <f t="shared" si="0"/>
        <v>-15333.499999999998</v>
      </c>
      <c r="E13" s="12">
        <f t="shared" si="1"/>
        <v>0.3611443613339328</v>
      </c>
      <c r="F13" s="50" t="str">
        <f>VLOOKUP(A13,'BvA Dec 21'!A:F,6,FALSE)</f>
        <v>State Revenue - Special Purpose</v>
      </c>
    </row>
    <row r="14" spans="1:6" x14ac:dyDescent="0.25">
      <c r="A14" s="8" t="s">
        <v>161</v>
      </c>
      <c r="B14" s="11">
        <f>39238.35</f>
        <v>39238.35</v>
      </c>
      <c r="C14" s="11">
        <f>122818.22</f>
        <v>122818.22</v>
      </c>
      <c r="D14" s="11">
        <f t="shared" si="0"/>
        <v>-83579.87</v>
      </c>
      <c r="E14" s="12">
        <f t="shared" si="1"/>
        <v>0.3194831353198247</v>
      </c>
      <c r="F14" s="50" t="str">
        <f>VLOOKUP(A14,'BvA Dec 21'!A:F,6,FALSE)</f>
        <v>State Revenue - Special Purpose</v>
      </c>
    </row>
    <row r="15" spans="1:6" x14ac:dyDescent="0.25">
      <c r="A15" s="8" t="s">
        <v>160</v>
      </c>
      <c r="B15" s="11">
        <f>6415.03</f>
        <v>6415.03</v>
      </c>
      <c r="C15" s="11">
        <f>29741.78</f>
        <v>29741.78</v>
      </c>
      <c r="D15" s="11">
        <f t="shared" si="0"/>
        <v>-23326.75</v>
      </c>
      <c r="E15" s="12">
        <f t="shared" si="1"/>
        <v>0.21569085643159219</v>
      </c>
      <c r="F15" s="50" t="str">
        <f>VLOOKUP(A15,'BvA Dec 21'!A:F,6,FALSE)</f>
        <v>State Revenue - Special Purpose</v>
      </c>
    </row>
    <row r="16" spans="1:6" x14ac:dyDescent="0.25">
      <c r="A16" s="8" t="s">
        <v>159</v>
      </c>
      <c r="B16" s="9"/>
      <c r="C16" s="11">
        <f>6342.8</f>
        <v>6342.8</v>
      </c>
      <c r="D16" s="11">
        <f t="shared" si="0"/>
        <v>-6342.8</v>
      </c>
      <c r="E16" s="12">
        <f t="shared" si="1"/>
        <v>0</v>
      </c>
      <c r="F16" s="50" t="str">
        <f>VLOOKUP(A16,'BvA Dec 21'!A:F,6,FALSE)</f>
        <v>State Revenue - Special Purpose</v>
      </c>
    </row>
    <row r="17" spans="1:6" x14ac:dyDescent="0.25">
      <c r="A17" s="8" t="s">
        <v>158</v>
      </c>
      <c r="B17" s="9"/>
      <c r="C17" s="11">
        <f>2641.54</f>
        <v>2641.54</v>
      </c>
      <c r="D17" s="11">
        <f t="shared" si="0"/>
        <v>-2641.54</v>
      </c>
      <c r="E17" s="12">
        <f t="shared" si="1"/>
        <v>0</v>
      </c>
      <c r="F17" s="50" t="str">
        <f>VLOOKUP(A17,'BvA Dec 21'!A:F,6,FALSE)</f>
        <v>State Revenue - Special Purpose</v>
      </c>
    </row>
    <row r="18" spans="1:6" x14ac:dyDescent="0.25">
      <c r="A18" s="8" t="s">
        <v>222</v>
      </c>
      <c r="B18" s="11">
        <f>893.5</f>
        <v>893.5</v>
      </c>
      <c r="C18" s="9"/>
      <c r="D18" s="11">
        <f t="shared" si="0"/>
        <v>893.5</v>
      </c>
      <c r="E18" s="12" t="str">
        <f t="shared" si="1"/>
        <v/>
      </c>
      <c r="F18" s="50" t="s">
        <v>42</v>
      </c>
    </row>
    <row r="19" spans="1:6" x14ac:dyDescent="0.25">
      <c r="A19" s="8" t="s">
        <v>157</v>
      </c>
      <c r="B19" s="9"/>
      <c r="C19" s="11">
        <f>18674.92</f>
        <v>18674.919999999998</v>
      </c>
      <c r="D19" s="11">
        <f t="shared" si="0"/>
        <v>-18674.919999999998</v>
      </c>
      <c r="E19" s="12">
        <f t="shared" si="1"/>
        <v>0</v>
      </c>
      <c r="F19" s="50" t="str">
        <f>VLOOKUP(A19,'BvA Dec 21'!A:F,6,FALSE)</f>
        <v>State Revenue - Special Purpose</v>
      </c>
    </row>
    <row r="20" spans="1:6" x14ac:dyDescent="0.25">
      <c r="A20" s="8" t="s">
        <v>214</v>
      </c>
      <c r="B20" s="11">
        <f>11520</f>
        <v>11520</v>
      </c>
      <c r="C20" s="9"/>
      <c r="D20" s="11">
        <f t="shared" si="0"/>
        <v>11520</v>
      </c>
      <c r="E20" s="12" t="str">
        <f t="shared" si="1"/>
        <v/>
      </c>
      <c r="F20" s="50" t="str">
        <f>VLOOKUP(A20,'BvA Dec 21'!A:F,6,FALSE)</f>
        <v>State Revenue - Special Purpose</v>
      </c>
    </row>
    <row r="21" spans="1:6" x14ac:dyDescent="0.25">
      <c r="A21" s="8" t="s">
        <v>156</v>
      </c>
      <c r="B21" s="9"/>
      <c r="C21" s="11">
        <f>16345</f>
        <v>16345</v>
      </c>
      <c r="D21" s="11">
        <f t="shared" si="0"/>
        <v>-16345</v>
      </c>
      <c r="E21" s="12">
        <f t="shared" si="1"/>
        <v>0</v>
      </c>
      <c r="F21" s="50" t="str">
        <f>VLOOKUP(A21,'BvA Dec 21'!A:F,6,FALSE)</f>
        <v>Federal Revenue</v>
      </c>
    </row>
    <row r="22" spans="1:6" x14ac:dyDescent="0.25">
      <c r="A22" s="8" t="s">
        <v>155</v>
      </c>
      <c r="B22" s="9"/>
      <c r="C22" s="11">
        <f>1316</f>
        <v>1316</v>
      </c>
      <c r="D22" s="11">
        <f t="shared" si="0"/>
        <v>-1316</v>
      </c>
      <c r="E22" s="12">
        <f t="shared" si="1"/>
        <v>0</v>
      </c>
      <c r="F22" s="50" t="str">
        <f>VLOOKUP(A22,'BvA Dec 21'!A:F,6,FALSE)</f>
        <v>Federal Revenue</v>
      </c>
    </row>
    <row r="23" spans="1:6" x14ac:dyDescent="0.25">
      <c r="A23" s="8" t="s">
        <v>154</v>
      </c>
      <c r="B23" s="11">
        <f>7514</f>
        <v>7514</v>
      </c>
      <c r="C23" s="11">
        <f>11985</f>
        <v>11985</v>
      </c>
      <c r="D23" s="11">
        <f t="shared" si="0"/>
        <v>-4471</v>
      </c>
      <c r="E23" s="12">
        <f t="shared" si="1"/>
        <v>0.62695035460992909</v>
      </c>
      <c r="F23" s="50" t="str">
        <f>VLOOKUP(A23,'BvA Dec 21'!A:F,6,FALSE)</f>
        <v>Federal Revenue</v>
      </c>
    </row>
    <row r="24" spans="1:6" x14ac:dyDescent="0.25">
      <c r="A24" s="8" t="s">
        <v>153</v>
      </c>
      <c r="B24" s="11">
        <f>14689.55</f>
        <v>14689.55</v>
      </c>
      <c r="C24" s="11">
        <f>92315.52</f>
        <v>92315.520000000004</v>
      </c>
      <c r="D24" s="11">
        <f t="shared" si="0"/>
        <v>-77625.97</v>
      </c>
      <c r="E24" s="12">
        <f t="shared" si="1"/>
        <v>0.15912329801099531</v>
      </c>
      <c r="F24" s="50" t="str">
        <f>VLOOKUP(A24,'BvA Dec 21'!A:F,6,FALSE)</f>
        <v>Federal Revenue</v>
      </c>
    </row>
    <row r="25" spans="1:6" x14ac:dyDescent="0.25">
      <c r="A25" s="8" t="s">
        <v>152</v>
      </c>
      <c r="B25" s="11">
        <f>12682.08</f>
        <v>12682.08</v>
      </c>
      <c r="C25" s="11">
        <f>105720</f>
        <v>105720</v>
      </c>
      <c r="D25" s="11">
        <f t="shared" si="0"/>
        <v>-93037.92</v>
      </c>
      <c r="E25" s="12">
        <f t="shared" si="1"/>
        <v>0.11995913734392735</v>
      </c>
      <c r="F25" s="50" t="str">
        <f>VLOOKUP(A25,'BvA Dec 21'!A:F,6,FALSE)</f>
        <v>Federal Revenue</v>
      </c>
    </row>
    <row r="26" spans="1:6" x14ac:dyDescent="0.25">
      <c r="A26" s="8" t="s">
        <v>9</v>
      </c>
      <c r="B26" s="11">
        <f>142050.46</f>
        <v>142050.46</v>
      </c>
      <c r="C26" s="11">
        <f>154303.85</f>
        <v>154303.85</v>
      </c>
      <c r="D26" s="11">
        <f t="shared" si="0"/>
        <v>-12253.390000000014</v>
      </c>
      <c r="E26" s="12">
        <f t="shared" si="1"/>
        <v>0.92058921407340122</v>
      </c>
      <c r="F26" s="50" t="str">
        <f>VLOOKUP(A26,'BvA Dec 21'!A:F,6,FALSE)</f>
        <v>Federal Revenue</v>
      </c>
    </row>
    <row r="27" spans="1:6" x14ac:dyDescent="0.25">
      <c r="A27" s="8" t="s">
        <v>10</v>
      </c>
      <c r="B27" s="13">
        <f>((((((((((((((((((B8)+(B9))+(B10))+(B11))+(B12))+(B13))+(B14))+(B15))+(B16))+(B17))+(B18))+(B19))+(B20))+(B21))+(B22))+(B23))+(B24))+(B25))+(B26)</f>
        <v>675546.07</v>
      </c>
      <c r="C27" s="13">
        <f>((((((((((((((((((C8)+(C9))+(C10))+(C11))+(C12))+(C13))+(C14))+(C15))+(C16))+(C17))+(C18))+(C19))+(C20))+(C21))+(C22))+(C23))+(C24))+(C25))+(C26)</f>
        <v>1849209.8900000001</v>
      </c>
      <c r="D27" s="13">
        <f t="shared" si="0"/>
        <v>-1173663.8200000003</v>
      </c>
      <c r="E27" s="14">
        <f t="shared" si="1"/>
        <v>0.36531605939009981</v>
      </c>
    </row>
    <row r="28" spans="1:6" x14ac:dyDescent="0.25">
      <c r="A28" s="8" t="s">
        <v>11</v>
      </c>
      <c r="B28" s="13">
        <f>(B27)-(0)</f>
        <v>675546.07</v>
      </c>
      <c r="C28" s="13">
        <f>(C27)-(0)</f>
        <v>1849209.8900000001</v>
      </c>
      <c r="D28" s="13">
        <f t="shared" si="0"/>
        <v>-1173663.8200000003</v>
      </c>
      <c r="E28" s="14">
        <f t="shared" si="1"/>
        <v>0.36531605939009981</v>
      </c>
    </row>
    <row r="29" spans="1:6" x14ac:dyDescent="0.25">
      <c r="A29" s="8" t="s">
        <v>12</v>
      </c>
      <c r="B29" s="9"/>
      <c r="C29" s="9"/>
      <c r="D29" s="9"/>
      <c r="E29" s="9"/>
    </row>
    <row r="30" spans="1:6" x14ac:dyDescent="0.25">
      <c r="A30" s="8" t="s">
        <v>151</v>
      </c>
      <c r="B30" s="11">
        <f>37916.68</f>
        <v>37916.68</v>
      </c>
      <c r="C30" s="11">
        <f>90000</f>
        <v>90000</v>
      </c>
      <c r="D30" s="11">
        <f t="shared" ref="D30:D61" si="2">(B30)-(C30)</f>
        <v>-52083.32</v>
      </c>
      <c r="E30" s="12">
        <f t="shared" ref="E30:E61" si="3">IF(C30=0,"",(B30)/(C30))</f>
        <v>0.42129644444444447</v>
      </c>
      <c r="F30" s="50" t="str">
        <f>VLOOKUP(A30,'BvA Dec 21'!A:F,6,FALSE)</f>
        <v>Salaries</v>
      </c>
    </row>
    <row r="31" spans="1:6" x14ac:dyDescent="0.25">
      <c r="A31" s="8" t="s">
        <v>116</v>
      </c>
      <c r="B31" s="11">
        <f>26666.7</f>
        <v>26666.7</v>
      </c>
      <c r="C31" s="11">
        <f>80000</f>
        <v>80000</v>
      </c>
      <c r="D31" s="11">
        <f t="shared" si="2"/>
        <v>-53333.3</v>
      </c>
      <c r="E31" s="12">
        <f t="shared" si="3"/>
        <v>0.33333374999999998</v>
      </c>
      <c r="F31" s="50" t="str">
        <f>VLOOKUP(A31,'BvA Dec 21'!A:F,6,FALSE)</f>
        <v>Salaries</v>
      </c>
    </row>
    <row r="32" spans="1:6" x14ac:dyDescent="0.25">
      <c r="A32" s="8" t="s">
        <v>13</v>
      </c>
      <c r="B32" s="11">
        <f>19228.66</f>
        <v>19228.66</v>
      </c>
      <c r="C32" s="11">
        <f>45000</f>
        <v>45000</v>
      </c>
      <c r="D32" s="11">
        <f t="shared" si="2"/>
        <v>-25771.34</v>
      </c>
      <c r="E32" s="12">
        <f t="shared" si="3"/>
        <v>0.42730355555555555</v>
      </c>
      <c r="F32" s="50" t="str">
        <f>VLOOKUP(A32,'BvA Dec 21'!A:F,6,FALSE)</f>
        <v>Salaries</v>
      </c>
    </row>
    <row r="33" spans="1:6" x14ac:dyDescent="0.25">
      <c r="A33" s="8" t="s">
        <v>150</v>
      </c>
      <c r="B33" s="11">
        <f>15784</f>
        <v>15784</v>
      </c>
      <c r="C33" s="11">
        <f>14720</f>
        <v>14720</v>
      </c>
      <c r="D33" s="11">
        <f t="shared" si="2"/>
        <v>1064</v>
      </c>
      <c r="E33" s="12">
        <f t="shared" si="3"/>
        <v>1.0722826086956523</v>
      </c>
      <c r="F33" s="50" t="str">
        <f>VLOOKUP(A33,'BvA Dec 21'!A:F,6,FALSE)</f>
        <v>Salaries</v>
      </c>
    </row>
    <row r="34" spans="1:6" x14ac:dyDescent="0.25">
      <c r="A34" s="8" t="s">
        <v>114</v>
      </c>
      <c r="B34" s="11">
        <f>13128.13</f>
        <v>13128.13</v>
      </c>
      <c r="C34" s="11">
        <f>20000</f>
        <v>20000</v>
      </c>
      <c r="D34" s="11">
        <f t="shared" si="2"/>
        <v>-6871.8700000000008</v>
      </c>
      <c r="E34" s="12">
        <f t="shared" si="3"/>
        <v>0.6564065</v>
      </c>
      <c r="F34" s="50" t="str">
        <f>VLOOKUP(A34,'BvA Dec 21'!A:F,6,FALSE)</f>
        <v>Salaries</v>
      </c>
    </row>
    <row r="35" spans="1:6" x14ac:dyDescent="0.25">
      <c r="A35" s="8" t="s">
        <v>14</v>
      </c>
      <c r="B35" s="11">
        <f>88315.52</f>
        <v>88315.520000000004</v>
      </c>
      <c r="C35" s="11">
        <f>264501.04</f>
        <v>264501.03999999998</v>
      </c>
      <c r="D35" s="11">
        <f t="shared" si="2"/>
        <v>-176185.51999999996</v>
      </c>
      <c r="E35" s="12">
        <f t="shared" si="3"/>
        <v>0.33389479300346042</v>
      </c>
      <c r="F35" s="50" t="str">
        <f>VLOOKUP(A35,'BvA Dec 21'!A:F,6,FALSE)</f>
        <v>Salaries</v>
      </c>
    </row>
    <row r="36" spans="1:6" x14ac:dyDescent="0.25">
      <c r="A36" s="8" t="s">
        <v>187</v>
      </c>
      <c r="B36" s="11">
        <f>5393.26</f>
        <v>5393.26</v>
      </c>
      <c r="C36" s="9"/>
      <c r="D36" s="11">
        <f t="shared" si="2"/>
        <v>5393.26</v>
      </c>
      <c r="E36" s="12" t="str">
        <f t="shared" si="3"/>
        <v/>
      </c>
      <c r="F36" s="50" t="str">
        <f>VLOOKUP(A36,'BvA Dec 21'!A:F,6,FALSE)</f>
        <v>Salaries</v>
      </c>
    </row>
    <row r="37" spans="1:6" x14ac:dyDescent="0.25">
      <c r="A37" s="8" t="s">
        <v>149</v>
      </c>
      <c r="B37" s="11">
        <f>27512.14</f>
        <v>27512.14</v>
      </c>
      <c r="C37" s="11">
        <f>64499</f>
        <v>64499</v>
      </c>
      <c r="D37" s="11">
        <f t="shared" si="2"/>
        <v>-36986.86</v>
      </c>
      <c r="E37" s="12">
        <f t="shared" si="3"/>
        <v>0.42655141940185121</v>
      </c>
      <c r="F37" s="50" t="str">
        <f>VLOOKUP(A37,'BvA Dec 21'!A:F,6,FALSE)</f>
        <v>Salaries</v>
      </c>
    </row>
    <row r="38" spans="1:6" x14ac:dyDescent="0.25">
      <c r="A38" s="8" t="s">
        <v>113</v>
      </c>
      <c r="B38" s="11">
        <f>39254.33</f>
        <v>39254.33</v>
      </c>
      <c r="C38" s="11">
        <f>91833.33</f>
        <v>91833.33</v>
      </c>
      <c r="D38" s="11">
        <f t="shared" si="2"/>
        <v>-52579</v>
      </c>
      <c r="E38" s="12">
        <f t="shared" si="3"/>
        <v>0.42745188484398855</v>
      </c>
      <c r="F38" s="50" t="str">
        <f>VLOOKUP(A38,'BvA Dec 21'!A:F,6,FALSE)</f>
        <v>Salaries</v>
      </c>
    </row>
    <row r="39" spans="1:6" x14ac:dyDescent="0.25">
      <c r="A39" s="8" t="s">
        <v>15</v>
      </c>
      <c r="B39" s="11">
        <f>16153.27</f>
        <v>16153.27</v>
      </c>
      <c r="C39" s="11">
        <f>55320.65</f>
        <v>55320.65</v>
      </c>
      <c r="D39" s="11">
        <f t="shared" si="2"/>
        <v>-39167.380000000005</v>
      </c>
      <c r="E39" s="12">
        <f t="shared" si="3"/>
        <v>0.29199349609955777</v>
      </c>
      <c r="F39" s="50" t="str">
        <f>VLOOKUP(A39,'BvA Dec 21'!A:F,6,FALSE)</f>
        <v>Personnel Taxes &amp; Benefits</v>
      </c>
    </row>
    <row r="40" spans="1:6" x14ac:dyDescent="0.25">
      <c r="A40" s="8" t="s">
        <v>16</v>
      </c>
      <c r="B40" s="11">
        <f>2196.8</f>
        <v>2196.8000000000002</v>
      </c>
      <c r="C40" s="11">
        <f>6705.53</f>
        <v>6705.53</v>
      </c>
      <c r="D40" s="11">
        <f t="shared" si="2"/>
        <v>-4508.7299999999996</v>
      </c>
      <c r="E40" s="12">
        <f t="shared" si="3"/>
        <v>0.32761019636031757</v>
      </c>
      <c r="F40" s="50" t="str">
        <f>VLOOKUP(A40,'BvA Dec 21'!A:F,6,FALSE)</f>
        <v>Personnel Taxes &amp; Benefits</v>
      </c>
    </row>
    <row r="41" spans="1:6" x14ac:dyDescent="0.25">
      <c r="A41" s="8" t="s">
        <v>17</v>
      </c>
      <c r="B41" s="11">
        <f>3143.19</f>
        <v>3143.19</v>
      </c>
      <c r="C41" s="11">
        <f>9254.15</f>
        <v>9254.15</v>
      </c>
      <c r="D41" s="11">
        <f t="shared" si="2"/>
        <v>-6110.9599999999991</v>
      </c>
      <c r="E41" s="12">
        <f t="shared" si="3"/>
        <v>0.33965193994045917</v>
      </c>
      <c r="F41" s="50" t="str">
        <f>VLOOKUP(A41,'BvA Dec 21'!A:F,6,FALSE)</f>
        <v>Personnel Taxes &amp; Benefits</v>
      </c>
    </row>
    <row r="42" spans="1:6" x14ac:dyDescent="0.25">
      <c r="A42" s="8" t="s">
        <v>18</v>
      </c>
      <c r="B42" s="9"/>
      <c r="C42" s="11">
        <f>1676.38</f>
        <v>1676.38</v>
      </c>
      <c r="D42" s="11">
        <f t="shared" si="2"/>
        <v>-1676.38</v>
      </c>
      <c r="E42" s="12">
        <f t="shared" si="3"/>
        <v>0</v>
      </c>
      <c r="F42" s="50" t="str">
        <f>VLOOKUP(A42,'BvA Dec 21'!A:F,6,FALSE)</f>
        <v>Personnel Taxes &amp; Benefits</v>
      </c>
    </row>
    <row r="43" spans="1:6" x14ac:dyDescent="0.25">
      <c r="A43" s="8" t="s">
        <v>112</v>
      </c>
      <c r="B43" s="11">
        <f>35481.68</f>
        <v>35481.68</v>
      </c>
      <c r="C43" s="11">
        <f>83902.17</f>
        <v>83902.17</v>
      </c>
      <c r="D43" s="11">
        <f t="shared" si="2"/>
        <v>-48420.49</v>
      </c>
      <c r="E43" s="12">
        <f t="shared" si="3"/>
        <v>0.42289347224273222</v>
      </c>
      <c r="F43" s="50" t="str">
        <f>VLOOKUP(A43,'BvA Dec 21'!A:F,6,FALSE)</f>
        <v>Personnel Taxes &amp; Benefits</v>
      </c>
    </row>
    <row r="44" spans="1:6" x14ac:dyDescent="0.25">
      <c r="A44" s="8" t="s">
        <v>148</v>
      </c>
      <c r="B44" s="11">
        <f>58080</f>
        <v>58080</v>
      </c>
      <c r="C44" s="11">
        <f>151008</f>
        <v>151008</v>
      </c>
      <c r="D44" s="11">
        <f t="shared" si="2"/>
        <v>-92928</v>
      </c>
      <c r="E44" s="12">
        <f t="shared" si="3"/>
        <v>0.38461538461538464</v>
      </c>
      <c r="F44" s="50" t="str">
        <f>VLOOKUP(A44,'BvA Dec 21'!A:F,6,FALSE)</f>
        <v>Personnel Taxes &amp; Benefits</v>
      </c>
    </row>
    <row r="45" spans="1:6" x14ac:dyDescent="0.25">
      <c r="A45" s="8" t="s">
        <v>147</v>
      </c>
      <c r="B45" s="9"/>
      <c r="C45" s="11">
        <f>18000</f>
        <v>18000</v>
      </c>
      <c r="D45" s="11">
        <f t="shared" si="2"/>
        <v>-18000</v>
      </c>
      <c r="E45" s="12">
        <f t="shared" si="3"/>
        <v>0</v>
      </c>
      <c r="F45" s="50" t="str">
        <f>VLOOKUP(A45,'BvA Dec 21'!A:F,6,FALSE)</f>
        <v>Contracted Services</v>
      </c>
    </row>
    <row r="46" spans="1:6" x14ac:dyDescent="0.25">
      <c r="A46" s="8" t="s">
        <v>111</v>
      </c>
      <c r="B46" s="9"/>
      <c r="C46" s="11">
        <f>5000</f>
        <v>5000</v>
      </c>
      <c r="D46" s="11">
        <f t="shared" si="2"/>
        <v>-5000</v>
      </c>
      <c r="E46" s="12">
        <f t="shared" si="3"/>
        <v>0</v>
      </c>
      <c r="F46" s="50" t="str">
        <f>VLOOKUP(A46,'BvA Dec 21'!A:F,6,FALSE)</f>
        <v>Contracted Services</v>
      </c>
    </row>
    <row r="47" spans="1:6" x14ac:dyDescent="0.25">
      <c r="A47" s="8" t="s">
        <v>146</v>
      </c>
      <c r="B47" s="11">
        <f>11315.45</f>
        <v>11315.45</v>
      </c>
      <c r="C47" s="11">
        <f>35825.24</f>
        <v>35825.24</v>
      </c>
      <c r="D47" s="11">
        <f t="shared" si="2"/>
        <v>-24509.789999999997</v>
      </c>
      <c r="E47" s="12">
        <f t="shared" si="3"/>
        <v>0.31585133833018292</v>
      </c>
      <c r="F47" s="50" t="str">
        <f>VLOOKUP(A47,'BvA Dec 21'!A:F,6,FALSE)</f>
        <v>Contracted Services</v>
      </c>
    </row>
    <row r="48" spans="1:6" x14ac:dyDescent="0.25">
      <c r="A48" s="8" t="s">
        <v>19</v>
      </c>
      <c r="B48" s="11">
        <f>40000</f>
        <v>40000</v>
      </c>
      <c r="C48" s="11">
        <f>96000</f>
        <v>96000</v>
      </c>
      <c r="D48" s="11">
        <f t="shared" si="2"/>
        <v>-56000</v>
      </c>
      <c r="E48" s="12">
        <f t="shared" si="3"/>
        <v>0.41666666666666669</v>
      </c>
      <c r="F48" s="50" t="str">
        <f>VLOOKUP(A48,'BvA Dec 21'!A:F,6,FALSE)</f>
        <v>Contracted Services</v>
      </c>
    </row>
    <row r="49" spans="1:6" x14ac:dyDescent="0.25">
      <c r="A49" s="8" t="s">
        <v>108</v>
      </c>
      <c r="B49" s="11">
        <f>17488.54</f>
        <v>17488.54</v>
      </c>
      <c r="C49" s="11">
        <f>38020</f>
        <v>38020</v>
      </c>
      <c r="D49" s="11">
        <f t="shared" si="2"/>
        <v>-20531.46</v>
      </c>
      <c r="E49" s="12">
        <f t="shared" si="3"/>
        <v>0.45998264071541295</v>
      </c>
      <c r="F49" s="50" t="str">
        <f>VLOOKUP(A49,'BvA Dec 21'!A:F,6,FALSE)</f>
        <v>Contracted Services</v>
      </c>
    </row>
    <row r="50" spans="1:6" x14ac:dyDescent="0.25">
      <c r="A50" s="8" t="s">
        <v>20</v>
      </c>
      <c r="B50" s="11">
        <f>20883.57</f>
        <v>20883.57</v>
      </c>
      <c r="C50" s="11">
        <f>20000</f>
        <v>20000</v>
      </c>
      <c r="D50" s="11">
        <f t="shared" si="2"/>
        <v>883.56999999999971</v>
      </c>
      <c r="E50" s="12">
        <f t="shared" si="3"/>
        <v>1.0441784999999999</v>
      </c>
      <c r="F50" s="50" t="str">
        <f>VLOOKUP(A50,'BvA Dec 21'!A:F,6,FALSE)</f>
        <v>Contracted Services</v>
      </c>
    </row>
    <row r="51" spans="1:6" x14ac:dyDescent="0.25">
      <c r="A51" s="8" t="s">
        <v>107</v>
      </c>
      <c r="B51" s="11">
        <f>6083.3</f>
        <v>6083.3</v>
      </c>
      <c r="C51" s="11">
        <f>17500</f>
        <v>17500</v>
      </c>
      <c r="D51" s="11">
        <f t="shared" si="2"/>
        <v>-11416.7</v>
      </c>
      <c r="E51" s="12">
        <f t="shared" si="3"/>
        <v>0.34761714285714285</v>
      </c>
      <c r="F51" s="50" t="str">
        <f>VLOOKUP(A51,'BvA Dec 21'!A:F,6,FALSE)</f>
        <v>Contracted Services</v>
      </c>
    </row>
    <row r="52" spans="1:6" x14ac:dyDescent="0.25">
      <c r="A52" s="8" t="s">
        <v>145</v>
      </c>
      <c r="B52" s="9"/>
      <c r="C52" s="11">
        <f>11250</f>
        <v>11250</v>
      </c>
      <c r="D52" s="11">
        <f t="shared" si="2"/>
        <v>-11250</v>
      </c>
      <c r="E52" s="12">
        <f t="shared" si="3"/>
        <v>0</v>
      </c>
      <c r="F52" s="50" t="str">
        <f>VLOOKUP(A52,'BvA Dec 21'!A:F,6,FALSE)</f>
        <v>Contracted Services</v>
      </c>
    </row>
    <row r="53" spans="1:6" x14ac:dyDescent="0.25">
      <c r="A53" s="8" t="s">
        <v>144</v>
      </c>
      <c r="B53" s="11">
        <f>8125</f>
        <v>8125</v>
      </c>
      <c r="C53" s="11">
        <f>9500</f>
        <v>9500</v>
      </c>
      <c r="D53" s="11">
        <f t="shared" si="2"/>
        <v>-1375</v>
      </c>
      <c r="E53" s="12">
        <f t="shared" si="3"/>
        <v>0.85526315789473684</v>
      </c>
      <c r="F53" s="50" t="str">
        <f>VLOOKUP(A53,'BvA Dec 21'!A:F,6,FALSE)</f>
        <v>Contracted Services</v>
      </c>
    </row>
    <row r="54" spans="1:6" x14ac:dyDescent="0.25">
      <c r="A54" s="8" t="s">
        <v>143</v>
      </c>
      <c r="B54" s="11">
        <f>14071.75</f>
        <v>14071.75</v>
      </c>
      <c r="C54" s="11">
        <f>37070</f>
        <v>37070</v>
      </c>
      <c r="D54" s="11">
        <f t="shared" si="2"/>
        <v>-22998.25</v>
      </c>
      <c r="E54" s="12">
        <f t="shared" si="3"/>
        <v>0.37959940652818991</v>
      </c>
      <c r="F54" s="50" t="str">
        <f>VLOOKUP(A54,'BvA Dec 21'!A:F,6,FALSE)</f>
        <v>Contracted Services</v>
      </c>
    </row>
    <row r="55" spans="1:6" x14ac:dyDescent="0.25">
      <c r="A55" s="8" t="s">
        <v>142</v>
      </c>
      <c r="B55" s="11">
        <f>270.23</f>
        <v>270.23</v>
      </c>
      <c r="C55" s="11">
        <f>5000</f>
        <v>5000</v>
      </c>
      <c r="D55" s="11">
        <f t="shared" si="2"/>
        <v>-4729.7700000000004</v>
      </c>
      <c r="E55" s="12">
        <f t="shared" si="3"/>
        <v>5.4046000000000004E-2</v>
      </c>
      <c r="F55" s="50" t="str">
        <f>VLOOKUP(A55,'BvA Dec 21'!A:F,6,FALSE)</f>
        <v>School Operations</v>
      </c>
    </row>
    <row r="56" spans="1:6" x14ac:dyDescent="0.25">
      <c r="A56" s="8" t="s">
        <v>21</v>
      </c>
      <c r="B56" s="11">
        <f>1712</f>
        <v>1712</v>
      </c>
      <c r="C56" s="11">
        <f>1470</f>
        <v>1470</v>
      </c>
      <c r="D56" s="11">
        <f t="shared" si="2"/>
        <v>242</v>
      </c>
      <c r="E56" s="12">
        <f t="shared" si="3"/>
        <v>1.1646258503401361</v>
      </c>
      <c r="F56" s="50" t="str">
        <f>VLOOKUP(A56,'BvA Dec 21'!A:F,6,FALSE)</f>
        <v>School Operations</v>
      </c>
    </row>
    <row r="57" spans="1:6" x14ac:dyDescent="0.25">
      <c r="A57" s="8" t="s">
        <v>23</v>
      </c>
      <c r="B57" s="11">
        <f>4166.65</f>
        <v>4166.6499999999996</v>
      </c>
      <c r="C57" s="11">
        <f>11250</f>
        <v>11250</v>
      </c>
      <c r="D57" s="11">
        <f t="shared" si="2"/>
        <v>-7083.35</v>
      </c>
      <c r="E57" s="12">
        <f t="shared" si="3"/>
        <v>0.37036888888888886</v>
      </c>
      <c r="F57" s="50" t="str">
        <f>VLOOKUP(A57,'BvA Dec 21'!A:F,6,FALSE)</f>
        <v>School Operations</v>
      </c>
    </row>
    <row r="58" spans="1:6" x14ac:dyDescent="0.25">
      <c r="A58" s="8" t="s">
        <v>24</v>
      </c>
      <c r="B58" s="11">
        <f>24841.09</f>
        <v>24841.09</v>
      </c>
      <c r="C58" s="11">
        <f>61000</f>
        <v>61000</v>
      </c>
      <c r="D58" s="11">
        <f t="shared" si="2"/>
        <v>-36158.910000000003</v>
      </c>
      <c r="E58" s="12">
        <f t="shared" si="3"/>
        <v>0.40723098360655741</v>
      </c>
      <c r="F58" s="50" t="str">
        <f>VLOOKUP(A58,'BvA Dec 21'!A:F,6,FALSE)</f>
        <v>School Operations</v>
      </c>
    </row>
    <row r="59" spans="1:6" x14ac:dyDescent="0.25">
      <c r="A59" s="8" t="s">
        <v>106</v>
      </c>
      <c r="B59" s="11">
        <f>1070.63</f>
        <v>1070.6300000000001</v>
      </c>
      <c r="C59" s="11">
        <f>6345</f>
        <v>6345</v>
      </c>
      <c r="D59" s="11">
        <f t="shared" si="2"/>
        <v>-5274.37</v>
      </c>
      <c r="E59" s="12">
        <f t="shared" si="3"/>
        <v>0.16873601260835305</v>
      </c>
      <c r="F59" s="50" t="str">
        <f>VLOOKUP(A59,'BvA Dec 21'!A:F,6,FALSE)</f>
        <v>School Operations</v>
      </c>
    </row>
    <row r="60" spans="1:6" x14ac:dyDescent="0.25">
      <c r="A60" s="8" t="s">
        <v>141</v>
      </c>
      <c r="B60" s="9"/>
      <c r="C60" s="11">
        <f>7050</f>
        <v>7050</v>
      </c>
      <c r="D60" s="11">
        <f t="shared" si="2"/>
        <v>-7050</v>
      </c>
      <c r="E60" s="12">
        <f t="shared" si="3"/>
        <v>0</v>
      </c>
      <c r="F60" s="50" t="str">
        <f>VLOOKUP(A60,'BvA Dec 21'!A:F,6,FALSE)</f>
        <v>School Operations</v>
      </c>
    </row>
    <row r="61" spans="1:6" x14ac:dyDescent="0.25">
      <c r="A61" s="8" t="s">
        <v>140</v>
      </c>
      <c r="B61" s="11">
        <f>635.29</f>
        <v>635.29</v>
      </c>
      <c r="C61" s="9"/>
      <c r="D61" s="11">
        <f t="shared" si="2"/>
        <v>635.29</v>
      </c>
      <c r="E61" s="12" t="str">
        <f t="shared" si="3"/>
        <v/>
      </c>
      <c r="F61" s="50" t="str">
        <f>VLOOKUP(A61,'BvA Dec 21'!A:F,6,FALSE)</f>
        <v>School Operations</v>
      </c>
    </row>
    <row r="62" spans="1:6" x14ac:dyDescent="0.25">
      <c r="A62" s="8" t="s">
        <v>25</v>
      </c>
      <c r="B62" s="11">
        <f>8095.15</f>
        <v>8095.15</v>
      </c>
      <c r="C62" s="11">
        <f>58000</f>
        <v>58000</v>
      </c>
      <c r="D62" s="11">
        <f t="shared" ref="D62:D86" si="4">(B62)-(C62)</f>
        <v>-49904.85</v>
      </c>
      <c r="E62" s="12">
        <f t="shared" ref="E62:E86" si="5">IF(C62=0,"",(B62)/(C62))</f>
        <v>0.13957155172413793</v>
      </c>
      <c r="F62" s="50" t="str">
        <f>VLOOKUP(A62,'BvA Dec 21'!A:F,6,FALSE)</f>
        <v>School Operations</v>
      </c>
    </row>
    <row r="63" spans="1:6" x14ac:dyDescent="0.25">
      <c r="A63" s="8" t="s">
        <v>26</v>
      </c>
      <c r="B63" s="11">
        <f>3297.93</f>
        <v>3297.93</v>
      </c>
      <c r="C63" s="11">
        <f>7680</f>
        <v>7680</v>
      </c>
      <c r="D63" s="11">
        <f t="shared" si="4"/>
        <v>-4382.07</v>
      </c>
      <c r="E63" s="12">
        <f t="shared" si="5"/>
        <v>0.42941796874999999</v>
      </c>
      <c r="F63" s="50" t="str">
        <f>VLOOKUP(A63,'BvA Dec 21'!A:F,6,FALSE)</f>
        <v>School Operations</v>
      </c>
    </row>
    <row r="64" spans="1:6" x14ac:dyDescent="0.25">
      <c r="A64" s="8" t="s">
        <v>27</v>
      </c>
      <c r="B64" s="11">
        <f>9950.22</f>
        <v>9950.2199999999993</v>
      </c>
      <c r="C64" s="11">
        <f>14701</f>
        <v>14701</v>
      </c>
      <c r="D64" s="11">
        <f t="shared" si="4"/>
        <v>-4750.7800000000007</v>
      </c>
      <c r="E64" s="12">
        <f t="shared" si="5"/>
        <v>0.67683967077069584</v>
      </c>
      <c r="F64" s="50" t="str">
        <f>VLOOKUP(A64,'BvA Dec 21'!A:F,6,FALSE)</f>
        <v>School Operations</v>
      </c>
    </row>
    <row r="65" spans="1:6" x14ac:dyDescent="0.25">
      <c r="A65" s="8" t="s">
        <v>28</v>
      </c>
      <c r="B65" s="11">
        <f>11455.53</f>
        <v>11455.53</v>
      </c>
      <c r="C65" s="11">
        <f>27591</f>
        <v>27591</v>
      </c>
      <c r="D65" s="11">
        <f t="shared" si="4"/>
        <v>-16135.47</v>
      </c>
      <c r="E65" s="12">
        <f t="shared" si="5"/>
        <v>0.41519082309448735</v>
      </c>
      <c r="F65" s="50" t="str">
        <f>VLOOKUP(A65,'BvA Dec 21'!A:F,6,FALSE)</f>
        <v>School Operations</v>
      </c>
    </row>
    <row r="66" spans="1:6" x14ac:dyDescent="0.25">
      <c r="A66" s="8" t="s">
        <v>105</v>
      </c>
      <c r="B66" s="9"/>
      <c r="C66" s="11">
        <f>7030</f>
        <v>7030</v>
      </c>
      <c r="D66" s="11">
        <f t="shared" si="4"/>
        <v>-7030</v>
      </c>
      <c r="E66" s="12">
        <f t="shared" si="5"/>
        <v>0</v>
      </c>
      <c r="F66" s="50" t="str">
        <f>VLOOKUP(A66,'BvA Dec 21'!A:F,6,FALSE)</f>
        <v>School Operations</v>
      </c>
    </row>
    <row r="67" spans="1:6" x14ac:dyDescent="0.25">
      <c r="A67" s="8" t="s">
        <v>139</v>
      </c>
      <c r="B67" s="9"/>
      <c r="C67" s="11">
        <f>8930</f>
        <v>8930</v>
      </c>
      <c r="D67" s="11">
        <f t="shared" si="4"/>
        <v>-8930</v>
      </c>
      <c r="E67" s="12">
        <f t="shared" si="5"/>
        <v>0</v>
      </c>
      <c r="F67" s="50" t="str">
        <f>VLOOKUP(A67,'BvA Dec 21'!A:F,6,FALSE)</f>
        <v>School Operations</v>
      </c>
    </row>
    <row r="68" spans="1:6" x14ac:dyDescent="0.25">
      <c r="A68" s="8" t="s">
        <v>138</v>
      </c>
      <c r="B68" s="9"/>
      <c r="C68" s="11">
        <f>2350</f>
        <v>2350</v>
      </c>
      <c r="D68" s="11">
        <f t="shared" si="4"/>
        <v>-2350</v>
      </c>
      <c r="E68" s="12">
        <f t="shared" si="5"/>
        <v>0</v>
      </c>
      <c r="F68" s="50" t="str">
        <f>VLOOKUP(A68,'BvA Dec 21'!A:F,6,FALSE)</f>
        <v>School Operations</v>
      </c>
    </row>
    <row r="69" spans="1:6" x14ac:dyDescent="0.25">
      <c r="A69" s="8" t="s">
        <v>168</v>
      </c>
      <c r="B69" s="11">
        <f>145.86</f>
        <v>145.86000000000001</v>
      </c>
      <c r="C69" s="9"/>
      <c r="D69" s="11">
        <f t="shared" si="4"/>
        <v>145.86000000000001</v>
      </c>
      <c r="E69" s="12" t="str">
        <f t="shared" si="5"/>
        <v/>
      </c>
      <c r="F69" s="50" t="str">
        <f>VLOOKUP(A69,'BvA Dec 21'!A:F,6,FALSE)</f>
        <v>School Operations</v>
      </c>
    </row>
    <row r="70" spans="1:6" x14ac:dyDescent="0.25">
      <c r="A70" s="8" t="s">
        <v>29</v>
      </c>
      <c r="B70" s="11">
        <f>4141.96</f>
        <v>4141.96</v>
      </c>
      <c r="C70" s="11">
        <f>7000</f>
        <v>7000</v>
      </c>
      <c r="D70" s="11">
        <f t="shared" si="4"/>
        <v>-2858.04</v>
      </c>
      <c r="E70" s="12">
        <f t="shared" si="5"/>
        <v>0.59170857142857147</v>
      </c>
      <c r="F70" s="50" t="str">
        <f>VLOOKUP(A70,'BvA Dec 21'!A:F,6,FALSE)</f>
        <v>School Operations</v>
      </c>
    </row>
    <row r="71" spans="1:6" x14ac:dyDescent="0.25">
      <c r="A71" s="8" t="s">
        <v>30</v>
      </c>
      <c r="B71" s="11">
        <f>2023.71</f>
        <v>2023.71</v>
      </c>
      <c r="C71" s="11">
        <f>4950</f>
        <v>4950</v>
      </c>
      <c r="D71" s="11">
        <f t="shared" si="4"/>
        <v>-2926.29</v>
      </c>
      <c r="E71" s="12">
        <f t="shared" si="5"/>
        <v>0.40883030303030304</v>
      </c>
      <c r="F71" s="50" t="str">
        <f>VLOOKUP(A71,'BvA Dec 21'!A:F,6,FALSE)</f>
        <v>School Operations</v>
      </c>
    </row>
    <row r="72" spans="1:6" x14ac:dyDescent="0.25">
      <c r="A72" s="8" t="s">
        <v>31</v>
      </c>
      <c r="B72" s="11">
        <f>60.75</f>
        <v>60.75</v>
      </c>
      <c r="C72" s="11">
        <f>2000</f>
        <v>2000</v>
      </c>
      <c r="D72" s="11">
        <f t="shared" si="4"/>
        <v>-1939.25</v>
      </c>
      <c r="E72" s="12">
        <f t="shared" si="5"/>
        <v>3.0374999999999999E-2</v>
      </c>
      <c r="F72" s="50" t="str">
        <f>VLOOKUP(A72,'BvA Dec 21'!A:F,6,FALSE)</f>
        <v>School Operations</v>
      </c>
    </row>
    <row r="73" spans="1:6" x14ac:dyDescent="0.25">
      <c r="A73" s="8" t="s">
        <v>32</v>
      </c>
      <c r="B73" s="11">
        <f>799.79</f>
        <v>799.79</v>
      </c>
      <c r="C73" s="11">
        <f>3000</f>
        <v>3000</v>
      </c>
      <c r="D73" s="11">
        <f t="shared" si="4"/>
        <v>-2200.21</v>
      </c>
      <c r="E73" s="12">
        <f t="shared" si="5"/>
        <v>0.26659666666666665</v>
      </c>
      <c r="F73" s="50" t="str">
        <f>VLOOKUP(A73,'BvA Dec 21'!A:F,6,FALSE)</f>
        <v>School Operations</v>
      </c>
    </row>
    <row r="74" spans="1:6" x14ac:dyDescent="0.25">
      <c r="A74" s="8" t="s">
        <v>56</v>
      </c>
      <c r="B74" s="11">
        <f>19765.24</f>
        <v>19765.240000000002</v>
      </c>
      <c r="C74" s="11">
        <f>106278.02</f>
        <v>106278.02</v>
      </c>
      <c r="D74" s="11">
        <f t="shared" si="4"/>
        <v>-86512.78</v>
      </c>
      <c r="E74" s="12">
        <f t="shared" si="5"/>
        <v>0.18597674288625249</v>
      </c>
      <c r="F74" s="50" t="str">
        <f>VLOOKUP(A74,'BvA Dec 21'!A:F,6,FALSE)</f>
        <v>School Operations</v>
      </c>
    </row>
    <row r="75" spans="1:6" x14ac:dyDescent="0.25">
      <c r="A75" s="8" t="s">
        <v>33</v>
      </c>
      <c r="B75" s="9"/>
      <c r="C75" s="11">
        <f>2500</f>
        <v>2500</v>
      </c>
      <c r="D75" s="11">
        <f t="shared" si="4"/>
        <v>-2500</v>
      </c>
      <c r="E75" s="12">
        <f t="shared" si="5"/>
        <v>0</v>
      </c>
      <c r="F75" s="50" t="str">
        <f>VLOOKUP(A75,'BvA Dec 21'!A:F,6,FALSE)</f>
        <v>School Operations</v>
      </c>
    </row>
    <row r="76" spans="1:6" x14ac:dyDescent="0.25">
      <c r="A76" s="8" t="s">
        <v>137</v>
      </c>
      <c r="B76" s="11">
        <f>454.05</f>
        <v>454.05</v>
      </c>
      <c r="C76" s="11">
        <f>6250</f>
        <v>6250</v>
      </c>
      <c r="D76" s="11">
        <f t="shared" si="4"/>
        <v>-5795.95</v>
      </c>
      <c r="E76" s="12">
        <f t="shared" si="5"/>
        <v>7.2648000000000004E-2</v>
      </c>
      <c r="F76" s="50" t="str">
        <f>VLOOKUP(A76,'BvA Dec 21'!A:F,6,FALSE)</f>
        <v>School Operations</v>
      </c>
    </row>
    <row r="77" spans="1:6" x14ac:dyDescent="0.25">
      <c r="A77" s="8" t="s">
        <v>136</v>
      </c>
      <c r="B77" s="9"/>
      <c r="C77" s="11">
        <f>39600</f>
        <v>39600</v>
      </c>
      <c r="D77" s="11">
        <f t="shared" si="4"/>
        <v>-39600</v>
      </c>
      <c r="E77" s="12">
        <f t="shared" si="5"/>
        <v>0</v>
      </c>
      <c r="F77" s="50" t="str">
        <f>VLOOKUP(A77,'BvA Dec 21'!A:F,6,FALSE)</f>
        <v>School Operations</v>
      </c>
    </row>
    <row r="78" spans="1:6" x14ac:dyDescent="0.25">
      <c r="A78" s="8" t="s">
        <v>186</v>
      </c>
      <c r="B78" s="9"/>
      <c r="C78" s="11">
        <f>44185.32</f>
        <v>44185.32</v>
      </c>
      <c r="D78" s="11">
        <f t="shared" si="4"/>
        <v>-44185.32</v>
      </c>
      <c r="E78" s="12">
        <f t="shared" si="5"/>
        <v>0</v>
      </c>
      <c r="F78" s="50" t="str">
        <f>VLOOKUP(A78,'BvA Dec 21'!A:F,6,FALSE)</f>
        <v>Contingency</v>
      </c>
    </row>
    <row r="79" spans="1:6" x14ac:dyDescent="0.25">
      <c r="A79" s="8" t="s">
        <v>34</v>
      </c>
      <c r="B79" s="11">
        <f>4300.46</f>
        <v>4300.46</v>
      </c>
      <c r="C79" s="11">
        <f>12500</f>
        <v>12500</v>
      </c>
      <c r="D79" s="11">
        <f t="shared" si="4"/>
        <v>-8199.5400000000009</v>
      </c>
      <c r="E79" s="12">
        <f t="shared" si="5"/>
        <v>0.34403679999999998</v>
      </c>
      <c r="F79" s="50" t="str">
        <f>VLOOKUP(A79,'BvA Dec 21'!A:F,6,FALSE)</f>
        <v>Facility Operations &amp; Maintenance</v>
      </c>
    </row>
    <row r="80" spans="1:6" x14ac:dyDescent="0.25">
      <c r="A80" s="8" t="s">
        <v>55</v>
      </c>
      <c r="B80" s="11">
        <f>1090.05</f>
        <v>1090.05</v>
      </c>
      <c r="C80" s="9"/>
      <c r="D80" s="11">
        <f t="shared" si="4"/>
        <v>1090.05</v>
      </c>
      <c r="E80" s="12" t="str">
        <f t="shared" si="5"/>
        <v/>
      </c>
      <c r="F80" s="50" t="str">
        <f>VLOOKUP(A80,'BvA Dec 21'!A:F,6,FALSE)</f>
        <v>Facility Operations &amp; Maintenance</v>
      </c>
    </row>
    <row r="81" spans="1:6" x14ac:dyDescent="0.25">
      <c r="A81" s="8" t="s">
        <v>35</v>
      </c>
      <c r="B81" s="11">
        <f>70479.43</f>
        <v>70479.429999999993</v>
      </c>
      <c r="C81" s="11">
        <f>154992.94</f>
        <v>154992.94</v>
      </c>
      <c r="D81" s="11">
        <f t="shared" si="4"/>
        <v>-84513.510000000009</v>
      </c>
      <c r="E81" s="12">
        <f t="shared" si="5"/>
        <v>0.45472671206830451</v>
      </c>
      <c r="F81" s="50" t="str">
        <f>VLOOKUP(A81,'BvA Dec 21'!A:F,6,FALSE)</f>
        <v>Facility Operations &amp; Maintenance</v>
      </c>
    </row>
    <row r="82" spans="1:6" x14ac:dyDescent="0.25">
      <c r="A82" s="8" t="s">
        <v>134</v>
      </c>
      <c r="B82" s="11">
        <f>107.8</f>
        <v>107.8</v>
      </c>
      <c r="C82" s="11">
        <f>3000</f>
        <v>3000</v>
      </c>
      <c r="D82" s="11">
        <f t="shared" si="4"/>
        <v>-2892.2</v>
      </c>
      <c r="E82" s="12">
        <f t="shared" si="5"/>
        <v>3.5933333333333331E-2</v>
      </c>
      <c r="F82" s="50" t="str">
        <f>VLOOKUP(A82,'BvA Dec 21'!A:F,6,FALSE)</f>
        <v>Facility Operations &amp; Maintenance</v>
      </c>
    </row>
    <row r="83" spans="1:6" x14ac:dyDescent="0.25">
      <c r="A83" s="8" t="s">
        <v>133</v>
      </c>
      <c r="B83" s="9"/>
      <c r="C83" s="11">
        <f>2500</f>
        <v>2500</v>
      </c>
      <c r="D83" s="11">
        <f t="shared" si="4"/>
        <v>-2500</v>
      </c>
      <c r="E83" s="12">
        <f t="shared" si="5"/>
        <v>0</v>
      </c>
      <c r="F83" s="50" t="str">
        <f>VLOOKUP(A83,'BvA Dec 21'!A:F,6,FALSE)</f>
        <v>Facility Operations &amp; Maintenance</v>
      </c>
    </row>
    <row r="84" spans="1:6" x14ac:dyDescent="0.25">
      <c r="A84" s="8" t="s">
        <v>132</v>
      </c>
      <c r="B84" s="11">
        <f>9740.76</f>
        <v>9740.76</v>
      </c>
      <c r="C84" s="11">
        <f>20250</f>
        <v>20250</v>
      </c>
      <c r="D84" s="11">
        <f t="shared" si="4"/>
        <v>-10509.24</v>
      </c>
      <c r="E84" s="12">
        <f t="shared" si="5"/>
        <v>0.48102518518518522</v>
      </c>
      <c r="F84" s="50" t="str">
        <f>VLOOKUP(A84,'BvA Dec 21'!A:F,6,FALSE)</f>
        <v>Facility Operations &amp; Maintenance</v>
      </c>
    </row>
    <row r="85" spans="1:6" x14ac:dyDescent="0.25">
      <c r="A85" s="8" t="s">
        <v>36</v>
      </c>
      <c r="B85" s="13">
        <f>((((((((((((((((((((((((((((((((((((((((((((((((((((((B30)+(B31))+(B32))+(B33))+(B34))+(B35))+(B36))+(B37))+(B38))+(B39))+(B40))+(B41))+(B42))+(B43))+(B44))+(B45))+(B46))+(B47))+(B48))+(B49))+(B50))+(B51))+(B52))+(B53))+(B54))+(B55))+(B56))+(B57))+(B58))+(B59))+(B60))+(B61))+(B62))+(B63))+(B64))+(B65))+(B66))+(B67))+(B68))+(B69))+(B70))+(B71))+(B72))+(B73))+(B74))+(B75))+(B76))+(B77))+(B78))+(B79))+(B80))+(B81))+(B82))+(B83))+(B84)</f>
        <v>684826.55000000028</v>
      </c>
      <c r="C85" s="13">
        <f>((((((((((((((((((((((((((((((((((((((((((((((((((((((C30)+(C31))+(C32))+(C33))+(C34))+(C35))+(C36))+(C37))+(C38))+(C39))+(C40))+(C41))+(C42))+(C43))+(C44))+(C45))+(C46))+(C47))+(C48))+(C49))+(C50))+(C51))+(C52))+(C53))+(C54))+(C55))+(C56))+(C57))+(C58))+(C59))+(C60))+(C61))+(C62))+(C63))+(C64))+(C65))+(C66))+(C67))+(C68))+(C69))+(C70))+(C71))+(C72))+(C73))+(C74))+(C75))+(C76))+(C77))+(C78))+(C79))+(C80))+(C81))+(C82))+(C83))+(C84)</f>
        <v>1893988.7700000003</v>
      </c>
      <c r="D85" s="13">
        <f t="shared" si="4"/>
        <v>-1209162.22</v>
      </c>
      <c r="E85" s="14">
        <f t="shared" si="5"/>
        <v>0.36157899183319875</v>
      </c>
    </row>
    <row r="86" spans="1:6" x14ac:dyDescent="0.25">
      <c r="A86" s="8" t="s">
        <v>37</v>
      </c>
      <c r="B86" s="13">
        <f>(B28)-(B85)</f>
        <v>-9280.4800000003306</v>
      </c>
      <c r="C86" s="13">
        <f>(C28)-(C85)</f>
        <v>-44778.880000000121</v>
      </c>
      <c r="D86" s="13">
        <f t="shared" si="4"/>
        <v>35498.39999999979</v>
      </c>
      <c r="E86" s="14">
        <f t="shared" si="5"/>
        <v>0.20725127560136175</v>
      </c>
    </row>
    <row r="87" spans="1:6" x14ac:dyDescent="0.25">
      <c r="A87" s="8" t="s">
        <v>131</v>
      </c>
      <c r="B87" s="9"/>
      <c r="C87" s="9"/>
      <c r="D87" s="9"/>
      <c r="E87" s="9"/>
    </row>
    <row r="88" spans="1:6" x14ac:dyDescent="0.25">
      <c r="A88" s="8" t="s">
        <v>130</v>
      </c>
      <c r="B88" s="9"/>
      <c r="C88" s="11">
        <f>94883</f>
        <v>94883</v>
      </c>
      <c r="D88" s="11">
        <f>(B88)-(C88)</f>
        <v>-94883</v>
      </c>
      <c r="E88" s="12">
        <f>IF(C88=0,"",(B88)/(C88))</f>
        <v>0</v>
      </c>
      <c r="F88" s="50" t="str">
        <f>VLOOKUP(A88,'BvA Dec 21'!A:F,6,FALSE)</f>
        <v>Facility Operations &amp; Maintenance</v>
      </c>
    </row>
    <row r="89" spans="1:6" x14ac:dyDescent="0.25">
      <c r="A89" s="8" t="s">
        <v>129</v>
      </c>
      <c r="B89" s="13">
        <f>B88</f>
        <v>0</v>
      </c>
      <c r="C89" s="13">
        <f>C88</f>
        <v>94883</v>
      </c>
      <c r="D89" s="13">
        <f>(B89)-(C89)</f>
        <v>-94883</v>
      </c>
      <c r="E89" s="14">
        <f>IF(C89=0,"",(B89)/(C89))</f>
        <v>0</v>
      </c>
    </row>
    <row r="90" spans="1:6" x14ac:dyDescent="0.25">
      <c r="A90" s="8" t="s">
        <v>128</v>
      </c>
      <c r="B90" s="13">
        <f>(0)-(B89)</f>
        <v>0</v>
      </c>
      <c r="C90" s="13">
        <f>(0)-(C89)</f>
        <v>-94883</v>
      </c>
      <c r="D90" s="13">
        <f>(B90)-(C90)</f>
        <v>94883</v>
      </c>
      <c r="E90" s="14">
        <f>IF(C90=0,"",(B90)/(C90))</f>
        <v>0</v>
      </c>
    </row>
    <row r="91" spans="1:6" x14ac:dyDescent="0.25">
      <c r="A91" s="8" t="s">
        <v>38</v>
      </c>
      <c r="B91" s="13">
        <f>(B86)+(B90)</f>
        <v>-9280.4800000003306</v>
      </c>
      <c r="C91" s="13">
        <f>(C86)+(C90)</f>
        <v>-139661.88000000012</v>
      </c>
      <c r="D91" s="13">
        <f>(B91)-(C91)</f>
        <v>130381.39999999979</v>
      </c>
      <c r="E91" s="14">
        <f>IF(C91=0,"",(B91)/(C91))</f>
        <v>6.6449628202057159E-2</v>
      </c>
    </row>
    <row r="92" spans="1:6" x14ac:dyDescent="0.25">
      <c r="A92" s="8"/>
      <c r="B92" s="9"/>
      <c r="C92" s="9"/>
      <c r="D92" s="9"/>
      <c r="E92" s="9"/>
    </row>
    <row r="95" spans="1:6" x14ac:dyDescent="0.25">
      <c r="A95" s="77" t="s">
        <v>221</v>
      </c>
      <c r="B95" s="75"/>
      <c r="C95" s="75"/>
      <c r="D95" s="75"/>
      <c r="E95" s="75"/>
    </row>
  </sheetData>
  <mergeCells count="5">
    <mergeCell ref="B5:E5"/>
    <mergeCell ref="A95:E95"/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50DE8-7612-47EF-A996-C5BC80D89CEC}">
  <dimension ref="A1:F92"/>
  <sheetViews>
    <sheetView workbookViewId="0">
      <selection activeCell="F10" sqref="F10"/>
    </sheetView>
  </sheetViews>
  <sheetFormatPr defaultRowHeight="15" x14ac:dyDescent="0.25"/>
  <cols>
    <col min="1" max="1" width="38.375" style="64" customWidth="1"/>
    <col min="2" max="5" width="15.75" style="64" customWidth="1"/>
    <col min="6" max="16384" width="9" style="64"/>
  </cols>
  <sheetData>
    <row r="1" spans="1:6" ht="18" x14ac:dyDescent="0.25">
      <c r="A1" s="74" t="s">
        <v>97</v>
      </c>
      <c r="B1" s="75"/>
      <c r="C1" s="75"/>
      <c r="D1" s="75"/>
      <c r="E1" s="75"/>
    </row>
    <row r="2" spans="1:6" ht="18" x14ac:dyDescent="0.25">
      <c r="A2" s="74" t="s">
        <v>248</v>
      </c>
      <c r="B2" s="75"/>
      <c r="C2" s="75"/>
      <c r="D2" s="75"/>
      <c r="E2" s="75"/>
    </row>
    <row r="3" spans="1:6" x14ac:dyDescent="0.25">
      <c r="A3" s="76" t="s">
        <v>258</v>
      </c>
      <c r="B3" s="75"/>
      <c r="C3" s="75"/>
      <c r="D3" s="75"/>
      <c r="E3" s="75"/>
    </row>
    <row r="5" spans="1:6" x14ac:dyDescent="0.25">
      <c r="A5" s="63"/>
      <c r="B5" s="72" t="s">
        <v>0</v>
      </c>
      <c r="C5" s="73"/>
      <c r="D5" s="73"/>
      <c r="E5" s="73"/>
    </row>
    <row r="6" spans="1:6" x14ac:dyDescent="0.25">
      <c r="A6" s="63"/>
      <c r="B6" s="62" t="s">
        <v>1</v>
      </c>
      <c r="C6" s="62" t="s">
        <v>2</v>
      </c>
      <c r="D6" s="62" t="s">
        <v>3</v>
      </c>
      <c r="E6" s="62" t="s">
        <v>4</v>
      </c>
    </row>
    <row r="7" spans="1:6" x14ac:dyDescent="0.25">
      <c r="A7" s="8" t="s">
        <v>5</v>
      </c>
      <c r="B7" s="9"/>
      <c r="C7" s="9"/>
      <c r="D7" s="9"/>
      <c r="E7" s="9"/>
    </row>
    <row r="8" spans="1:6" x14ac:dyDescent="0.25">
      <c r="A8" s="8" t="s">
        <v>259</v>
      </c>
      <c r="B8" s="11">
        <f>4554.7</f>
        <v>4554.7</v>
      </c>
      <c r="C8" s="11">
        <f>5000</f>
        <v>5000</v>
      </c>
      <c r="D8" s="11">
        <f t="shared" ref="D8:D26" si="0">(B8)-(C8)</f>
        <v>-445.30000000000018</v>
      </c>
      <c r="E8" s="12">
        <f t="shared" ref="E8:E26" si="1">IF(C8=0,"",(B8)/(C8))</f>
        <v>0.91093999999999997</v>
      </c>
      <c r="F8" s="64" t="str">
        <f>VLOOKUP(A8,'BvA Mar 22'!A:F,6,FALSE)</f>
        <v>Local Support</v>
      </c>
    </row>
    <row r="9" spans="1:6" x14ac:dyDescent="0.25">
      <c r="A9" s="8" t="s">
        <v>260</v>
      </c>
      <c r="B9" s="11">
        <f>3346.37</f>
        <v>3346.37</v>
      </c>
      <c r="C9" s="9"/>
      <c r="D9" s="11">
        <f t="shared" si="0"/>
        <v>3346.37</v>
      </c>
      <c r="E9" s="12" t="str">
        <f t="shared" si="1"/>
        <v/>
      </c>
      <c r="F9" s="64" t="s">
        <v>40</v>
      </c>
    </row>
    <row r="10" spans="1:6" x14ac:dyDescent="0.25">
      <c r="A10" s="8" t="s">
        <v>223</v>
      </c>
      <c r="B10" s="11">
        <f>0.14</f>
        <v>0.14000000000000001</v>
      </c>
      <c r="C10" s="9"/>
      <c r="D10" s="11">
        <f t="shared" si="0"/>
        <v>0.14000000000000001</v>
      </c>
      <c r="E10" s="12" t="str">
        <f t="shared" si="1"/>
        <v/>
      </c>
      <c r="F10" s="64" t="str">
        <f>VLOOKUP(A10,'BvA Mar 22'!A:F,6,FALSE)</f>
        <v>Local Support</v>
      </c>
    </row>
    <row r="11" spans="1:6" x14ac:dyDescent="0.25">
      <c r="A11" s="8" t="s">
        <v>8</v>
      </c>
      <c r="B11" s="11">
        <f>105000</f>
        <v>105000</v>
      </c>
      <c r="C11" s="11">
        <f>260500</f>
        <v>260500</v>
      </c>
      <c r="D11" s="11">
        <f t="shared" si="0"/>
        <v>-155500</v>
      </c>
      <c r="E11" s="12">
        <f t="shared" si="1"/>
        <v>0.40307101727447214</v>
      </c>
      <c r="F11" s="64" t="str">
        <f>VLOOKUP(A11,'BvA Mar 22'!A:F,6,FALSE)</f>
        <v>Grants &amp; Other Sources</v>
      </c>
    </row>
    <row r="12" spans="1:6" x14ac:dyDescent="0.25">
      <c r="A12" s="8" t="s">
        <v>163</v>
      </c>
      <c r="B12" s="11">
        <f>543549.47</f>
        <v>543549.47</v>
      </c>
      <c r="C12" s="11">
        <f>784175</f>
        <v>784175</v>
      </c>
      <c r="D12" s="11">
        <f t="shared" si="0"/>
        <v>-240625.53000000003</v>
      </c>
      <c r="E12" s="12">
        <f t="shared" si="1"/>
        <v>0.69314817483342361</v>
      </c>
      <c r="F12" s="64" t="str">
        <f>VLOOKUP(A12,'BvA Mar 22'!A:F,6,FALSE)</f>
        <v>State Revenue - General</v>
      </c>
    </row>
    <row r="13" spans="1:6" x14ac:dyDescent="0.25">
      <c r="A13" s="8" t="s">
        <v>162</v>
      </c>
      <c r="B13" s="11">
        <f>14592.99</f>
        <v>14592.99</v>
      </c>
      <c r="C13" s="11">
        <f>21276</f>
        <v>21276</v>
      </c>
      <c r="D13" s="11">
        <f t="shared" si="0"/>
        <v>-6683.01</v>
      </c>
      <c r="E13" s="12">
        <f t="shared" si="1"/>
        <v>0.68588973491257754</v>
      </c>
      <c r="F13" s="64" t="str">
        <f>VLOOKUP(A13,'BvA Mar 22'!A:F,6,FALSE)</f>
        <v>State Revenue - Special Purpose</v>
      </c>
    </row>
    <row r="14" spans="1:6" x14ac:dyDescent="0.25">
      <c r="A14" s="8" t="s">
        <v>161</v>
      </c>
      <c r="B14" s="11">
        <f>66059.5</f>
        <v>66059.5</v>
      </c>
      <c r="C14" s="11">
        <f>94758</f>
        <v>94758</v>
      </c>
      <c r="D14" s="11">
        <f t="shared" si="0"/>
        <v>-28698.5</v>
      </c>
      <c r="E14" s="12">
        <f t="shared" si="1"/>
        <v>0.69713902783933812</v>
      </c>
      <c r="F14" s="64" t="str">
        <f>VLOOKUP(A14,'BvA Mar 22'!A:F,6,FALSE)</f>
        <v>State Revenue - Special Purpose</v>
      </c>
    </row>
    <row r="15" spans="1:6" x14ac:dyDescent="0.25">
      <c r="A15" s="8" t="s">
        <v>160</v>
      </c>
      <c r="B15" s="11">
        <f>8848.18</f>
        <v>8848.18</v>
      </c>
      <c r="C15" s="11">
        <f>13012</f>
        <v>13012</v>
      </c>
      <c r="D15" s="11">
        <f t="shared" si="0"/>
        <v>-4163.82</v>
      </c>
      <c r="E15" s="12">
        <f t="shared" si="1"/>
        <v>0.68000153704272981</v>
      </c>
      <c r="F15" s="64" t="str">
        <f>VLOOKUP(A15,'BvA Mar 22'!A:F,6,FALSE)</f>
        <v>State Revenue - Special Purpose</v>
      </c>
    </row>
    <row r="16" spans="1:6" x14ac:dyDescent="0.25">
      <c r="A16" s="8" t="s">
        <v>158</v>
      </c>
      <c r="B16" s="9"/>
      <c r="C16" s="11">
        <f>2054</f>
        <v>2054</v>
      </c>
      <c r="D16" s="11">
        <f t="shared" si="0"/>
        <v>-2054</v>
      </c>
      <c r="E16" s="12">
        <f t="shared" si="1"/>
        <v>0</v>
      </c>
      <c r="F16" s="64" t="str">
        <f>VLOOKUP(A16,'BvA Mar 22'!A:F,6,FALSE)</f>
        <v>State Revenue - Special Purpose</v>
      </c>
    </row>
    <row r="17" spans="1:6" x14ac:dyDescent="0.25">
      <c r="A17" s="8" t="s">
        <v>222</v>
      </c>
      <c r="B17" s="11">
        <f>893.5</f>
        <v>893.5</v>
      </c>
      <c r="C17" s="9"/>
      <c r="D17" s="11">
        <f t="shared" si="0"/>
        <v>893.5</v>
      </c>
      <c r="E17" s="12" t="str">
        <f t="shared" si="1"/>
        <v/>
      </c>
      <c r="F17" s="64" t="str">
        <f>VLOOKUP(A17,'BvA Mar 22'!A:F,6,FALSE)</f>
        <v>State Revenue - Special Purpose</v>
      </c>
    </row>
    <row r="18" spans="1:6" x14ac:dyDescent="0.25">
      <c r="A18" s="8" t="s">
        <v>214</v>
      </c>
      <c r="B18" s="9"/>
      <c r="C18" s="11">
        <f>2651</f>
        <v>2651</v>
      </c>
      <c r="D18" s="11">
        <f t="shared" si="0"/>
        <v>-2651</v>
      </c>
      <c r="E18" s="12">
        <f t="shared" si="1"/>
        <v>0</v>
      </c>
      <c r="F18" s="64" t="str">
        <f>VLOOKUP(A18,'BvA Mar 22'!A:F,6,FALSE)</f>
        <v>State Revenue - Special Purpose</v>
      </c>
    </row>
    <row r="19" spans="1:6" x14ac:dyDescent="0.25">
      <c r="A19" s="8" t="s">
        <v>156</v>
      </c>
      <c r="B19" s="9"/>
      <c r="C19" s="11">
        <f>16512</f>
        <v>16512</v>
      </c>
      <c r="D19" s="11">
        <f t="shared" si="0"/>
        <v>-16512</v>
      </c>
      <c r="E19" s="12">
        <f t="shared" si="1"/>
        <v>0</v>
      </c>
      <c r="F19" s="64" t="str">
        <f>VLOOKUP(A19,'BvA Mar 22'!A:F,6,FALSE)</f>
        <v>Federal Revenue</v>
      </c>
    </row>
    <row r="20" spans="1:6" x14ac:dyDescent="0.25">
      <c r="A20" s="8" t="s">
        <v>155</v>
      </c>
      <c r="B20" s="9"/>
      <c r="C20" s="11">
        <f>2686</f>
        <v>2686</v>
      </c>
      <c r="D20" s="11">
        <f t="shared" si="0"/>
        <v>-2686</v>
      </c>
      <c r="E20" s="12">
        <f t="shared" si="1"/>
        <v>0</v>
      </c>
      <c r="F20" s="64" t="str">
        <f>VLOOKUP(A20,'BvA Mar 22'!A:F,6,FALSE)</f>
        <v>Federal Revenue</v>
      </c>
    </row>
    <row r="21" spans="1:6" x14ac:dyDescent="0.25">
      <c r="A21" s="8" t="s">
        <v>154</v>
      </c>
      <c r="B21" s="11">
        <f>7514</f>
        <v>7514</v>
      </c>
      <c r="C21" s="11">
        <f>15036</f>
        <v>15036</v>
      </c>
      <c r="D21" s="11">
        <f t="shared" si="0"/>
        <v>-7522</v>
      </c>
      <c r="E21" s="12">
        <f t="shared" si="1"/>
        <v>0.49973397180101092</v>
      </c>
      <c r="F21" s="64" t="str">
        <f>VLOOKUP(A21,'BvA Mar 22'!A:F,6,FALSE)</f>
        <v>Federal Revenue</v>
      </c>
    </row>
    <row r="22" spans="1:6" x14ac:dyDescent="0.25">
      <c r="A22" s="8" t="s">
        <v>153</v>
      </c>
      <c r="B22" s="11">
        <f>32535.37</f>
        <v>32535.37</v>
      </c>
      <c r="C22" s="11">
        <f>50060</f>
        <v>50060</v>
      </c>
      <c r="D22" s="11">
        <f t="shared" si="0"/>
        <v>-17524.63</v>
      </c>
      <c r="E22" s="12">
        <f t="shared" si="1"/>
        <v>0.64992748701558123</v>
      </c>
      <c r="F22" s="64" t="str">
        <f>VLOOKUP(A22,'BvA Mar 22'!A:F,6,FALSE)</f>
        <v>Federal Revenue</v>
      </c>
    </row>
    <row r="23" spans="1:6" x14ac:dyDescent="0.25">
      <c r="A23" s="8" t="s">
        <v>152</v>
      </c>
      <c r="B23" s="11">
        <f>71454.82</f>
        <v>71454.820000000007</v>
      </c>
      <c r="C23" s="11">
        <f>170161</f>
        <v>170161</v>
      </c>
      <c r="D23" s="11">
        <f t="shared" si="0"/>
        <v>-98706.18</v>
      </c>
      <c r="E23" s="12">
        <f t="shared" si="1"/>
        <v>0.41992477712284254</v>
      </c>
      <c r="F23" s="64" t="str">
        <f>VLOOKUP(A23,'BvA Mar 22'!A:F,6,FALSE)</f>
        <v>Federal Revenue</v>
      </c>
    </row>
    <row r="24" spans="1:6" x14ac:dyDescent="0.25">
      <c r="A24" s="8" t="s">
        <v>9</v>
      </c>
      <c r="B24" s="11">
        <f>188217.26</f>
        <v>188217.26</v>
      </c>
      <c r="C24" s="11">
        <f>298184</f>
        <v>298184</v>
      </c>
      <c r="D24" s="11">
        <f t="shared" si="0"/>
        <v>-109966.73999999999</v>
      </c>
      <c r="E24" s="12">
        <f t="shared" si="1"/>
        <v>0.63121180210876504</v>
      </c>
      <c r="F24" s="64" t="str">
        <f>VLOOKUP(A24,'BvA Mar 22'!A:F,6,FALSE)</f>
        <v>Federal Revenue</v>
      </c>
    </row>
    <row r="25" spans="1:6" x14ac:dyDescent="0.25">
      <c r="A25" s="8" t="s">
        <v>10</v>
      </c>
      <c r="B25" s="13">
        <f>((((((((((((((((B8)+(B9))+(B10))+(B11))+(B12))+(B13))+(B14))+(B15))+(B16))+(B17))+(B18))+(B19))+(B20))+(B21))+(B22))+(B23))+(B24)</f>
        <v>1046566.3</v>
      </c>
      <c r="C25" s="13">
        <f>((((((((((((((((C8)+(C9))+(C10))+(C11))+(C12))+(C13))+(C14))+(C15))+(C16))+(C17))+(C18))+(C19))+(C20))+(C21))+(C22))+(C23))+(C24)</f>
        <v>1736065</v>
      </c>
      <c r="D25" s="13">
        <f t="shared" si="0"/>
        <v>-689498.7</v>
      </c>
      <c r="E25" s="14">
        <f t="shared" si="1"/>
        <v>0.60283820018259693</v>
      </c>
    </row>
    <row r="26" spans="1:6" x14ac:dyDescent="0.25">
      <c r="A26" s="8" t="s">
        <v>11</v>
      </c>
      <c r="B26" s="13">
        <f>(B25)-(0)</f>
        <v>1046566.3</v>
      </c>
      <c r="C26" s="13">
        <f>(C25)-(0)</f>
        <v>1736065</v>
      </c>
      <c r="D26" s="13">
        <f t="shared" si="0"/>
        <v>-689498.7</v>
      </c>
      <c r="E26" s="14">
        <f t="shared" si="1"/>
        <v>0.60283820018259693</v>
      </c>
    </row>
    <row r="27" spans="1:6" x14ac:dyDescent="0.25">
      <c r="A27" s="8" t="s">
        <v>12</v>
      </c>
      <c r="B27" s="9"/>
      <c r="C27" s="9"/>
      <c r="D27" s="9"/>
      <c r="E27" s="9"/>
    </row>
    <row r="28" spans="1:6" x14ac:dyDescent="0.25">
      <c r="A28" s="8" t="s">
        <v>151</v>
      </c>
      <c r="B28" s="11">
        <f>60416.68</f>
        <v>60416.68</v>
      </c>
      <c r="C28" s="11">
        <f>90000</f>
        <v>90000</v>
      </c>
      <c r="D28" s="11">
        <f t="shared" ref="D28:D83" si="2">(B28)-(C28)</f>
        <v>-29583.32</v>
      </c>
      <c r="E28" s="12">
        <f t="shared" ref="E28:E83" si="3">IF(C28=0,"",(B28)/(C28))</f>
        <v>0.67129644444444447</v>
      </c>
      <c r="F28" s="64" t="str">
        <f>VLOOKUP(A28,'BvA Mar 22'!A:F,6,FALSE)</f>
        <v>Salaries</v>
      </c>
    </row>
    <row r="29" spans="1:6" x14ac:dyDescent="0.25">
      <c r="A29" s="8" t="s">
        <v>116</v>
      </c>
      <c r="B29" s="11">
        <f>26666.7</f>
        <v>26666.7</v>
      </c>
      <c r="C29" s="11">
        <f>32500</f>
        <v>32500</v>
      </c>
      <c r="D29" s="11">
        <f t="shared" si="2"/>
        <v>-5833.2999999999993</v>
      </c>
      <c r="E29" s="12">
        <f t="shared" si="3"/>
        <v>0.82051384615384615</v>
      </c>
      <c r="F29" s="64" t="str">
        <f>VLOOKUP(A29,'BvA Mar 22'!A:F,6,FALSE)</f>
        <v>Salaries</v>
      </c>
    </row>
    <row r="30" spans="1:6" x14ac:dyDescent="0.25">
      <c r="A30" s="8" t="s">
        <v>13</v>
      </c>
      <c r="B30" s="11">
        <f>32414.56</f>
        <v>32414.560000000001</v>
      </c>
      <c r="C30" s="11">
        <f>49815</f>
        <v>49815</v>
      </c>
      <c r="D30" s="11">
        <f t="shared" si="2"/>
        <v>-17400.439999999999</v>
      </c>
      <c r="E30" s="12">
        <f t="shared" si="3"/>
        <v>0.65069878550637361</v>
      </c>
      <c r="F30" s="64" t="str">
        <f>VLOOKUP(A30,'BvA Mar 22'!A:F,6,FALSE)</f>
        <v>Salaries</v>
      </c>
    </row>
    <row r="31" spans="1:6" x14ac:dyDescent="0.25">
      <c r="A31" s="8" t="s">
        <v>150</v>
      </c>
      <c r="B31" s="11">
        <f>30257.32</f>
        <v>30257.32</v>
      </c>
      <c r="C31" s="11">
        <f>41216</f>
        <v>41216</v>
      </c>
      <c r="D31" s="11">
        <f t="shared" si="2"/>
        <v>-10958.68</v>
      </c>
      <c r="E31" s="12">
        <f t="shared" si="3"/>
        <v>0.73411587732919259</v>
      </c>
      <c r="F31" s="64" t="str">
        <f>VLOOKUP(A31,'BvA Mar 22'!A:F,6,FALSE)</f>
        <v>Salaries</v>
      </c>
    </row>
    <row r="32" spans="1:6" x14ac:dyDescent="0.25">
      <c r="A32" s="8" t="s">
        <v>114</v>
      </c>
      <c r="B32" s="11">
        <f>21008.17</f>
        <v>21008.17</v>
      </c>
      <c r="C32" s="11">
        <f>26000</f>
        <v>26000</v>
      </c>
      <c r="D32" s="11">
        <f t="shared" si="2"/>
        <v>-4991.8300000000017</v>
      </c>
      <c r="E32" s="12">
        <f t="shared" si="3"/>
        <v>0.80800653846153836</v>
      </c>
      <c r="F32" s="64" t="str">
        <f>VLOOKUP(A32,'BvA Mar 22'!A:F,6,FALSE)</f>
        <v>Salaries</v>
      </c>
    </row>
    <row r="33" spans="1:6" x14ac:dyDescent="0.25">
      <c r="A33" s="8" t="s">
        <v>14</v>
      </c>
      <c r="B33" s="11">
        <f>140992.44</f>
        <v>140992.44</v>
      </c>
      <c r="C33" s="11">
        <f>280714</f>
        <v>280714</v>
      </c>
      <c r="D33" s="11">
        <f t="shared" si="2"/>
        <v>-139721.56</v>
      </c>
      <c r="E33" s="12">
        <f t="shared" si="3"/>
        <v>0.50226365624799618</v>
      </c>
      <c r="F33" s="64" t="str">
        <f>VLOOKUP(A33,'BvA Mar 22'!A:F,6,FALSE)</f>
        <v>Salaries</v>
      </c>
    </row>
    <row r="34" spans="1:6" x14ac:dyDescent="0.25">
      <c r="A34" s="8" t="s">
        <v>187</v>
      </c>
      <c r="B34" s="11">
        <f>9019.68</f>
        <v>9019.68</v>
      </c>
      <c r="C34" s="11">
        <f>11250</f>
        <v>11250</v>
      </c>
      <c r="D34" s="11">
        <f t="shared" si="2"/>
        <v>-2230.3199999999997</v>
      </c>
      <c r="E34" s="12">
        <f t="shared" si="3"/>
        <v>0.80174933333333331</v>
      </c>
      <c r="F34" s="64" t="str">
        <f>VLOOKUP(A34,'BvA Mar 22'!A:F,6,FALSE)</f>
        <v>Salaries</v>
      </c>
    </row>
    <row r="35" spans="1:6" x14ac:dyDescent="0.25">
      <c r="A35" s="8" t="s">
        <v>149</v>
      </c>
      <c r="B35" s="11">
        <f>43636.98</f>
        <v>43636.98</v>
      </c>
      <c r="C35" s="11">
        <f>64499</f>
        <v>64499</v>
      </c>
      <c r="D35" s="11">
        <f t="shared" si="2"/>
        <v>-20862.019999999997</v>
      </c>
      <c r="E35" s="12">
        <f t="shared" si="3"/>
        <v>0.6765528147723221</v>
      </c>
      <c r="F35" s="64" t="str">
        <f>VLOOKUP(A35,'BvA Mar 22'!A:F,6,FALSE)</f>
        <v>Salaries</v>
      </c>
    </row>
    <row r="36" spans="1:6" x14ac:dyDescent="0.25">
      <c r="A36" s="8" t="s">
        <v>261</v>
      </c>
      <c r="B36" s="11">
        <f>720</f>
        <v>720</v>
      </c>
      <c r="C36" s="9"/>
      <c r="D36" s="11">
        <f t="shared" si="2"/>
        <v>720</v>
      </c>
      <c r="E36" s="12" t="str">
        <f t="shared" si="3"/>
        <v/>
      </c>
      <c r="F36" s="64" t="s">
        <v>45</v>
      </c>
    </row>
    <row r="37" spans="1:6" x14ac:dyDescent="0.25">
      <c r="A37" s="8" t="s">
        <v>113</v>
      </c>
      <c r="B37" s="11">
        <f>61785.69</f>
        <v>61785.69</v>
      </c>
      <c r="C37" s="11">
        <f>57938</f>
        <v>57938</v>
      </c>
      <c r="D37" s="11">
        <f t="shared" si="2"/>
        <v>3847.6900000000023</v>
      </c>
      <c r="E37" s="12">
        <f t="shared" si="3"/>
        <v>1.0664104732645241</v>
      </c>
      <c r="F37" s="64" t="str">
        <f>VLOOKUP(A37,'BvA Mar 22'!A:F,6,FALSE)</f>
        <v>Salaries</v>
      </c>
    </row>
    <row r="38" spans="1:6" x14ac:dyDescent="0.25">
      <c r="A38" s="8" t="s">
        <v>15</v>
      </c>
      <c r="B38" s="11">
        <f>25018.79</f>
        <v>25018.79</v>
      </c>
      <c r="C38" s="11">
        <f>53949</f>
        <v>53949</v>
      </c>
      <c r="D38" s="11">
        <f t="shared" si="2"/>
        <v>-28930.21</v>
      </c>
      <c r="E38" s="12">
        <f t="shared" si="3"/>
        <v>0.46374891100854515</v>
      </c>
      <c r="F38" s="64" t="str">
        <f>VLOOKUP(A38,'BvA Mar 22'!A:F,6,FALSE)</f>
        <v>Personnel Taxes &amp; Benefits</v>
      </c>
    </row>
    <row r="39" spans="1:6" x14ac:dyDescent="0.25">
      <c r="A39" s="8" t="s">
        <v>16</v>
      </c>
      <c r="B39" s="11">
        <f>3465.58</f>
        <v>3465.58</v>
      </c>
      <c r="C39" s="11">
        <f>6539</f>
        <v>6539</v>
      </c>
      <c r="D39" s="11">
        <f t="shared" si="2"/>
        <v>-3073.42</v>
      </c>
      <c r="E39" s="12">
        <f t="shared" si="3"/>
        <v>0.52998623642758835</v>
      </c>
      <c r="F39" s="64" t="str">
        <f>VLOOKUP(A39,'BvA Mar 22'!A:F,6,FALSE)</f>
        <v>Personnel Taxes &amp; Benefits</v>
      </c>
    </row>
    <row r="40" spans="1:6" x14ac:dyDescent="0.25">
      <c r="A40" s="8" t="s">
        <v>17</v>
      </c>
      <c r="B40" s="11">
        <f>5510.44</f>
        <v>5510.44</v>
      </c>
      <c r="C40" s="11">
        <f>9025</f>
        <v>9025</v>
      </c>
      <c r="D40" s="11">
        <f t="shared" si="2"/>
        <v>-3514.5600000000004</v>
      </c>
      <c r="E40" s="12">
        <f t="shared" si="3"/>
        <v>0.6105750692520775</v>
      </c>
      <c r="F40" s="64" t="str">
        <f>VLOOKUP(A40,'BvA Mar 22'!A:F,6,FALSE)</f>
        <v>Personnel Taxes &amp; Benefits</v>
      </c>
    </row>
    <row r="41" spans="1:6" x14ac:dyDescent="0.25">
      <c r="A41" s="8" t="s">
        <v>18</v>
      </c>
      <c r="B41" s="9"/>
      <c r="C41" s="11">
        <f>1635</f>
        <v>1635</v>
      </c>
      <c r="D41" s="11">
        <f t="shared" si="2"/>
        <v>-1635</v>
      </c>
      <c r="E41" s="12">
        <f t="shared" si="3"/>
        <v>0</v>
      </c>
      <c r="F41" s="64" t="str">
        <f>VLOOKUP(A41,'BvA Mar 22'!A:F,6,FALSE)</f>
        <v>Personnel Taxes &amp; Benefits</v>
      </c>
    </row>
    <row r="42" spans="1:6" x14ac:dyDescent="0.25">
      <c r="A42" s="8" t="s">
        <v>112</v>
      </c>
      <c r="B42" s="11">
        <f>55516.51</f>
        <v>55516.51</v>
      </c>
      <c r="C42" s="11">
        <f>88434</f>
        <v>88434</v>
      </c>
      <c r="D42" s="11">
        <f t="shared" si="2"/>
        <v>-32917.49</v>
      </c>
      <c r="E42" s="12">
        <f t="shared" si="3"/>
        <v>0.62777336770925207</v>
      </c>
      <c r="F42" s="64" t="str">
        <f>VLOOKUP(A42,'BvA Mar 22'!A:F,6,FALSE)</f>
        <v>Personnel Taxes &amp; Benefits</v>
      </c>
    </row>
    <row r="43" spans="1:6" x14ac:dyDescent="0.25">
      <c r="A43" s="8" t="s">
        <v>148</v>
      </c>
      <c r="B43" s="11">
        <f>90024</f>
        <v>90024</v>
      </c>
      <c r="C43" s="11">
        <f>151008</f>
        <v>151008</v>
      </c>
      <c r="D43" s="11">
        <f t="shared" si="2"/>
        <v>-60984</v>
      </c>
      <c r="E43" s="12">
        <f t="shared" si="3"/>
        <v>0.59615384615384615</v>
      </c>
      <c r="F43" s="64" t="str">
        <f>VLOOKUP(A43,'BvA Mar 22'!A:F,6,FALSE)</f>
        <v>Personnel Taxes &amp; Benefits</v>
      </c>
    </row>
    <row r="44" spans="1:6" x14ac:dyDescent="0.25">
      <c r="A44" s="8" t="s">
        <v>147</v>
      </c>
      <c r="B44" s="9"/>
      <c r="C44" s="11">
        <f>18000</f>
        <v>18000</v>
      </c>
      <c r="D44" s="11">
        <f t="shared" si="2"/>
        <v>-18000</v>
      </c>
      <c r="E44" s="12">
        <f t="shared" si="3"/>
        <v>0</v>
      </c>
      <c r="F44" s="64" t="str">
        <f>VLOOKUP(A44,'BvA Mar 22'!A:F,6,FALSE)</f>
        <v>Contracted Services</v>
      </c>
    </row>
    <row r="45" spans="1:6" x14ac:dyDescent="0.25">
      <c r="A45" s="8" t="s">
        <v>111</v>
      </c>
      <c r="B45" s="11">
        <f>501.74</f>
        <v>501.74</v>
      </c>
      <c r="C45" s="11">
        <f>5000</f>
        <v>5000</v>
      </c>
      <c r="D45" s="11">
        <f t="shared" si="2"/>
        <v>-4498.26</v>
      </c>
      <c r="E45" s="12">
        <f t="shared" si="3"/>
        <v>0.10034800000000001</v>
      </c>
      <c r="F45" s="64" t="str">
        <f>VLOOKUP(A45,'BvA Mar 22'!A:F,6,FALSE)</f>
        <v>Contracted Services</v>
      </c>
    </row>
    <row r="46" spans="1:6" x14ac:dyDescent="0.25">
      <c r="A46" s="8" t="s">
        <v>146</v>
      </c>
      <c r="B46" s="11">
        <f>19005.87</f>
        <v>19005.87</v>
      </c>
      <c r="C46" s="11">
        <f>27458</f>
        <v>27458</v>
      </c>
      <c r="D46" s="11">
        <f t="shared" si="2"/>
        <v>-8452.130000000001</v>
      </c>
      <c r="E46" s="12">
        <f t="shared" si="3"/>
        <v>0.69217969262145818</v>
      </c>
      <c r="F46" s="64" t="str">
        <f>VLOOKUP(A46,'BvA Mar 22'!A:F,6,FALSE)</f>
        <v>Contracted Services</v>
      </c>
    </row>
    <row r="47" spans="1:6" x14ac:dyDescent="0.25">
      <c r="A47" s="8" t="s">
        <v>19</v>
      </c>
      <c r="B47" s="11">
        <f>65431.5</f>
        <v>65431.5</v>
      </c>
      <c r="C47" s="11">
        <f>96000</f>
        <v>96000</v>
      </c>
      <c r="D47" s="11">
        <f t="shared" si="2"/>
        <v>-30568.5</v>
      </c>
      <c r="E47" s="12">
        <f t="shared" si="3"/>
        <v>0.68157812500000003</v>
      </c>
      <c r="F47" s="64" t="str">
        <f>VLOOKUP(A47,'BvA Mar 22'!A:F,6,FALSE)</f>
        <v>Contracted Services</v>
      </c>
    </row>
    <row r="48" spans="1:6" x14ac:dyDescent="0.25">
      <c r="A48" s="8" t="s">
        <v>108</v>
      </c>
      <c r="B48" s="11">
        <f>28820.01</f>
        <v>28820.01</v>
      </c>
      <c r="C48" s="11">
        <f>38020</f>
        <v>38020</v>
      </c>
      <c r="D48" s="11">
        <f t="shared" si="2"/>
        <v>-9199.9900000000016</v>
      </c>
      <c r="E48" s="12">
        <f t="shared" si="3"/>
        <v>0.75802235665439244</v>
      </c>
      <c r="F48" s="64" t="str">
        <f>VLOOKUP(A48,'BvA Mar 22'!A:F,6,FALSE)</f>
        <v>Contracted Services</v>
      </c>
    </row>
    <row r="49" spans="1:6" x14ac:dyDescent="0.25">
      <c r="A49" s="8" t="s">
        <v>20</v>
      </c>
      <c r="B49" s="11">
        <f>21185.41</f>
        <v>21185.41</v>
      </c>
      <c r="C49" s="11">
        <f>22000</f>
        <v>22000</v>
      </c>
      <c r="D49" s="11">
        <f t="shared" si="2"/>
        <v>-814.59000000000015</v>
      </c>
      <c r="E49" s="12">
        <f t="shared" si="3"/>
        <v>0.96297318181818181</v>
      </c>
      <c r="F49" s="64" t="str">
        <f>VLOOKUP(A49,'BvA Mar 22'!A:F,6,FALSE)</f>
        <v>Contracted Services</v>
      </c>
    </row>
    <row r="50" spans="1:6" x14ac:dyDescent="0.25">
      <c r="A50" s="8" t="s">
        <v>107</v>
      </c>
      <c r="B50" s="11">
        <f>13233.28</f>
        <v>13233.28</v>
      </c>
      <c r="C50" s="11">
        <f>25000</f>
        <v>25000</v>
      </c>
      <c r="D50" s="11">
        <f t="shared" si="2"/>
        <v>-11766.72</v>
      </c>
      <c r="E50" s="12">
        <f t="shared" si="3"/>
        <v>0.5293312</v>
      </c>
      <c r="F50" s="64" t="str">
        <f>VLOOKUP(A50,'BvA Mar 22'!A:F,6,FALSE)</f>
        <v>Contracted Services</v>
      </c>
    </row>
    <row r="51" spans="1:6" x14ac:dyDescent="0.25">
      <c r="A51" s="8" t="s">
        <v>145</v>
      </c>
      <c r="B51" s="11">
        <f>2433.13</f>
        <v>2433.13</v>
      </c>
      <c r="C51" s="9"/>
      <c r="D51" s="11">
        <f t="shared" si="2"/>
        <v>2433.13</v>
      </c>
      <c r="E51" s="12" t="str">
        <f t="shared" si="3"/>
        <v/>
      </c>
      <c r="F51" s="64" t="str">
        <f>VLOOKUP(A51,'BvA Mar 22'!A:F,6,FALSE)</f>
        <v>Contracted Services</v>
      </c>
    </row>
    <row r="52" spans="1:6" x14ac:dyDescent="0.25">
      <c r="A52" s="8" t="s">
        <v>144</v>
      </c>
      <c r="B52" s="11">
        <f>33020</f>
        <v>33020</v>
      </c>
      <c r="C52" s="11">
        <f>65000</f>
        <v>65000</v>
      </c>
      <c r="D52" s="11">
        <f t="shared" si="2"/>
        <v>-31980</v>
      </c>
      <c r="E52" s="12">
        <f t="shared" si="3"/>
        <v>0.50800000000000001</v>
      </c>
      <c r="F52" s="64" t="str">
        <f>VLOOKUP(A52,'BvA Mar 22'!A:F,6,FALSE)</f>
        <v>Contracted Services</v>
      </c>
    </row>
    <row r="53" spans="1:6" x14ac:dyDescent="0.25">
      <c r="A53" s="8" t="s">
        <v>143</v>
      </c>
      <c r="B53" s="11">
        <f>23413.87</f>
        <v>23413.87</v>
      </c>
      <c r="C53" s="11">
        <f>27316</f>
        <v>27316</v>
      </c>
      <c r="D53" s="11">
        <f t="shared" si="2"/>
        <v>-3902.130000000001</v>
      </c>
      <c r="E53" s="12">
        <f t="shared" si="3"/>
        <v>0.85714855762190656</v>
      </c>
      <c r="F53" s="64" t="str">
        <f>VLOOKUP(A53,'BvA Mar 22'!A:F,6,FALSE)</f>
        <v>Contracted Services</v>
      </c>
    </row>
    <row r="54" spans="1:6" x14ac:dyDescent="0.25">
      <c r="A54" s="8" t="s">
        <v>142</v>
      </c>
      <c r="B54" s="11">
        <f>834.74</f>
        <v>834.74</v>
      </c>
      <c r="C54" s="11">
        <f>2500</f>
        <v>2500</v>
      </c>
      <c r="D54" s="11">
        <f t="shared" si="2"/>
        <v>-1665.26</v>
      </c>
      <c r="E54" s="12">
        <f t="shared" si="3"/>
        <v>0.33389600000000003</v>
      </c>
      <c r="F54" s="64" t="str">
        <f>VLOOKUP(A54,'BvA Mar 22'!A:F,6,FALSE)</f>
        <v>School Operations</v>
      </c>
    </row>
    <row r="55" spans="1:6" x14ac:dyDescent="0.25">
      <c r="A55" s="8" t="s">
        <v>21</v>
      </c>
      <c r="B55" s="11">
        <f>2551.76</f>
        <v>2551.7600000000002</v>
      </c>
      <c r="C55" s="11">
        <f>2000</f>
        <v>2000</v>
      </c>
      <c r="D55" s="11">
        <f t="shared" si="2"/>
        <v>551.76000000000022</v>
      </c>
      <c r="E55" s="12">
        <f t="shared" si="3"/>
        <v>1.2758800000000001</v>
      </c>
      <c r="F55" s="64" t="str">
        <f>VLOOKUP(A55,'BvA Mar 22'!A:F,6,FALSE)</f>
        <v>School Operations</v>
      </c>
    </row>
    <row r="56" spans="1:6" x14ac:dyDescent="0.25">
      <c r="A56" s="8" t="s">
        <v>23</v>
      </c>
      <c r="B56" s="11">
        <f>6816.64</f>
        <v>6816.64</v>
      </c>
      <c r="C56" s="11">
        <f>11250</f>
        <v>11250</v>
      </c>
      <c r="D56" s="11">
        <f t="shared" si="2"/>
        <v>-4433.3599999999997</v>
      </c>
      <c r="E56" s="12">
        <f t="shared" si="3"/>
        <v>0.60592355555555555</v>
      </c>
      <c r="F56" s="64" t="str">
        <f>VLOOKUP(A56,'BvA Mar 22'!A:F,6,FALSE)</f>
        <v>School Operations</v>
      </c>
    </row>
    <row r="57" spans="1:6" x14ac:dyDescent="0.25">
      <c r="A57" s="8" t="s">
        <v>24</v>
      </c>
      <c r="B57" s="11">
        <f>32121</f>
        <v>32121</v>
      </c>
      <c r="C57" s="11">
        <f>60500</f>
        <v>60500</v>
      </c>
      <c r="D57" s="11">
        <f t="shared" si="2"/>
        <v>-28379</v>
      </c>
      <c r="E57" s="12">
        <f t="shared" si="3"/>
        <v>0.53092561983471076</v>
      </c>
      <c r="F57" s="64" t="str">
        <f>VLOOKUP(A57,'BvA Mar 22'!A:F,6,FALSE)</f>
        <v>School Operations</v>
      </c>
    </row>
    <row r="58" spans="1:6" x14ac:dyDescent="0.25">
      <c r="A58" s="8" t="s">
        <v>106</v>
      </c>
      <c r="B58" s="11">
        <f>1119.3</f>
        <v>1119.3</v>
      </c>
      <c r="C58" s="11">
        <f>4725</f>
        <v>4725</v>
      </c>
      <c r="D58" s="11">
        <f t="shared" si="2"/>
        <v>-3605.7</v>
      </c>
      <c r="E58" s="12">
        <f t="shared" si="3"/>
        <v>0.23688888888888887</v>
      </c>
      <c r="F58" s="64" t="str">
        <f>VLOOKUP(A58,'BvA Mar 22'!A:F,6,FALSE)</f>
        <v>School Operations</v>
      </c>
    </row>
    <row r="59" spans="1:6" x14ac:dyDescent="0.25">
      <c r="A59" s="8" t="s">
        <v>141</v>
      </c>
      <c r="B59" s="11">
        <f>3740.66</f>
        <v>3740.66</v>
      </c>
      <c r="C59" s="11">
        <f>5250</f>
        <v>5250</v>
      </c>
      <c r="D59" s="11">
        <f t="shared" si="2"/>
        <v>-1509.3400000000001</v>
      </c>
      <c r="E59" s="12">
        <f t="shared" si="3"/>
        <v>0.71250666666666662</v>
      </c>
      <c r="F59" s="64" t="str">
        <f>VLOOKUP(A59,'BvA Mar 22'!A:F,6,FALSE)</f>
        <v>School Operations</v>
      </c>
    </row>
    <row r="60" spans="1:6" x14ac:dyDescent="0.25">
      <c r="A60" s="8" t="s">
        <v>140</v>
      </c>
      <c r="B60" s="11">
        <f>635.29</f>
        <v>635.29</v>
      </c>
      <c r="C60" s="9"/>
      <c r="D60" s="11">
        <f t="shared" si="2"/>
        <v>635.29</v>
      </c>
      <c r="E60" s="12" t="str">
        <f t="shared" si="3"/>
        <v/>
      </c>
      <c r="F60" s="64" t="str">
        <f>VLOOKUP(A60,'BvA Mar 22'!A:F,6,FALSE)</f>
        <v>School Operations</v>
      </c>
    </row>
    <row r="61" spans="1:6" x14ac:dyDescent="0.25">
      <c r="A61" s="8" t="s">
        <v>25</v>
      </c>
      <c r="B61" s="11">
        <f>10072.66</f>
        <v>10072.66</v>
      </c>
      <c r="C61" s="11">
        <f>46710</f>
        <v>46710</v>
      </c>
      <c r="D61" s="11">
        <f t="shared" si="2"/>
        <v>-36637.339999999997</v>
      </c>
      <c r="E61" s="12">
        <f t="shared" si="3"/>
        <v>0.21564247484478699</v>
      </c>
      <c r="F61" s="64" t="str">
        <f>VLOOKUP(A61,'BvA Mar 22'!A:F,6,FALSE)</f>
        <v>School Operations</v>
      </c>
    </row>
    <row r="62" spans="1:6" x14ac:dyDescent="0.25">
      <c r="A62" s="8" t="s">
        <v>26</v>
      </c>
      <c r="B62" s="11">
        <f>5535.71</f>
        <v>5535.71</v>
      </c>
      <c r="C62" s="11">
        <f>7680</f>
        <v>7680</v>
      </c>
      <c r="D62" s="11">
        <f t="shared" si="2"/>
        <v>-2144.29</v>
      </c>
      <c r="E62" s="12">
        <f t="shared" si="3"/>
        <v>0.72079557291666663</v>
      </c>
      <c r="F62" s="64" t="str">
        <f>VLOOKUP(A62,'BvA Mar 22'!A:F,6,FALSE)</f>
        <v>School Operations</v>
      </c>
    </row>
    <row r="63" spans="1:6" x14ac:dyDescent="0.25">
      <c r="A63" s="8" t="s">
        <v>27</v>
      </c>
      <c r="B63" s="11">
        <f>10416.96</f>
        <v>10416.959999999999</v>
      </c>
      <c r="C63" s="11">
        <f>17206</f>
        <v>17206</v>
      </c>
      <c r="D63" s="11">
        <f t="shared" si="2"/>
        <v>-6789.0400000000009</v>
      </c>
      <c r="E63" s="12">
        <f t="shared" si="3"/>
        <v>0.60542601418109954</v>
      </c>
      <c r="F63" s="64" t="str">
        <f>VLOOKUP(A63,'BvA Mar 22'!A:F,6,FALSE)</f>
        <v>School Operations</v>
      </c>
    </row>
    <row r="64" spans="1:6" x14ac:dyDescent="0.25">
      <c r="A64" s="8" t="s">
        <v>28</v>
      </c>
      <c r="B64" s="11">
        <f>16827.23</f>
        <v>16827.23</v>
      </c>
      <c r="C64" s="11">
        <f>24450</f>
        <v>24450</v>
      </c>
      <c r="D64" s="11">
        <f t="shared" si="2"/>
        <v>-7622.77</v>
      </c>
      <c r="E64" s="12">
        <f t="shared" si="3"/>
        <v>0.68823026584867075</v>
      </c>
      <c r="F64" s="64" t="str">
        <f>VLOOKUP(A64,'BvA Mar 22'!A:F,6,FALSE)</f>
        <v>School Operations</v>
      </c>
    </row>
    <row r="65" spans="1:6" x14ac:dyDescent="0.25">
      <c r="A65" s="8" t="s">
        <v>105</v>
      </c>
      <c r="B65" s="9"/>
      <c r="C65" s="11">
        <f>3225</f>
        <v>3225</v>
      </c>
      <c r="D65" s="11">
        <f t="shared" si="2"/>
        <v>-3225</v>
      </c>
      <c r="E65" s="12">
        <f t="shared" si="3"/>
        <v>0</v>
      </c>
      <c r="F65" s="64" t="str">
        <f>VLOOKUP(A65,'BvA Mar 22'!A:F,6,FALSE)</f>
        <v>School Operations</v>
      </c>
    </row>
    <row r="66" spans="1:6" x14ac:dyDescent="0.25">
      <c r="A66" s="8" t="s">
        <v>262</v>
      </c>
      <c r="B66" s="9"/>
      <c r="C66" s="11">
        <f>6650</f>
        <v>6650</v>
      </c>
      <c r="D66" s="11">
        <f t="shared" si="2"/>
        <v>-6650</v>
      </c>
      <c r="E66" s="12">
        <f t="shared" si="3"/>
        <v>0</v>
      </c>
      <c r="F66" s="64" t="s">
        <v>48</v>
      </c>
    </row>
    <row r="67" spans="1:6" x14ac:dyDescent="0.25">
      <c r="A67" s="8" t="s">
        <v>263</v>
      </c>
      <c r="B67" s="9"/>
      <c r="C67" s="11">
        <f>1750</f>
        <v>1750</v>
      </c>
      <c r="D67" s="11">
        <f t="shared" si="2"/>
        <v>-1750</v>
      </c>
      <c r="E67" s="12">
        <f t="shared" si="3"/>
        <v>0</v>
      </c>
      <c r="F67" s="64" t="s">
        <v>48</v>
      </c>
    </row>
    <row r="68" spans="1:6" x14ac:dyDescent="0.25">
      <c r="A68" s="8" t="s">
        <v>168</v>
      </c>
      <c r="B68" s="11">
        <f>200.91</f>
        <v>200.91</v>
      </c>
      <c r="C68" s="9"/>
      <c r="D68" s="11">
        <f t="shared" si="2"/>
        <v>200.91</v>
      </c>
      <c r="E68" s="12" t="str">
        <f t="shared" si="3"/>
        <v/>
      </c>
      <c r="F68" s="64" t="str">
        <f>VLOOKUP(A68,'BvA Mar 22'!A:F,6,FALSE)</f>
        <v>School Operations</v>
      </c>
    </row>
    <row r="69" spans="1:6" x14ac:dyDescent="0.25">
      <c r="A69" s="8" t="s">
        <v>29</v>
      </c>
      <c r="B69" s="11">
        <f>7174.48</f>
        <v>7174.48</v>
      </c>
      <c r="C69" s="11">
        <f>8000</f>
        <v>8000</v>
      </c>
      <c r="D69" s="11">
        <f t="shared" si="2"/>
        <v>-825.52000000000044</v>
      </c>
      <c r="E69" s="12">
        <f t="shared" si="3"/>
        <v>0.89681</v>
      </c>
      <c r="F69" s="64" t="str">
        <f>VLOOKUP(A69,'BvA Mar 22'!A:F,6,FALSE)</f>
        <v>School Operations</v>
      </c>
    </row>
    <row r="70" spans="1:6" x14ac:dyDescent="0.25">
      <c r="A70" s="8" t="s">
        <v>30</v>
      </c>
      <c r="B70" s="11">
        <f>6105.71</f>
        <v>6105.71</v>
      </c>
      <c r="C70" s="11">
        <f>2420</f>
        <v>2420</v>
      </c>
      <c r="D70" s="11">
        <f t="shared" si="2"/>
        <v>3685.71</v>
      </c>
      <c r="E70" s="12">
        <f t="shared" si="3"/>
        <v>2.5230206611570249</v>
      </c>
      <c r="F70" s="64" t="str">
        <f>VLOOKUP(A70,'BvA Mar 22'!A:F,6,FALSE)</f>
        <v>School Operations</v>
      </c>
    </row>
    <row r="71" spans="1:6" x14ac:dyDescent="0.25">
      <c r="A71" s="8" t="s">
        <v>31</v>
      </c>
      <c r="B71" s="11">
        <f>60.75</f>
        <v>60.75</v>
      </c>
      <c r="C71" s="11">
        <f>2000</f>
        <v>2000</v>
      </c>
      <c r="D71" s="11">
        <f t="shared" si="2"/>
        <v>-1939.25</v>
      </c>
      <c r="E71" s="12">
        <f t="shared" si="3"/>
        <v>3.0374999999999999E-2</v>
      </c>
      <c r="F71" s="64" t="str">
        <f>VLOOKUP(A71,'BvA Mar 22'!A:F,6,FALSE)</f>
        <v>School Operations</v>
      </c>
    </row>
    <row r="72" spans="1:6" x14ac:dyDescent="0.25">
      <c r="A72" s="8" t="s">
        <v>32</v>
      </c>
      <c r="B72" s="11">
        <f>8215.18</f>
        <v>8215.18</v>
      </c>
      <c r="C72" s="11">
        <f>3000</f>
        <v>3000</v>
      </c>
      <c r="D72" s="11">
        <f t="shared" si="2"/>
        <v>5215.18</v>
      </c>
      <c r="E72" s="12">
        <f t="shared" si="3"/>
        <v>2.7383933333333332</v>
      </c>
      <c r="F72" s="64" t="str">
        <f>VLOOKUP(A72,'BvA Mar 22'!A:F,6,FALSE)</f>
        <v>School Operations</v>
      </c>
    </row>
    <row r="73" spans="1:6" x14ac:dyDescent="0.25">
      <c r="A73" s="8" t="s">
        <v>56</v>
      </c>
      <c r="B73" s="11">
        <f>38287.27</f>
        <v>38287.269999999997</v>
      </c>
      <c r="C73" s="11">
        <f>60511</f>
        <v>60511</v>
      </c>
      <c r="D73" s="11">
        <f t="shared" si="2"/>
        <v>-22223.730000000003</v>
      </c>
      <c r="E73" s="12">
        <f t="shared" si="3"/>
        <v>0.63273239576275386</v>
      </c>
      <c r="F73" s="64" t="str">
        <f>VLOOKUP(A73,'BvA Mar 22'!A:F,6,FALSE)</f>
        <v>School Operations</v>
      </c>
    </row>
    <row r="74" spans="1:6" x14ac:dyDescent="0.25">
      <c r="A74" s="8" t="s">
        <v>33</v>
      </c>
      <c r="B74" s="11">
        <f>95.58</f>
        <v>95.58</v>
      </c>
      <c r="C74" s="11">
        <f>300</f>
        <v>300</v>
      </c>
      <c r="D74" s="11">
        <f t="shared" si="2"/>
        <v>-204.42000000000002</v>
      </c>
      <c r="E74" s="12">
        <f t="shared" si="3"/>
        <v>0.31859999999999999</v>
      </c>
      <c r="F74" s="64" t="str">
        <f>VLOOKUP(A74,'BvA Mar 22'!A:F,6,FALSE)</f>
        <v>School Operations</v>
      </c>
    </row>
    <row r="75" spans="1:6" x14ac:dyDescent="0.25">
      <c r="A75" s="8" t="s">
        <v>137</v>
      </c>
      <c r="B75" s="11">
        <f>495.3</f>
        <v>495.3</v>
      </c>
      <c r="C75" s="11">
        <f>5000</f>
        <v>5000</v>
      </c>
      <c r="D75" s="11">
        <f t="shared" si="2"/>
        <v>-4504.7</v>
      </c>
      <c r="E75" s="12">
        <f t="shared" si="3"/>
        <v>9.9060000000000009E-2</v>
      </c>
      <c r="F75" s="64" t="str">
        <f>VLOOKUP(A75,'BvA Mar 22'!A:F,6,FALSE)</f>
        <v>School Operations</v>
      </c>
    </row>
    <row r="76" spans="1:6" x14ac:dyDescent="0.25">
      <c r="A76" s="8" t="s">
        <v>136</v>
      </c>
      <c r="B76" s="9"/>
      <c r="C76" s="11">
        <f>15000</f>
        <v>15000</v>
      </c>
      <c r="D76" s="11">
        <f t="shared" si="2"/>
        <v>-15000</v>
      </c>
      <c r="E76" s="12">
        <f t="shared" si="3"/>
        <v>0</v>
      </c>
      <c r="F76" s="64" t="str">
        <f>VLOOKUP(A76,'BvA Mar 22'!A:F,6,FALSE)</f>
        <v>School Operations</v>
      </c>
    </row>
    <row r="77" spans="1:6" x14ac:dyDescent="0.25">
      <c r="A77" s="8" t="s">
        <v>34</v>
      </c>
      <c r="B77" s="11">
        <f>6980.02</f>
        <v>6980.02</v>
      </c>
      <c r="C77" s="11">
        <f>12500</f>
        <v>12500</v>
      </c>
      <c r="D77" s="11">
        <f t="shared" si="2"/>
        <v>-5519.98</v>
      </c>
      <c r="E77" s="12">
        <f t="shared" si="3"/>
        <v>0.55840160000000005</v>
      </c>
      <c r="F77" s="64" t="str">
        <f>VLOOKUP(A77,'BvA Mar 22'!A:F,6,FALSE)</f>
        <v>Facility Operations &amp; Maintenance</v>
      </c>
    </row>
    <row r="78" spans="1:6" x14ac:dyDescent="0.25">
      <c r="A78" s="8" t="s">
        <v>55</v>
      </c>
      <c r="B78" s="11">
        <f>1517.01</f>
        <v>1517.01</v>
      </c>
      <c r="C78" s="11">
        <f>4053</f>
        <v>4053</v>
      </c>
      <c r="D78" s="11">
        <f t="shared" si="2"/>
        <v>-2535.9899999999998</v>
      </c>
      <c r="E78" s="12">
        <f t="shared" si="3"/>
        <v>0.37429311621021466</v>
      </c>
      <c r="F78" s="64" t="str">
        <f>VLOOKUP(A78,'BvA Mar 22'!A:F,6,FALSE)</f>
        <v>Facility Operations &amp; Maintenance</v>
      </c>
    </row>
    <row r="79" spans="1:6" x14ac:dyDescent="0.25">
      <c r="A79" s="8" t="s">
        <v>35</v>
      </c>
      <c r="B79" s="11">
        <f>112606.69</f>
        <v>112606.69</v>
      </c>
      <c r="C79" s="11">
        <f>159238</f>
        <v>159238</v>
      </c>
      <c r="D79" s="11">
        <f t="shared" si="2"/>
        <v>-46631.31</v>
      </c>
      <c r="E79" s="12">
        <f t="shared" si="3"/>
        <v>0.70715966038257205</v>
      </c>
      <c r="F79" s="64" t="str">
        <f>VLOOKUP(A79,'BvA Mar 22'!A:F,6,FALSE)</f>
        <v>Facility Operations &amp; Maintenance</v>
      </c>
    </row>
    <row r="80" spans="1:6" x14ac:dyDescent="0.25">
      <c r="A80" s="8" t="s">
        <v>134</v>
      </c>
      <c r="B80" s="11">
        <f>107.8</f>
        <v>107.8</v>
      </c>
      <c r="C80" s="11">
        <f>3000</f>
        <v>3000</v>
      </c>
      <c r="D80" s="11">
        <f t="shared" si="2"/>
        <v>-2892.2</v>
      </c>
      <c r="E80" s="12">
        <f t="shared" si="3"/>
        <v>3.5933333333333331E-2</v>
      </c>
      <c r="F80" s="64" t="str">
        <f>VLOOKUP(A80,'BvA Mar 22'!A:F,6,FALSE)</f>
        <v>Facility Operations &amp; Maintenance</v>
      </c>
    </row>
    <row r="81" spans="1:6" x14ac:dyDescent="0.25">
      <c r="A81" s="8" t="s">
        <v>132</v>
      </c>
      <c r="B81" s="11">
        <f>15452.72</f>
        <v>15452.72</v>
      </c>
      <c r="C81" s="11">
        <f>577</f>
        <v>577</v>
      </c>
      <c r="D81" s="11">
        <f t="shared" si="2"/>
        <v>14875.72</v>
      </c>
      <c r="E81" s="12">
        <f t="shared" si="3"/>
        <v>26.781143847487002</v>
      </c>
      <c r="F81" s="64" t="str">
        <f>VLOOKUP(A81,'BvA Mar 22'!A:F,6,FALSE)</f>
        <v>Facility Operations &amp; Maintenance</v>
      </c>
    </row>
    <row r="82" spans="1:6" x14ac:dyDescent="0.25">
      <c r="A82" s="8" t="s">
        <v>36</v>
      </c>
      <c r="B82" s="13">
        <f>(((((((((((((((((((((((((((((((((((((((((((((((((((((B28)+(B29))+(B30))+(B31))+(B32))+(B33))+(B34))+(B35))+(B36))+(B37))+(B38))+(B39))+(B40))+(B41))+(B42))+(B43))+(B44))+(B45))+(B46))+(B47))+(B48))+(B49))+(B50))+(B51))+(B52))+(B53))+(B54))+(B55))+(B56))+(B57))+(B58))+(B59))+(B60))+(B61))+(B62))+(B63))+(B64))+(B65))+(B66))+(B67))+(B68))+(B69))+(B70))+(B71))+(B72))+(B73))+(B74))+(B75))+(B76))+(B77))+(B78))+(B79))+(B80))+(B81)</f>
        <v>1101469.7200000002</v>
      </c>
      <c r="C82" s="13">
        <f>(((((((((((((((((((((((((((((((((((((((((((((((((((((C28)+(C29))+(C30))+(C31))+(C32))+(C33))+(C34))+(C35))+(C36))+(C37))+(C38))+(C39))+(C40))+(C41))+(C42))+(C43))+(C44))+(C45))+(C46))+(C47))+(C48))+(C49))+(C50))+(C51))+(C52))+(C53))+(C54))+(C55))+(C56))+(C57))+(C58))+(C59))+(C60))+(C61))+(C62))+(C63))+(C64))+(C65))+(C66))+(C67))+(C68))+(C69))+(C70))+(C71))+(C72))+(C73))+(C74))+(C75))+(C76))+(C77))+(C78))+(C79))+(C80))+(C81)</f>
        <v>1757811</v>
      </c>
      <c r="D82" s="13">
        <f t="shared" si="2"/>
        <v>-656341.2799999998</v>
      </c>
      <c r="E82" s="14">
        <f t="shared" si="3"/>
        <v>0.62661441986652733</v>
      </c>
    </row>
    <row r="83" spans="1:6" x14ac:dyDescent="0.25">
      <c r="A83" s="8" t="s">
        <v>37</v>
      </c>
      <c r="B83" s="13">
        <f>(B26)-(B82)</f>
        <v>-54903.420000000158</v>
      </c>
      <c r="C83" s="13">
        <f>(C26)-(C82)</f>
        <v>-21746</v>
      </c>
      <c r="D83" s="13">
        <f t="shared" si="2"/>
        <v>-33157.420000000158</v>
      </c>
      <c r="E83" s="14">
        <f t="shared" si="3"/>
        <v>2.5247594959992714</v>
      </c>
    </row>
    <row r="84" spans="1:6" x14ac:dyDescent="0.25">
      <c r="A84" s="8" t="s">
        <v>131</v>
      </c>
      <c r="B84" s="9"/>
      <c r="C84" s="9"/>
      <c r="D84" s="9"/>
      <c r="E84" s="9"/>
    </row>
    <row r="85" spans="1:6" x14ac:dyDescent="0.25">
      <c r="A85" s="8" t="s">
        <v>130</v>
      </c>
      <c r="B85" s="9"/>
      <c r="C85" s="11">
        <f>94883</f>
        <v>94883</v>
      </c>
      <c r="D85" s="11">
        <f>(B85)-(C85)</f>
        <v>-94883</v>
      </c>
      <c r="E85" s="12">
        <f>IF(C85=0,"",(B85)/(C85))</f>
        <v>0</v>
      </c>
      <c r="F85" s="64">
        <f>VLOOKUP(A85,'BvA Mar 22'!A:F,6,FALSE)</f>
        <v>0</v>
      </c>
    </row>
    <row r="86" spans="1:6" x14ac:dyDescent="0.25">
      <c r="A86" s="8" t="s">
        <v>129</v>
      </c>
      <c r="B86" s="13">
        <f>B85</f>
        <v>0</v>
      </c>
      <c r="C86" s="13">
        <f>C85</f>
        <v>94883</v>
      </c>
      <c r="D86" s="13">
        <f>(B86)-(C86)</f>
        <v>-94883</v>
      </c>
      <c r="E86" s="14">
        <f>IF(C86=0,"",(B86)/(C86))</f>
        <v>0</v>
      </c>
    </row>
    <row r="87" spans="1:6" x14ac:dyDescent="0.25">
      <c r="A87" s="8" t="s">
        <v>128</v>
      </c>
      <c r="B87" s="13">
        <f>(0)-(B86)</f>
        <v>0</v>
      </c>
      <c r="C87" s="13">
        <f>(0)-(C86)</f>
        <v>-94883</v>
      </c>
      <c r="D87" s="13">
        <f>(B87)-(C87)</f>
        <v>94883</v>
      </c>
      <c r="E87" s="14">
        <f>IF(C87=0,"",(B87)/(C87))</f>
        <v>0</v>
      </c>
    </row>
    <row r="88" spans="1:6" x14ac:dyDescent="0.25">
      <c r="A88" s="8" t="s">
        <v>38</v>
      </c>
      <c r="B88" s="13">
        <f>(B83)+(B87)</f>
        <v>-54903.420000000158</v>
      </c>
      <c r="C88" s="13">
        <f>(C83)+(C87)</f>
        <v>-116629</v>
      </c>
      <c r="D88" s="13">
        <f>(B88)-(C88)</f>
        <v>61725.579999999842</v>
      </c>
      <c r="E88" s="14">
        <f>IF(C88=0,"",(B88)/(C88))</f>
        <v>0.47075272873813684</v>
      </c>
    </row>
    <row r="89" spans="1:6" x14ac:dyDescent="0.25">
      <c r="A89" s="8"/>
      <c r="B89" s="9"/>
      <c r="C89" s="9"/>
      <c r="D89" s="9"/>
      <c r="E89" s="9"/>
    </row>
    <row r="92" spans="1:6" x14ac:dyDescent="0.25">
      <c r="A92" s="77" t="s">
        <v>264</v>
      </c>
      <c r="B92" s="75"/>
      <c r="C92" s="75"/>
      <c r="D92" s="75"/>
      <c r="E92" s="75"/>
    </row>
  </sheetData>
  <mergeCells count="5">
    <mergeCell ref="A1:E1"/>
    <mergeCell ref="A2:E2"/>
    <mergeCell ref="A3:E3"/>
    <mergeCell ref="B5:E5"/>
    <mergeCell ref="A92:E9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97321-D134-445D-AC8B-29B432BE58F6}">
  <dimension ref="A1:D55"/>
  <sheetViews>
    <sheetView workbookViewId="0">
      <selection activeCell="D22" sqref="D22"/>
    </sheetView>
  </sheetViews>
  <sheetFormatPr defaultRowHeight="15" x14ac:dyDescent="0.25"/>
  <cols>
    <col min="1" max="1" width="39.125" style="64" customWidth="1"/>
    <col min="2" max="2" width="11.25" style="64" customWidth="1"/>
    <col min="3" max="3" width="9" style="64"/>
    <col min="4" max="4" width="12" style="64" bestFit="1" customWidth="1"/>
    <col min="5" max="16384" width="9" style="64"/>
  </cols>
  <sheetData>
    <row r="1" spans="1:2" ht="18" x14ac:dyDescent="0.25">
      <c r="A1" s="74" t="s">
        <v>97</v>
      </c>
      <c r="B1" s="75"/>
    </row>
    <row r="2" spans="1:2" ht="18" x14ac:dyDescent="0.25">
      <c r="A2" s="74" t="s">
        <v>96</v>
      </c>
      <c r="B2" s="75"/>
    </row>
    <row r="3" spans="1:2" x14ac:dyDescent="0.25">
      <c r="A3" s="76" t="s">
        <v>265</v>
      </c>
      <c r="B3" s="75"/>
    </row>
    <row r="5" spans="1:2" x14ac:dyDescent="0.25">
      <c r="A5" s="63"/>
      <c r="B5" s="62" t="s">
        <v>0</v>
      </c>
    </row>
    <row r="6" spans="1:2" ht="24.75" x14ac:dyDescent="0.25">
      <c r="A6" s="63"/>
      <c r="B6" s="62" t="s">
        <v>266</v>
      </c>
    </row>
    <row r="7" spans="1:2" x14ac:dyDescent="0.25">
      <c r="A7" s="8" t="s">
        <v>94</v>
      </c>
      <c r="B7" s="9"/>
    </row>
    <row r="8" spans="1:2" x14ac:dyDescent="0.25">
      <c r="A8" s="8" t="s">
        <v>93</v>
      </c>
      <c r="B8" s="9"/>
    </row>
    <row r="9" spans="1:2" x14ac:dyDescent="0.25">
      <c r="A9" s="8" t="s">
        <v>92</v>
      </c>
      <c r="B9" s="9"/>
    </row>
    <row r="10" spans="1:2" x14ac:dyDescent="0.25">
      <c r="A10" s="8" t="s">
        <v>103</v>
      </c>
      <c r="B10" s="11">
        <f>148865.68</f>
        <v>148865.68</v>
      </c>
    </row>
    <row r="11" spans="1:2" x14ac:dyDescent="0.25">
      <c r="A11" s="8" t="s">
        <v>102</v>
      </c>
      <c r="B11" s="11">
        <f>1223.38</f>
        <v>1223.3800000000001</v>
      </c>
    </row>
    <row r="12" spans="1:2" x14ac:dyDescent="0.25">
      <c r="A12" s="8" t="s">
        <v>101</v>
      </c>
      <c r="B12" s="11">
        <f>1095.45</f>
        <v>1095.45</v>
      </c>
    </row>
    <row r="13" spans="1:2" x14ac:dyDescent="0.25">
      <c r="A13" s="8" t="s">
        <v>91</v>
      </c>
      <c r="B13" s="13">
        <f>((B10)+(B11))+(B12)</f>
        <v>151184.51</v>
      </c>
    </row>
    <row r="14" spans="1:2" x14ac:dyDescent="0.25">
      <c r="A14" s="8" t="s">
        <v>90</v>
      </c>
      <c r="B14" s="9"/>
    </row>
    <row r="15" spans="1:2" x14ac:dyDescent="0.25">
      <c r="A15" s="8" t="s">
        <v>89</v>
      </c>
      <c r="B15" s="11">
        <f>166192.31</f>
        <v>166192.31</v>
      </c>
    </row>
    <row r="16" spans="1:2" x14ac:dyDescent="0.25">
      <c r="A16" s="8" t="s">
        <v>88</v>
      </c>
      <c r="B16" s="13">
        <f>B15</f>
        <v>166192.31</v>
      </c>
    </row>
    <row r="17" spans="1:4" x14ac:dyDescent="0.25">
      <c r="A17" s="8" t="s">
        <v>87</v>
      </c>
      <c r="B17" s="9"/>
    </row>
    <row r="18" spans="1:4" x14ac:dyDescent="0.25">
      <c r="A18" s="8" t="s">
        <v>86</v>
      </c>
      <c r="B18" s="11">
        <f>4133.68</f>
        <v>4133.68</v>
      </c>
    </row>
    <row r="19" spans="1:4" x14ac:dyDescent="0.25">
      <c r="A19" s="8" t="s">
        <v>85</v>
      </c>
      <c r="B19" s="13">
        <f>B18</f>
        <v>4133.68</v>
      </c>
    </row>
    <row r="20" spans="1:4" x14ac:dyDescent="0.25">
      <c r="A20" s="8" t="s">
        <v>84</v>
      </c>
      <c r="B20" s="13">
        <f>((B13)+(B16))+(B19)</f>
        <v>321510.5</v>
      </c>
    </row>
    <row r="21" spans="1:4" x14ac:dyDescent="0.25">
      <c r="A21" s="8" t="s">
        <v>83</v>
      </c>
      <c r="B21" s="9"/>
      <c r="C21" s="64" t="s">
        <v>246</v>
      </c>
      <c r="D21" s="64" t="s">
        <v>247</v>
      </c>
    </row>
    <row r="22" spans="1:4" x14ac:dyDescent="0.25">
      <c r="A22" s="8" t="s">
        <v>82</v>
      </c>
      <c r="B22" s="11">
        <f>46770.36</f>
        <v>46770.36</v>
      </c>
      <c r="C22" s="64">
        <v>35656.51</v>
      </c>
      <c r="D22" s="15">
        <f>+B22-C22</f>
        <v>11113.849999999999</v>
      </c>
    </row>
    <row r="23" spans="1:4" x14ac:dyDescent="0.25">
      <c r="A23" s="8" t="s">
        <v>81</v>
      </c>
      <c r="B23" s="11">
        <f>391802.62</f>
        <v>391802.62</v>
      </c>
      <c r="C23" s="64">
        <v>106222.74</v>
      </c>
      <c r="D23" s="15">
        <f>+B23-C23</f>
        <v>285579.88</v>
      </c>
    </row>
    <row r="24" spans="1:4" x14ac:dyDescent="0.25">
      <c r="A24" s="8" t="s">
        <v>80</v>
      </c>
      <c r="B24" s="11">
        <f>68838.42</f>
        <v>68838.42</v>
      </c>
      <c r="C24" s="64">
        <v>68838.42</v>
      </c>
      <c r="D24" s="15">
        <f>+B24-C24</f>
        <v>0</v>
      </c>
    </row>
    <row r="25" spans="1:4" x14ac:dyDescent="0.25">
      <c r="A25" s="8" t="s">
        <v>125</v>
      </c>
      <c r="B25" s="11">
        <f>95705.81</f>
        <v>95705.81</v>
      </c>
    </row>
    <row r="26" spans="1:4" x14ac:dyDescent="0.25">
      <c r="A26" s="8" t="s">
        <v>79</v>
      </c>
      <c r="B26" s="13">
        <f>(((B22)+(B23))+(B24))+(B25)</f>
        <v>603117.21</v>
      </c>
    </row>
    <row r="27" spans="1:4" x14ac:dyDescent="0.25">
      <c r="A27" s="8" t="s">
        <v>78</v>
      </c>
      <c r="B27" s="13">
        <f>(B20)+(B26)</f>
        <v>924627.71</v>
      </c>
    </row>
    <row r="28" spans="1:4" x14ac:dyDescent="0.25">
      <c r="A28" s="8" t="s">
        <v>77</v>
      </c>
      <c r="B28" s="9"/>
    </row>
    <row r="29" spans="1:4" x14ac:dyDescent="0.25">
      <c r="A29" s="8" t="s">
        <v>76</v>
      </c>
      <c r="B29" s="9"/>
    </row>
    <row r="30" spans="1:4" x14ac:dyDescent="0.25">
      <c r="A30" s="8" t="s">
        <v>75</v>
      </c>
      <c r="B30" s="9"/>
    </row>
    <row r="31" spans="1:4" x14ac:dyDescent="0.25">
      <c r="A31" s="8" t="s">
        <v>74</v>
      </c>
      <c r="B31" s="9"/>
    </row>
    <row r="32" spans="1:4" x14ac:dyDescent="0.25">
      <c r="A32" s="8" t="s">
        <v>73</v>
      </c>
      <c r="B32" s="11">
        <f>22702.31</f>
        <v>22702.31</v>
      </c>
    </row>
    <row r="33" spans="1:2" x14ac:dyDescent="0.25">
      <c r="A33" s="8" t="s">
        <v>72</v>
      </c>
      <c r="B33" s="13">
        <f>B32</f>
        <v>22702.31</v>
      </c>
    </row>
    <row r="34" spans="1:2" x14ac:dyDescent="0.25">
      <c r="A34" s="8" t="s">
        <v>71</v>
      </c>
      <c r="B34" s="9"/>
    </row>
    <row r="35" spans="1:2" x14ac:dyDescent="0.25">
      <c r="A35" s="8" t="s">
        <v>100</v>
      </c>
      <c r="B35" s="11">
        <f>36631.6</f>
        <v>36631.599999999999</v>
      </c>
    </row>
    <row r="36" spans="1:2" x14ac:dyDescent="0.25">
      <c r="A36" s="8" t="s">
        <v>124</v>
      </c>
      <c r="B36" s="11">
        <f>9802.9</f>
        <v>9802.9</v>
      </c>
    </row>
    <row r="37" spans="1:2" x14ac:dyDescent="0.25">
      <c r="A37" s="8" t="s">
        <v>123</v>
      </c>
      <c r="B37" s="11">
        <f>-17786</f>
        <v>-17786</v>
      </c>
    </row>
    <row r="38" spans="1:2" x14ac:dyDescent="0.25">
      <c r="A38" s="8" t="s">
        <v>122</v>
      </c>
      <c r="B38" s="11">
        <f>114.52</f>
        <v>114.52</v>
      </c>
    </row>
    <row r="39" spans="1:2" x14ac:dyDescent="0.25">
      <c r="A39" s="8" t="s">
        <v>70</v>
      </c>
      <c r="B39" s="11">
        <f>420</f>
        <v>420</v>
      </c>
    </row>
    <row r="40" spans="1:2" x14ac:dyDescent="0.25">
      <c r="A40" s="8" t="s">
        <v>69</v>
      </c>
      <c r="B40" s="13">
        <f>((((B35)+(B36))+(B37))+(B38))+(B39)</f>
        <v>29183.02</v>
      </c>
    </row>
    <row r="41" spans="1:2" x14ac:dyDescent="0.25">
      <c r="A41" s="8" t="s">
        <v>68</v>
      </c>
      <c r="B41" s="13">
        <f>(B33)+(B40)</f>
        <v>51885.33</v>
      </c>
    </row>
    <row r="42" spans="1:2" x14ac:dyDescent="0.25">
      <c r="A42" s="8" t="s">
        <v>67</v>
      </c>
      <c r="B42" s="9"/>
    </row>
    <row r="43" spans="1:2" x14ac:dyDescent="0.25">
      <c r="A43" s="8" t="s">
        <v>66</v>
      </c>
      <c r="B43" s="11">
        <f>475188.56</f>
        <v>475188.56</v>
      </c>
    </row>
    <row r="44" spans="1:2" x14ac:dyDescent="0.25">
      <c r="A44" s="8" t="s">
        <v>65</v>
      </c>
      <c r="B44" s="13">
        <f>B43</f>
        <v>475188.56</v>
      </c>
    </row>
    <row r="45" spans="1:2" x14ac:dyDescent="0.25">
      <c r="A45" s="8" t="s">
        <v>64</v>
      </c>
      <c r="B45" s="13">
        <f>(B41)+(B44)</f>
        <v>527073.89</v>
      </c>
    </row>
    <row r="46" spans="1:2" x14ac:dyDescent="0.25">
      <c r="A46" s="8" t="s">
        <v>63</v>
      </c>
      <c r="B46" s="9"/>
    </row>
    <row r="47" spans="1:2" x14ac:dyDescent="0.25">
      <c r="A47" s="8" t="s">
        <v>62</v>
      </c>
      <c r="B47" s="11">
        <f>450257.24</f>
        <v>450257.24</v>
      </c>
    </row>
    <row r="48" spans="1:2" x14ac:dyDescent="0.25">
      <c r="A48" s="8" t="s">
        <v>61</v>
      </c>
      <c r="B48" s="11">
        <f>2200</f>
        <v>2200</v>
      </c>
    </row>
    <row r="49" spans="1:2" x14ac:dyDescent="0.25">
      <c r="A49" s="8" t="s">
        <v>60</v>
      </c>
      <c r="B49" s="11">
        <f>-54903.42</f>
        <v>-54903.42</v>
      </c>
    </row>
    <row r="50" spans="1:2" x14ac:dyDescent="0.25">
      <c r="A50" s="8" t="s">
        <v>59</v>
      </c>
      <c r="B50" s="13">
        <f>((B47)+(B48))+(B49)</f>
        <v>397553.82</v>
      </c>
    </row>
    <row r="51" spans="1:2" x14ac:dyDescent="0.25">
      <c r="A51" s="8" t="s">
        <v>58</v>
      </c>
      <c r="B51" s="13">
        <f>(B45)+(B50)</f>
        <v>924627.71</v>
      </c>
    </row>
    <row r="52" spans="1:2" x14ac:dyDescent="0.25">
      <c r="A52" s="8"/>
      <c r="B52" s="9"/>
    </row>
    <row r="55" spans="1:2" x14ac:dyDescent="0.25">
      <c r="A55" s="77" t="s">
        <v>267</v>
      </c>
      <c r="B55" s="75"/>
    </row>
  </sheetData>
  <mergeCells count="4">
    <mergeCell ref="A1:B1"/>
    <mergeCell ref="A2:B2"/>
    <mergeCell ref="A3:B3"/>
    <mergeCell ref="A55:B5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D935B-B442-4A9D-9EDF-94DA80F5FF1D}">
  <dimension ref="A1:F90"/>
  <sheetViews>
    <sheetView topLeftCell="A26" workbookViewId="0">
      <selection activeCell="F27" sqref="F27"/>
    </sheetView>
  </sheetViews>
  <sheetFormatPr defaultRowHeight="15" x14ac:dyDescent="0.25"/>
  <cols>
    <col min="1" max="1" width="38.375" style="61" customWidth="1"/>
    <col min="2" max="5" width="15.75" style="61" customWidth="1"/>
    <col min="6" max="16384" width="9" style="61"/>
  </cols>
  <sheetData>
    <row r="1" spans="1:6" ht="18" x14ac:dyDescent="0.25">
      <c r="A1" s="84" t="s">
        <v>97</v>
      </c>
      <c r="B1" s="75"/>
      <c r="C1" s="75"/>
      <c r="D1" s="75"/>
      <c r="E1" s="75"/>
    </row>
    <row r="2" spans="1:6" ht="18" x14ac:dyDescent="0.25">
      <c r="A2" s="84" t="s">
        <v>248</v>
      </c>
      <c r="B2" s="75"/>
      <c r="C2" s="75"/>
      <c r="D2" s="75"/>
      <c r="E2" s="75"/>
    </row>
    <row r="3" spans="1:6" x14ac:dyDescent="0.25">
      <c r="A3" s="85" t="s">
        <v>253</v>
      </c>
      <c r="B3" s="75"/>
      <c r="C3" s="75"/>
      <c r="D3" s="75"/>
      <c r="E3" s="75"/>
    </row>
    <row r="5" spans="1:6" x14ac:dyDescent="0.25">
      <c r="A5" s="60"/>
      <c r="B5" s="87" t="s">
        <v>0</v>
      </c>
      <c r="C5" s="73"/>
      <c r="D5" s="73"/>
      <c r="E5" s="73"/>
    </row>
    <row r="6" spans="1:6" x14ac:dyDescent="0.25">
      <c r="A6" s="60"/>
      <c r="B6" s="65" t="s">
        <v>1</v>
      </c>
      <c r="C6" s="65" t="s">
        <v>2</v>
      </c>
      <c r="D6" s="65" t="s">
        <v>3</v>
      </c>
      <c r="E6" s="65" t="s">
        <v>4</v>
      </c>
    </row>
    <row r="7" spans="1:6" x14ac:dyDescent="0.25">
      <c r="A7" s="66" t="s">
        <v>5</v>
      </c>
      <c r="B7" s="67"/>
      <c r="C7" s="67"/>
      <c r="D7" s="67"/>
      <c r="E7" s="67"/>
    </row>
    <row r="8" spans="1:6" x14ac:dyDescent="0.25">
      <c r="A8" s="66" t="s">
        <v>6</v>
      </c>
      <c r="B8" s="68">
        <f>4348.7</f>
        <v>4348.7</v>
      </c>
      <c r="C8" s="68">
        <f>5000</f>
        <v>5000</v>
      </c>
      <c r="D8" s="68">
        <f t="shared" ref="D8:D25" si="0">(B8)-(C8)</f>
        <v>-651.30000000000018</v>
      </c>
      <c r="E8" s="69">
        <f t="shared" ref="E8:E25" si="1">IF(C8=0,"",(B8)/(C8))</f>
        <v>0.86973999999999996</v>
      </c>
      <c r="F8" s="61" t="str">
        <f>VLOOKUP(A8,'BvA Feb 22'!A:F,6,FALSE)</f>
        <v>Local Support</v>
      </c>
    </row>
    <row r="9" spans="1:6" x14ac:dyDescent="0.25">
      <c r="A9" s="66" t="s">
        <v>223</v>
      </c>
      <c r="B9" s="68">
        <f>0.12</f>
        <v>0.12</v>
      </c>
      <c r="C9" s="67"/>
      <c r="D9" s="68">
        <f t="shared" si="0"/>
        <v>0.12</v>
      </c>
      <c r="E9" s="69" t="str">
        <f t="shared" si="1"/>
        <v/>
      </c>
      <c r="F9" s="61" t="str">
        <f>VLOOKUP(A9,'BvA Feb 22'!A:F,6,FALSE)</f>
        <v>Local Support</v>
      </c>
    </row>
    <row r="10" spans="1:6" x14ac:dyDescent="0.25">
      <c r="A10" s="66" t="s">
        <v>8</v>
      </c>
      <c r="B10" s="68">
        <f>105000</f>
        <v>105000</v>
      </c>
      <c r="C10" s="68">
        <f>260500</f>
        <v>260500</v>
      </c>
      <c r="D10" s="68">
        <f t="shared" si="0"/>
        <v>-155500</v>
      </c>
      <c r="E10" s="69">
        <f t="shared" si="1"/>
        <v>0.40307101727447214</v>
      </c>
      <c r="F10" s="61" t="str">
        <f>VLOOKUP(A10,'BvA Feb 22'!A:F,6,FALSE)</f>
        <v>Grants &amp; Other Sources</v>
      </c>
    </row>
    <row r="11" spans="1:6" x14ac:dyDescent="0.25">
      <c r="A11" s="66" t="s">
        <v>163</v>
      </c>
      <c r="B11" s="68">
        <f>469986.39</f>
        <v>469986.39</v>
      </c>
      <c r="C11" s="68">
        <f>784175</f>
        <v>784175</v>
      </c>
      <c r="D11" s="68">
        <f t="shared" si="0"/>
        <v>-314188.61</v>
      </c>
      <c r="E11" s="69">
        <f t="shared" si="1"/>
        <v>0.59933865527465169</v>
      </c>
      <c r="F11" s="61" t="str">
        <f>VLOOKUP(A11,'BvA Feb 22'!A:F,6,FALSE)</f>
        <v>State Revenue - General</v>
      </c>
    </row>
    <row r="12" spans="1:6" x14ac:dyDescent="0.25">
      <c r="A12" s="66" t="s">
        <v>162</v>
      </c>
      <c r="B12" s="68">
        <f>12618</f>
        <v>12618</v>
      </c>
      <c r="C12" s="68">
        <f>21276</f>
        <v>21276</v>
      </c>
      <c r="D12" s="68">
        <f t="shared" si="0"/>
        <v>-8658</v>
      </c>
      <c r="E12" s="69">
        <f t="shared" si="1"/>
        <v>0.5930626057529611</v>
      </c>
      <c r="F12" s="61" t="str">
        <f>VLOOKUP(A12,'BvA Feb 22'!A:F,6,FALSE)</f>
        <v>State Revenue - Special Purpose</v>
      </c>
    </row>
    <row r="13" spans="1:6" x14ac:dyDescent="0.25">
      <c r="A13" s="66" t="s">
        <v>161</v>
      </c>
      <c r="B13" s="68">
        <f>57119.12</f>
        <v>57119.12</v>
      </c>
      <c r="C13" s="68">
        <f>94758</f>
        <v>94758</v>
      </c>
      <c r="D13" s="68">
        <f t="shared" si="0"/>
        <v>-37638.879999999997</v>
      </c>
      <c r="E13" s="69">
        <f t="shared" si="1"/>
        <v>0.60278942147364867</v>
      </c>
      <c r="F13" s="61" t="str">
        <f>VLOOKUP(A13,'BvA Feb 22'!A:F,6,FALSE)</f>
        <v>State Revenue - Special Purpose</v>
      </c>
    </row>
    <row r="14" spans="1:6" x14ac:dyDescent="0.25">
      <c r="A14" s="66" t="s">
        <v>160</v>
      </c>
      <c r="B14" s="68">
        <f>7650.68</f>
        <v>7650.68</v>
      </c>
      <c r="C14" s="68">
        <f>13012</f>
        <v>13012</v>
      </c>
      <c r="D14" s="68">
        <f t="shared" si="0"/>
        <v>-5361.32</v>
      </c>
      <c r="E14" s="69">
        <f t="shared" si="1"/>
        <v>0.58797110359668003</v>
      </c>
      <c r="F14" s="61" t="str">
        <f>VLOOKUP(A14,'BvA Feb 22'!A:F,6,FALSE)</f>
        <v>State Revenue - Special Purpose</v>
      </c>
    </row>
    <row r="15" spans="1:6" x14ac:dyDescent="0.25">
      <c r="A15" s="66" t="s">
        <v>158</v>
      </c>
      <c r="B15" s="67"/>
      <c r="C15" s="68">
        <f>2054</f>
        <v>2054</v>
      </c>
      <c r="D15" s="68">
        <f t="shared" si="0"/>
        <v>-2054</v>
      </c>
      <c r="E15" s="69">
        <f t="shared" si="1"/>
        <v>0</v>
      </c>
      <c r="F15" s="61" t="str">
        <f>VLOOKUP(A15,'BvA Feb 22'!A:F,6,FALSE)</f>
        <v>State Revenue - Special Purpose</v>
      </c>
    </row>
    <row r="16" spans="1:6" x14ac:dyDescent="0.25">
      <c r="A16" s="66" t="s">
        <v>222</v>
      </c>
      <c r="B16" s="68">
        <f>893.5</f>
        <v>893.5</v>
      </c>
      <c r="C16" s="67"/>
      <c r="D16" s="68">
        <f t="shared" si="0"/>
        <v>893.5</v>
      </c>
      <c r="E16" s="69" t="str">
        <f t="shared" si="1"/>
        <v/>
      </c>
      <c r="F16" s="61" t="str">
        <f>VLOOKUP(A16,'BvA Feb 22'!A:F,6,FALSE)</f>
        <v>State Revenue - Special Purpose</v>
      </c>
    </row>
    <row r="17" spans="1:6" x14ac:dyDescent="0.25">
      <c r="A17" s="66" t="s">
        <v>214</v>
      </c>
      <c r="B17" s="67"/>
      <c r="C17" s="68">
        <v>2651</v>
      </c>
      <c r="D17" s="68">
        <f t="shared" si="0"/>
        <v>-2651</v>
      </c>
      <c r="E17" s="69">
        <f t="shared" si="1"/>
        <v>0</v>
      </c>
      <c r="F17" s="61" t="str">
        <f>VLOOKUP(A17,'BvA Feb 22'!A:F,6,FALSE)</f>
        <v>State Revenue - Special Purpose</v>
      </c>
    </row>
    <row r="18" spans="1:6" x14ac:dyDescent="0.25">
      <c r="A18" s="66" t="s">
        <v>156</v>
      </c>
      <c r="B18" s="67"/>
      <c r="C18" s="68">
        <f>16512</f>
        <v>16512</v>
      </c>
      <c r="D18" s="68">
        <f t="shared" si="0"/>
        <v>-16512</v>
      </c>
      <c r="E18" s="69">
        <f t="shared" si="1"/>
        <v>0</v>
      </c>
      <c r="F18" s="61" t="str">
        <f>VLOOKUP(A18,'BvA Feb 22'!A:F,6,FALSE)</f>
        <v>Federal Revenue</v>
      </c>
    </row>
    <row r="19" spans="1:6" x14ac:dyDescent="0.25">
      <c r="A19" s="66" t="s">
        <v>155</v>
      </c>
      <c r="B19" s="67"/>
      <c r="C19" s="68">
        <f>2686</f>
        <v>2686</v>
      </c>
      <c r="D19" s="68">
        <f t="shared" si="0"/>
        <v>-2686</v>
      </c>
      <c r="E19" s="69">
        <f t="shared" si="1"/>
        <v>0</v>
      </c>
      <c r="F19" s="61" t="str">
        <f>VLOOKUP(A19,'BvA Feb 22'!A:F,6,FALSE)</f>
        <v>Federal Revenue</v>
      </c>
    </row>
    <row r="20" spans="1:6" x14ac:dyDescent="0.25">
      <c r="A20" s="66" t="s">
        <v>154</v>
      </c>
      <c r="B20" s="68">
        <f>7514</f>
        <v>7514</v>
      </c>
      <c r="C20" s="68">
        <f>15036</f>
        <v>15036</v>
      </c>
      <c r="D20" s="68">
        <f t="shared" si="0"/>
        <v>-7522</v>
      </c>
      <c r="E20" s="69">
        <f t="shared" si="1"/>
        <v>0.49973397180101092</v>
      </c>
      <c r="F20" s="61" t="str">
        <f>VLOOKUP(A20,'BvA Feb 22'!A:F,6,FALSE)</f>
        <v>Federal Revenue</v>
      </c>
    </row>
    <row r="21" spans="1:6" x14ac:dyDescent="0.25">
      <c r="A21" s="66" t="s">
        <v>153</v>
      </c>
      <c r="B21" s="68">
        <f>25932.65</f>
        <v>25932.65</v>
      </c>
      <c r="C21" s="68">
        <f>50060</f>
        <v>50060</v>
      </c>
      <c r="D21" s="68">
        <f t="shared" si="0"/>
        <v>-24127.35</v>
      </c>
      <c r="E21" s="69">
        <f t="shared" si="1"/>
        <v>0.51803136236516178</v>
      </c>
      <c r="F21" s="61" t="str">
        <f>VLOOKUP(A21,'BvA Feb 22'!A:F,6,FALSE)</f>
        <v>Federal Revenue</v>
      </c>
    </row>
    <row r="22" spans="1:6" x14ac:dyDescent="0.25">
      <c r="A22" s="66" t="s">
        <v>152</v>
      </c>
      <c r="B22" s="68">
        <f>68574.82</f>
        <v>68574.820000000007</v>
      </c>
      <c r="C22" s="68">
        <v>170161</v>
      </c>
      <c r="D22" s="68">
        <f t="shared" si="0"/>
        <v>-101586.18</v>
      </c>
      <c r="E22" s="69">
        <f t="shared" si="1"/>
        <v>0.40299962976240156</v>
      </c>
      <c r="F22" s="61" t="str">
        <f>VLOOKUP(A22,'BvA Feb 22'!A:F,6,FALSE)</f>
        <v>Federal Revenue</v>
      </c>
    </row>
    <row r="23" spans="1:6" x14ac:dyDescent="0.25">
      <c r="A23" s="66" t="s">
        <v>9</v>
      </c>
      <c r="B23" s="68">
        <f>173728.75</f>
        <v>173728.75</v>
      </c>
      <c r="C23" s="68">
        <f>298184</f>
        <v>298184</v>
      </c>
      <c r="D23" s="68">
        <f t="shared" si="0"/>
        <v>-124455.25</v>
      </c>
      <c r="E23" s="69">
        <f t="shared" si="1"/>
        <v>0.58262264239529959</v>
      </c>
      <c r="F23" s="61" t="str">
        <f>VLOOKUP(A23,'BvA Feb 22'!A:F,6,FALSE)</f>
        <v>Federal Revenue</v>
      </c>
    </row>
    <row r="24" spans="1:6" x14ac:dyDescent="0.25">
      <c r="A24" s="66" t="s">
        <v>10</v>
      </c>
      <c r="B24" s="70">
        <f>(((((((((((((((B8)+(B9))+(B10))+(B11))+(B12))+(B13))+(B14))+(B15))+(B16))+(B17))+(B18))+(B19))+(B20))+(B21))+(B22))+(B23)</f>
        <v>933366.73</v>
      </c>
      <c r="C24" s="70">
        <f>(((((((((((((((C8)+(C9))+(C10))+(C11))+(C12))+(C13))+(C14))+(C15))+(C16))+(C17))+(C18))+(C19))+(C20))+(C21))+(C22))+(C23)</f>
        <v>1736065</v>
      </c>
      <c r="D24" s="70">
        <f t="shared" si="0"/>
        <v>-802698.27</v>
      </c>
      <c r="E24" s="71">
        <f t="shared" si="1"/>
        <v>0.5376335160261857</v>
      </c>
    </row>
    <row r="25" spans="1:6" x14ac:dyDescent="0.25">
      <c r="A25" s="66" t="s">
        <v>11</v>
      </c>
      <c r="B25" s="70">
        <f>(B24)-(0)</f>
        <v>933366.73</v>
      </c>
      <c r="C25" s="70">
        <f>(C24)-(0)</f>
        <v>1736065</v>
      </c>
      <c r="D25" s="70">
        <f t="shared" si="0"/>
        <v>-802698.27</v>
      </c>
      <c r="E25" s="71">
        <f t="shared" si="1"/>
        <v>0.5376335160261857</v>
      </c>
    </row>
    <row r="26" spans="1:6" x14ac:dyDescent="0.25">
      <c r="A26" s="66" t="s">
        <v>12</v>
      </c>
      <c r="B26" s="67"/>
      <c r="C26" s="67"/>
      <c r="D26" s="67"/>
      <c r="E26" s="67"/>
    </row>
    <row r="27" spans="1:6" x14ac:dyDescent="0.25">
      <c r="A27" s="66" t="s">
        <v>151</v>
      </c>
      <c r="B27" s="68">
        <f>52916.68</f>
        <v>52916.68</v>
      </c>
      <c r="C27" s="68">
        <f>90000</f>
        <v>90000</v>
      </c>
      <c r="D27" s="68">
        <f t="shared" ref="D27:D81" si="2">(B27)-(C27)</f>
        <v>-37083.32</v>
      </c>
      <c r="E27" s="69">
        <f t="shared" ref="E27:E81" si="3">IF(C27=0,"",(B27)/(C27))</f>
        <v>0.5879631111111111</v>
      </c>
      <c r="F27" s="61" t="str">
        <f>VLOOKUP(A27,'BvA Feb 22'!A:F,6,FALSE)</f>
        <v>Salaries</v>
      </c>
    </row>
    <row r="28" spans="1:6" x14ac:dyDescent="0.25">
      <c r="A28" s="66" t="s">
        <v>116</v>
      </c>
      <c r="B28" s="68">
        <f>26666.7</f>
        <v>26666.7</v>
      </c>
      <c r="C28" s="68">
        <f>32500</f>
        <v>32500</v>
      </c>
      <c r="D28" s="68">
        <f t="shared" si="2"/>
        <v>-5833.2999999999993</v>
      </c>
      <c r="E28" s="69">
        <f t="shared" si="3"/>
        <v>0.82051384615384615</v>
      </c>
      <c r="F28" s="61" t="str">
        <f>VLOOKUP(A28,'BvA Feb 22'!A:F,6,FALSE)</f>
        <v>Salaries</v>
      </c>
    </row>
    <row r="29" spans="1:6" x14ac:dyDescent="0.25">
      <c r="A29" s="66" t="s">
        <v>13</v>
      </c>
      <c r="B29" s="68">
        <f>28019.26</f>
        <v>28019.26</v>
      </c>
      <c r="C29" s="68">
        <f>49815</f>
        <v>49815</v>
      </c>
      <c r="D29" s="68">
        <f t="shared" si="2"/>
        <v>-21795.74</v>
      </c>
      <c r="E29" s="69">
        <f t="shared" si="3"/>
        <v>0.56246632540399477</v>
      </c>
      <c r="F29" s="61" t="str">
        <f>VLOOKUP(A29,'BvA Feb 22'!A:F,6,FALSE)</f>
        <v>Salaries</v>
      </c>
    </row>
    <row r="30" spans="1:6" x14ac:dyDescent="0.25">
      <c r="A30" s="66" t="s">
        <v>150</v>
      </c>
      <c r="B30" s="68">
        <f>26237.32</f>
        <v>26237.32</v>
      </c>
      <c r="C30" s="68">
        <f>41216</f>
        <v>41216</v>
      </c>
      <c r="D30" s="68">
        <f t="shared" si="2"/>
        <v>-14978.68</v>
      </c>
      <c r="E30" s="69">
        <f t="shared" si="3"/>
        <v>0.63658093944099381</v>
      </c>
      <c r="F30" s="61" t="str">
        <f>VLOOKUP(A30,'BvA Feb 22'!A:F,6,FALSE)</f>
        <v>Salaries</v>
      </c>
    </row>
    <row r="31" spans="1:6" x14ac:dyDescent="0.25">
      <c r="A31" s="66" t="s">
        <v>114</v>
      </c>
      <c r="B31" s="68">
        <f>18853.27</f>
        <v>18853.27</v>
      </c>
      <c r="C31" s="68">
        <f>26000</f>
        <v>26000</v>
      </c>
      <c r="D31" s="68">
        <f t="shared" si="2"/>
        <v>-7146.73</v>
      </c>
      <c r="E31" s="69">
        <f t="shared" si="3"/>
        <v>0.72512576923076921</v>
      </c>
      <c r="F31" s="61" t="str">
        <f>VLOOKUP(A31,'BvA Feb 22'!A:F,6,FALSE)</f>
        <v>Salaries</v>
      </c>
    </row>
    <row r="32" spans="1:6" x14ac:dyDescent="0.25">
      <c r="A32" s="66" t="s">
        <v>14</v>
      </c>
      <c r="B32" s="68">
        <f>123641.75</f>
        <v>123641.75</v>
      </c>
      <c r="C32" s="68">
        <f>280714</f>
        <v>280714</v>
      </c>
      <c r="D32" s="68">
        <f t="shared" si="2"/>
        <v>-157072.25</v>
      </c>
      <c r="E32" s="69">
        <f t="shared" si="3"/>
        <v>0.44045451954658477</v>
      </c>
      <c r="F32" s="61" t="str">
        <f>VLOOKUP(A32,'BvA Feb 22'!A:F,6,FALSE)</f>
        <v>Salaries</v>
      </c>
    </row>
    <row r="33" spans="1:6" x14ac:dyDescent="0.25">
      <c r="A33" s="66" t="s">
        <v>187</v>
      </c>
      <c r="B33" s="68">
        <f>11137.55</f>
        <v>11137.55</v>
      </c>
      <c r="C33" s="68">
        <f>11250</f>
        <v>11250</v>
      </c>
      <c r="D33" s="68">
        <f t="shared" si="2"/>
        <v>-112.45000000000073</v>
      </c>
      <c r="E33" s="69">
        <f t="shared" si="3"/>
        <v>0.99000444444444435</v>
      </c>
      <c r="F33" s="61" t="str">
        <f>VLOOKUP(A33,'BvA Feb 22'!A:F,6,FALSE)</f>
        <v>Salaries</v>
      </c>
    </row>
    <row r="34" spans="1:6" x14ac:dyDescent="0.25">
      <c r="A34" s="66" t="s">
        <v>149</v>
      </c>
      <c r="B34" s="68">
        <f>38262.02</f>
        <v>38262.019999999997</v>
      </c>
      <c r="C34" s="68">
        <f>64499</f>
        <v>64499</v>
      </c>
      <c r="D34" s="68">
        <f t="shared" si="2"/>
        <v>-26236.980000000003</v>
      </c>
      <c r="E34" s="69">
        <f t="shared" si="3"/>
        <v>0.59321880959394713</v>
      </c>
      <c r="F34" s="61" t="str">
        <f>VLOOKUP(A34,'BvA Feb 22'!A:F,6,FALSE)</f>
        <v>Salaries</v>
      </c>
    </row>
    <row r="35" spans="1:6" x14ac:dyDescent="0.25">
      <c r="A35" s="66" t="s">
        <v>113</v>
      </c>
      <c r="B35" s="68">
        <f>52046.78</f>
        <v>52046.78</v>
      </c>
      <c r="C35" s="68">
        <f>57938</f>
        <v>57938</v>
      </c>
      <c r="D35" s="68">
        <f t="shared" si="2"/>
        <v>-5891.2200000000012</v>
      </c>
      <c r="E35" s="69">
        <f t="shared" si="3"/>
        <v>0.89831854741275152</v>
      </c>
      <c r="F35" s="61" t="str">
        <f>VLOOKUP(A35,'BvA Feb 22'!A:F,6,FALSE)</f>
        <v>Salaries</v>
      </c>
    </row>
    <row r="36" spans="1:6" x14ac:dyDescent="0.25">
      <c r="A36" s="66" t="s">
        <v>15</v>
      </c>
      <c r="B36" s="68">
        <f>22148.95</f>
        <v>22148.95</v>
      </c>
      <c r="C36" s="68">
        <f>53949</f>
        <v>53949</v>
      </c>
      <c r="D36" s="68">
        <f t="shared" si="2"/>
        <v>-31800.05</v>
      </c>
      <c r="E36" s="69">
        <f t="shared" si="3"/>
        <v>0.41055348569945693</v>
      </c>
      <c r="F36" s="61" t="str">
        <f>VLOOKUP(A36,'BvA Feb 22'!A:F,6,FALSE)</f>
        <v>Personnel Taxes &amp; Benefits</v>
      </c>
    </row>
    <row r="37" spans="1:6" x14ac:dyDescent="0.25">
      <c r="A37" s="66" t="s">
        <v>16</v>
      </c>
      <c r="B37" s="68">
        <f>3074.06</f>
        <v>3074.06</v>
      </c>
      <c r="C37" s="68">
        <f>6539</f>
        <v>6539</v>
      </c>
      <c r="D37" s="68">
        <f t="shared" si="2"/>
        <v>-3464.94</v>
      </c>
      <c r="E37" s="69">
        <f t="shared" si="3"/>
        <v>0.470111637865117</v>
      </c>
      <c r="F37" s="61" t="str">
        <f>VLOOKUP(A37,'BvA Feb 22'!A:F,6,FALSE)</f>
        <v>Personnel Taxes &amp; Benefits</v>
      </c>
    </row>
    <row r="38" spans="1:6" x14ac:dyDescent="0.25">
      <c r="A38" s="66" t="s">
        <v>17</v>
      </c>
      <c r="B38" s="68">
        <f>4753.71</f>
        <v>4753.71</v>
      </c>
      <c r="C38" s="68">
        <f>9025</f>
        <v>9025</v>
      </c>
      <c r="D38" s="68">
        <f t="shared" si="2"/>
        <v>-4271.29</v>
      </c>
      <c r="E38" s="69">
        <f t="shared" si="3"/>
        <v>0.52672686980609418</v>
      </c>
      <c r="F38" s="61" t="str">
        <f>VLOOKUP(A38,'BvA Feb 22'!A:F,6,FALSE)</f>
        <v>Personnel Taxes &amp; Benefits</v>
      </c>
    </row>
    <row r="39" spans="1:6" x14ac:dyDescent="0.25">
      <c r="A39" s="66" t="s">
        <v>18</v>
      </c>
      <c r="B39" s="67"/>
      <c r="C39" s="68">
        <f>1635</f>
        <v>1635</v>
      </c>
      <c r="D39" s="68">
        <f t="shared" si="2"/>
        <v>-1635</v>
      </c>
      <c r="E39" s="69">
        <f t="shared" si="3"/>
        <v>0</v>
      </c>
      <c r="F39" s="61" t="str">
        <f>VLOOKUP(A39,'BvA Feb 22'!A:F,6,FALSE)</f>
        <v>Personnel Taxes &amp; Benefits</v>
      </c>
    </row>
    <row r="40" spans="1:6" x14ac:dyDescent="0.25">
      <c r="A40" s="66" t="s">
        <v>112</v>
      </c>
      <c r="B40" s="68">
        <f>49048.88</f>
        <v>49048.88</v>
      </c>
      <c r="C40" s="68">
        <f>88434</f>
        <v>88434</v>
      </c>
      <c r="D40" s="68">
        <f t="shared" si="2"/>
        <v>-39385.120000000003</v>
      </c>
      <c r="E40" s="69">
        <f t="shared" si="3"/>
        <v>0.55463826130221405</v>
      </c>
      <c r="F40" s="61" t="str">
        <f>VLOOKUP(A40,'BvA Feb 22'!A:F,6,FALSE)</f>
        <v>Personnel Taxes &amp; Benefits</v>
      </c>
    </row>
    <row r="41" spans="1:6" x14ac:dyDescent="0.25">
      <c r="A41" s="66" t="s">
        <v>148</v>
      </c>
      <c r="B41" s="68">
        <f>79376</f>
        <v>79376</v>
      </c>
      <c r="C41" s="68">
        <f>151008</f>
        <v>151008</v>
      </c>
      <c r="D41" s="68">
        <f t="shared" si="2"/>
        <v>-71632</v>
      </c>
      <c r="E41" s="69">
        <f t="shared" si="3"/>
        <v>0.52564102564102566</v>
      </c>
      <c r="F41" s="61" t="str">
        <f>VLOOKUP(A41,'BvA Feb 22'!A:F,6,FALSE)</f>
        <v>Personnel Taxes &amp; Benefits</v>
      </c>
    </row>
    <row r="42" spans="1:6" x14ac:dyDescent="0.25">
      <c r="A42" s="66" t="s">
        <v>147</v>
      </c>
      <c r="B42" s="67"/>
      <c r="C42" s="68">
        <f>18000</f>
        <v>18000</v>
      </c>
      <c r="D42" s="68">
        <f t="shared" si="2"/>
        <v>-18000</v>
      </c>
      <c r="E42" s="69">
        <f t="shared" si="3"/>
        <v>0</v>
      </c>
      <c r="F42" s="61" t="str">
        <f>VLOOKUP(A42,'BvA Feb 22'!A:F,6,FALSE)</f>
        <v>Contracted Services</v>
      </c>
    </row>
    <row r="43" spans="1:6" x14ac:dyDescent="0.25">
      <c r="A43" s="66" t="s">
        <v>111</v>
      </c>
      <c r="B43" s="68">
        <f>501.74</f>
        <v>501.74</v>
      </c>
      <c r="C43" s="68">
        <f>5000</f>
        <v>5000</v>
      </c>
      <c r="D43" s="68">
        <f t="shared" si="2"/>
        <v>-4498.26</v>
      </c>
      <c r="E43" s="69">
        <f t="shared" si="3"/>
        <v>0.10034800000000001</v>
      </c>
      <c r="F43" s="61" t="str">
        <f>VLOOKUP(A43,'BvA Feb 22'!A:F,6,FALSE)</f>
        <v>Contracted Services</v>
      </c>
    </row>
    <row r="44" spans="1:6" x14ac:dyDescent="0.25">
      <c r="A44" s="66" t="s">
        <v>146</v>
      </c>
      <c r="B44" s="68">
        <f>16421.22</f>
        <v>16421.22</v>
      </c>
      <c r="C44" s="68">
        <f>27458</f>
        <v>27458</v>
      </c>
      <c r="D44" s="68">
        <f t="shared" si="2"/>
        <v>-11036.779999999999</v>
      </c>
      <c r="E44" s="69">
        <f t="shared" si="3"/>
        <v>0.5980486561293612</v>
      </c>
      <c r="F44" s="61" t="str">
        <f>VLOOKUP(A44,'BvA Feb 22'!A:F,6,FALSE)</f>
        <v>Contracted Services</v>
      </c>
    </row>
    <row r="45" spans="1:6" x14ac:dyDescent="0.25">
      <c r="A45" s="66" t="s">
        <v>19</v>
      </c>
      <c r="B45" s="68">
        <f>57431.5</f>
        <v>57431.5</v>
      </c>
      <c r="C45" s="68">
        <f>96000</f>
        <v>96000</v>
      </c>
      <c r="D45" s="68">
        <f t="shared" si="2"/>
        <v>-38568.5</v>
      </c>
      <c r="E45" s="69">
        <f t="shared" si="3"/>
        <v>0.59824479166666666</v>
      </c>
      <c r="F45" s="61" t="str">
        <f>VLOOKUP(A45,'BvA Feb 22'!A:F,6,FALSE)</f>
        <v>Contracted Services</v>
      </c>
    </row>
    <row r="46" spans="1:6" x14ac:dyDescent="0.25">
      <c r="A46" s="66" t="s">
        <v>108</v>
      </c>
      <c r="B46" s="68">
        <f>28820.01</f>
        <v>28820.01</v>
      </c>
      <c r="C46" s="68">
        <f>38020</f>
        <v>38020</v>
      </c>
      <c r="D46" s="68">
        <f t="shared" si="2"/>
        <v>-9199.9900000000016</v>
      </c>
      <c r="E46" s="69">
        <f t="shared" si="3"/>
        <v>0.75802235665439244</v>
      </c>
      <c r="F46" s="61" t="str">
        <f>VLOOKUP(A46,'BvA Feb 22'!A:F,6,FALSE)</f>
        <v>Contracted Services</v>
      </c>
    </row>
    <row r="47" spans="1:6" x14ac:dyDescent="0.25">
      <c r="A47" s="66" t="s">
        <v>20</v>
      </c>
      <c r="B47" s="68">
        <f>20996.76</f>
        <v>20996.76</v>
      </c>
      <c r="C47" s="68">
        <f>22000</f>
        <v>22000</v>
      </c>
      <c r="D47" s="68">
        <f t="shared" si="2"/>
        <v>-1003.2400000000016</v>
      </c>
      <c r="E47" s="69">
        <f t="shared" si="3"/>
        <v>0.9543981818181817</v>
      </c>
      <c r="F47" s="61" t="str">
        <f>VLOOKUP(A47,'BvA Feb 22'!A:F,6,FALSE)</f>
        <v>Contracted Services</v>
      </c>
    </row>
    <row r="48" spans="1:6" x14ac:dyDescent="0.25">
      <c r="A48" s="66" t="s">
        <v>107</v>
      </c>
      <c r="B48" s="68">
        <f>12016.62</f>
        <v>12016.62</v>
      </c>
      <c r="C48" s="68">
        <f>25000</f>
        <v>25000</v>
      </c>
      <c r="D48" s="68">
        <f t="shared" si="2"/>
        <v>-12983.38</v>
      </c>
      <c r="E48" s="69">
        <f t="shared" si="3"/>
        <v>0.48066480000000006</v>
      </c>
      <c r="F48" s="61" t="str">
        <f>VLOOKUP(A48,'BvA Feb 22'!A:F,6,FALSE)</f>
        <v>Contracted Services</v>
      </c>
    </row>
    <row r="49" spans="1:6" x14ac:dyDescent="0.25">
      <c r="A49" s="66" t="s">
        <v>145</v>
      </c>
      <c r="B49" s="68">
        <f>1205.85</f>
        <v>1205.8499999999999</v>
      </c>
      <c r="C49" s="67"/>
      <c r="D49" s="68">
        <f t="shared" si="2"/>
        <v>1205.8499999999999</v>
      </c>
      <c r="E49" s="69" t="str">
        <f t="shared" si="3"/>
        <v/>
      </c>
      <c r="F49" s="61" t="str">
        <f>VLOOKUP(A49,'BvA Feb 22'!A:F,6,FALSE)</f>
        <v>Contracted Services</v>
      </c>
    </row>
    <row r="50" spans="1:6" x14ac:dyDescent="0.25">
      <c r="A50" s="66" t="s">
        <v>144</v>
      </c>
      <c r="B50" s="68">
        <f>24895</f>
        <v>24895</v>
      </c>
      <c r="C50" s="68">
        <f>65000</f>
        <v>65000</v>
      </c>
      <c r="D50" s="68">
        <f t="shared" si="2"/>
        <v>-40105</v>
      </c>
      <c r="E50" s="69">
        <f t="shared" si="3"/>
        <v>0.38300000000000001</v>
      </c>
      <c r="F50" s="61" t="str">
        <f>VLOOKUP(A50,'BvA Feb 22'!A:F,6,FALSE)</f>
        <v>Contracted Services</v>
      </c>
    </row>
    <row r="51" spans="1:6" x14ac:dyDescent="0.25">
      <c r="A51" s="66" t="s">
        <v>143</v>
      </c>
      <c r="B51" s="68">
        <f>20444.16</f>
        <v>20444.16</v>
      </c>
      <c r="C51" s="68">
        <f>27316</f>
        <v>27316</v>
      </c>
      <c r="D51" s="68">
        <f t="shared" si="2"/>
        <v>-6871.84</v>
      </c>
      <c r="E51" s="69">
        <f t="shared" si="3"/>
        <v>0.74843168838775809</v>
      </c>
      <c r="F51" s="61" t="str">
        <f>VLOOKUP(A51,'BvA Feb 22'!A:F,6,FALSE)</f>
        <v>Contracted Services</v>
      </c>
    </row>
    <row r="52" spans="1:6" x14ac:dyDescent="0.25">
      <c r="A52" s="66" t="s">
        <v>142</v>
      </c>
      <c r="B52" s="68">
        <f>834.74</f>
        <v>834.74</v>
      </c>
      <c r="C52" s="68">
        <f>2500</f>
        <v>2500</v>
      </c>
      <c r="D52" s="68">
        <f t="shared" si="2"/>
        <v>-1665.26</v>
      </c>
      <c r="E52" s="69">
        <f t="shared" si="3"/>
        <v>0.33389600000000003</v>
      </c>
      <c r="F52" s="61" t="str">
        <f>VLOOKUP(A52,'BvA Feb 22'!A:F,6,FALSE)</f>
        <v>School Operations</v>
      </c>
    </row>
    <row r="53" spans="1:6" x14ac:dyDescent="0.25">
      <c r="A53" s="66" t="s">
        <v>21</v>
      </c>
      <c r="B53" s="68">
        <f>2551.76</f>
        <v>2551.7600000000002</v>
      </c>
      <c r="C53" s="68">
        <f>2000</f>
        <v>2000</v>
      </c>
      <c r="D53" s="68">
        <f t="shared" si="2"/>
        <v>551.76000000000022</v>
      </c>
      <c r="E53" s="69">
        <f t="shared" si="3"/>
        <v>1.2758800000000001</v>
      </c>
      <c r="F53" s="61" t="str">
        <f>VLOOKUP(A53,'BvA Feb 22'!A:F,6,FALSE)</f>
        <v>School Operations</v>
      </c>
    </row>
    <row r="54" spans="1:6" x14ac:dyDescent="0.25">
      <c r="A54" s="66" t="s">
        <v>23</v>
      </c>
      <c r="B54" s="68">
        <f>5983.31</f>
        <v>5983.31</v>
      </c>
      <c r="C54" s="68">
        <f>11250</f>
        <v>11250</v>
      </c>
      <c r="D54" s="68">
        <f t="shared" si="2"/>
        <v>-5266.69</v>
      </c>
      <c r="E54" s="69">
        <f t="shared" si="3"/>
        <v>0.53184977777777787</v>
      </c>
      <c r="F54" s="61" t="str">
        <f>VLOOKUP(A54,'BvA Feb 22'!A:F,6,FALSE)</f>
        <v>School Operations</v>
      </c>
    </row>
    <row r="55" spans="1:6" x14ac:dyDescent="0.25">
      <c r="A55" s="66" t="s">
        <v>24</v>
      </c>
      <c r="B55" s="68">
        <f>29375.47</f>
        <v>29375.47</v>
      </c>
      <c r="C55" s="68">
        <f>60500</f>
        <v>60500</v>
      </c>
      <c r="D55" s="68">
        <f t="shared" si="2"/>
        <v>-31124.53</v>
      </c>
      <c r="E55" s="69">
        <f t="shared" si="3"/>
        <v>0.48554495867768599</v>
      </c>
      <c r="F55" s="61" t="str">
        <f>VLOOKUP(A55,'BvA Feb 22'!A:F,6,FALSE)</f>
        <v>School Operations</v>
      </c>
    </row>
    <row r="56" spans="1:6" x14ac:dyDescent="0.25">
      <c r="A56" s="66" t="s">
        <v>106</v>
      </c>
      <c r="B56" s="68">
        <f>1119.3</f>
        <v>1119.3</v>
      </c>
      <c r="C56" s="68">
        <f>4725</f>
        <v>4725</v>
      </c>
      <c r="D56" s="68">
        <f t="shared" si="2"/>
        <v>-3605.7</v>
      </c>
      <c r="E56" s="69">
        <f t="shared" si="3"/>
        <v>0.23688888888888887</v>
      </c>
      <c r="F56" s="61" t="str">
        <f>VLOOKUP(A56,'BvA Feb 22'!A:F,6,FALSE)</f>
        <v>School Operations</v>
      </c>
    </row>
    <row r="57" spans="1:6" x14ac:dyDescent="0.25">
      <c r="A57" s="66" t="s">
        <v>141</v>
      </c>
      <c r="B57" s="67"/>
      <c r="C57" s="68">
        <f>5250</f>
        <v>5250</v>
      </c>
      <c r="D57" s="68">
        <f t="shared" si="2"/>
        <v>-5250</v>
      </c>
      <c r="E57" s="69">
        <f t="shared" si="3"/>
        <v>0</v>
      </c>
      <c r="F57" s="61" t="str">
        <f>VLOOKUP(A57,'BvA Feb 22'!A:F,6,FALSE)</f>
        <v>School Operations</v>
      </c>
    </row>
    <row r="58" spans="1:6" x14ac:dyDescent="0.25">
      <c r="A58" s="66" t="s">
        <v>140</v>
      </c>
      <c r="B58" s="68">
        <f>635.29</f>
        <v>635.29</v>
      </c>
      <c r="C58" s="67"/>
      <c r="D58" s="68">
        <f t="shared" si="2"/>
        <v>635.29</v>
      </c>
      <c r="E58" s="69" t="str">
        <f t="shared" si="3"/>
        <v/>
      </c>
      <c r="F58" s="61" t="str">
        <f>VLOOKUP(A58,'BvA Feb 22'!A:F,6,FALSE)</f>
        <v>School Operations</v>
      </c>
    </row>
    <row r="59" spans="1:6" x14ac:dyDescent="0.25">
      <c r="A59" s="66" t="s">
        <v>25</v>
      </c>
      <c r="B59" s="68">
        <f>10072.66</f>
        <v>10072.66</v>
      </c>
      <c r="C59" s="68">
        <f>46710</f>
        <v>46710</v>
      </c>
      <c r="D59" s="68">
        <f t="shared" si="2"/>
        <v>-36637.339999999997</v>
      </c>
      <c r="E59" s="69">
        <f t="shared" si="3"/>
        <v>0.21564247484478699</v>
      </c>
      <c r="F59" s="61" t="str">
        <f>VLOOKUP(A59,'BvA Feb 22'!A:F,6,FALSE)</f>
        <v>School Operations</v>
      </c>
    </row>
    <row r="60" spans="1:6" x14ac:dyDescent="0.25">
      <c r="A60" s="66" t="s">
        <v>26</v>
      </c>
      <c r="B60" s="68">
        <f>4628.32</f>
        <v>4628.32</v>
      </c>
      <c r="C60" s="68">
        <f>7680</f>
        <v>7680</v>
      </c>
      <c r="D60" s="68">
        <f t="shared" si="2"/>
        <v>-3051.6800000000003</v>
      </c>
      <c r="E60" s="69">
        <f t="shared" si="3"/>
        <v>0.60264583333333333</v>
      </c>
      <c r="F60" s="61" t="str">
        <f>VLOOKUP(A60,'BvA Feb 22'!A:F,6,FALSE)</f>
        <v>School Operations</v>
      </c>
    </row>
    <row r="61" spans="1:6" x14ac:dyDescent="0.25">
      <c r="A61" s="66" t="s">
        <v>27</v>
      </c>
      <c r="B61" s="68">
        <f>10195.08</f>
        <v>10195.08</v>
      </c>
      <c r="C61" s="68">
        <f>17206</f>
        <v>17206</v>
      </c>
      <c r="D61" s="68">
        <f t="shared" si="2"/>
        <v>-7010.92</v>
      </c>
      <c r="E61" s="69">
        <f t="shared" si="3"/>
        <v>0.59253051261187961</v>
      </c>
      <c r="F61" s="61" t="str">
        <f>VLOOKUP(A61,'BvA Feb 22'!A:F,6,FALSE)</f>
        <v>School Operations</v>
      </c>
    </row>
    <row r="62" spans="1:6" x14ac:dyDescent="0.25">
      <c r="A62" s="66" t="s">
        <v>28</v>
      </c>
      <c r="B62" s="68">
        <f>16221.62</f>
        <v>16221.62</v>
      </c>
      <c r="C62" s="68">
        <f>24450</f>
        <v>24450</v>
      </c>
      <c r="D62" s="68">
        <f t="shared" si="2"/>
        <v>-8228.3799999999992</v>
      </c>
      <c r="E62" s="69">
        <f t="shared" si="3"/>
        <v>0.6634609406952966</v>
      </c>
      <c r="F62" s="61" t="str">
        <f>VLOOKUP(A62,'BvA Feb 22'!A:F,6,FALSE)</f>
        <v>School Operations</v>
      </c>
    </row>
    <row r="63" spans="1:6" x14ac:dyDescent="0.25">
      <c r="A63" s="66" t="s">
        <v>105</v>
      </c>
      <c r="B63" s="67"/>
      <c r="C63" s="68">
        <f>3225</f>
        <v>3225</v>
      </c>
      <c r="D63" s="68">
        <f t="shared" si="2"/>
        <v>-3225</v>
      </c>
      <c r="E63" s="69">
        <f t="shared" si="3"/>
        <v>0</v>
      </c>
      <c r="F63" s="61" t="str">
        <f>VLOOKUP(A63,'BvA Feb 22'!A:F,6,FALSE)</f>
        <v>School Operations</v>
      </c>
    </row>
    <row r="64" spans="1:6" x14ac:dyDescent="0.25">
      <c r="A64" s="66" t="s">
        <v>139</v>
      </c>
      <c r="B64" s="67"/>
      <c r="C64" s="68">
        <f>6650</f>
        <v>6650</v>
      </c>
      <c r="D64" s="68">
        <f t="shared" si="2"/>
        <v>-6650</v>
      </c>
      <c r="E64" s="69">
        <f t="shared" si="3"/>
        <v>0</v>
      </c>
      <c r="F64" s="61" t="str">
        <f>VLOOKUP(A64,'BvA Feb 22'!A:F,6,FALSE)</f>
        <v>School Operations</v>
      </c>
    </row>
    <row r="65" spans="1:6" x14ac:dyDescent="0.25">
      <c r="A65" s="66" t="s">
        <v>138</v>
      </c>
      <c r="B65" s="67"/>
      <c r="C65" s="68">
        <f>1750</f>
        <v>1750</v>
      </c>
      <c r="D65" s="68">
        <f t="shared" si="2"/>
        <v>-1750</v>
      </c>
      <c r="E65" s="69">
        <f t="shared" si="3"/>
        <v>0</v>
      </c>
      <c r="F65" s="61" t="str">
        <f>VLOOKUP(A65,'BvA Feb 22'!A:F,6,FALSE)</f>
        <v>School Operations</v>
      </c>
    </row>
    <row r="66" spans="1:6" x14ac:dyDescent="0.25">
      <c r="A66" s="66" t="s">
        <v>168</v>
      </c>
      <c r="B66" s="68">
        <f>149.38</f>
        <v>149.38</v>
      </c>
      <c r="C66" s="67"/>
      <c r="D66" s="68">
        <f t="shared" si="2"/>
        <v>149.38</v>
      </c>
      <c r="E66" s="69" t="str">
        <f t="shared" si="3"/>
        <v/>
      </c>
      <c r="F66" s="61" t="str">
        <f>VLOOKUP(A66,'BvA Feb 22'!A:F,6,FALSE)</f>
        <v>School Operations</v>
      </c>
    </row>
    <row r="67" spans="1:6" x14ac:dyDescent="0.25">
      <c r="A67" s="66" t="s">
        <v>29</v>
      </c>
      <c r="B67" s="68">
        <f>6783.29</f>
        <v>6783.29</v>
      </c>
      <c r="C67" s="68">
        <f>8000</f>
        <v>8000</v>
      </c>
      <c r="D67" s="68">
        <f t="shared" si="2"/>
        <v>-1216.71</v>
      </c>
      <c r="E67" s="69">
        <f t="shared" si="3"/>
        <v>0.84791125000000001</v>
      </c>
      <c r="F67" s="61" t="str">
        <f>VLOOKUP(A67,'BvA Feb 22'!A:F,6,FALSE)</f>
        <v>School Operations</v>
      </c>
    </row>
    <row r="68" spans="1:6" x14ac:dyDescent="0.25">
      <c r="A68" s="66" t="s">
        <v>30</v>
      </c>
      <c r="B68" s="68">
        <f>5964.71</f>
        <v>5964.71</v>
      </c>
      <c r="C68" s="68">
        <f>2420</f>
        <v>2420</v>
      </c>
      <c r="D68" s="68">
        <f t="shared" si="2"/>
        <v>3544.71</v>
      </c>
      <c r="E68" s="69">
        <f t="shared" si="3"/>
        <v>2.4647561983471076</v>
      </c>
      <c r="F68" s="61" t="str">
        <f>VLOOKUP(A68,'BvA Feb 22'!A:F,6,FALSE)</f>
        <v>School Operations</v>
      </c>
    </row>
    <row r="69" spans="1:6" x14ac:dyDescent="0.25">
      <c r="A69" s="66" t="s">
        <v>31</v>
      </c>
      <c r="B69" s="68">
        <f>60.75</f>
        <v>60.75</v>
      </c>
      <c r="C69" s="68">
        <f>2000</f>
        <v>2000</v>
      </c>
      <c r="D69" s="68">
        <f t="shared" si="2"/>
        <v>-1939.25</v>
      </c>
      <c r="E69" s="69">
        <f t="shared" si="3"/>
        <v>3.0374999999999999E-2</v>
      </c>
      <c r="F69" s="61" t="str">
        <f>VLOOKUP(A69,'BvA Feb 22'!A:F,6,FALSE)</f>
        <v>School Operations</v>
      </c>
    </row>
    <row r="70" spans="1:6" x14ac:dyDescent="0.25">
      <c r="A70" s="66" t="s">
        <v>32</v>
      </c>
      <c r="B70" s="68">
        <f>6387.11</f>
        <v>6387.11</v>
      </c>
      <c r="C70" s="68">
        <f>3000</f>
        <v>3000</v>
      </c>
      <c r="D70" s="68">
        <f t="shared" si="2"/>
        <v>3387.1099999999997</v>
      </c>
      <c r="E70" s="69">
        <f t="shared" si="3"/>
        <v>2.1290366666666665</v>
      </c>
      <c r="F70" s="61" t="str">
        <f>VLOOKUP(A70,'BvA Feb 22'!A:F,6,FALSE)</f>
        <v>School Operations</v>
      </c>
    </row>
    <row r="71" spans="1:6" x14ac:dyDescent="0.25">
      <c r="A71" s="66" t="s">
        <v>56</v>
      </c>
      <c r="B71" s="68">
        <f>35276.05</f>
        <v>35276.050000000003</v>
      </c>
      <c r="C71" s="68">
        <f>60511</f>
        <v>60511</v>
      </c>
      <c r="D71" s="68">
        <f t="shared" si="2"/>
        <v>-25234.949999999997</v>
      </c>
      <c r="E71" s="69">
        <f t="shared" si="3"/>
        <v>0.58296921220935038</v>
      </c>
      <c r="F71" s="61" t="str">
        <f>VLOOKUP(A71,'BvA Feb 22'!A:F,6,FALSE)</f>
        <v>School Operations</v>
      </c>
    </row>
    <row r="72" spans="1:6" x14ac:dyDescent="0.25">
      <c r="A72" s="66" t="s">
        <v>33</v>
      </c>
      <c r="B72" s="68">
        <f>95.58</f>
        <v>95.58</v>
      </c>
      <c r="C72" s="68">
        <f>300</f>
        <v>300</v>
      </c>
      <c r="D72" s="68">
        <f t="shared" si="2"/>
        <v>-204.42000000000002</v>
      </c>
      <c r="E72" s="69">
        <f t="shared" si="3"/>
        <v>0.31859999999999999</v>
      </c>
      <c r="F72" s="61" t="str">
        <f>VLOOKUP(A72,'BvA Feb 22'!A:F,6,FALSE)</f>
        <v>School Operations</v>
      </c>
    </row>
    <row r="73" spans="1:6" x14ac:dyDescent="0.25">
      <c r="A73" s="66" t="s">
        <v>137</v>
      </c>
      <c r="B73" s="68">
        <f>489.03</f>
        <v>489.03</v>
      </c>
      <c r="C73" s="68">
        <f>5000</f>
        <v>5000</v>
      </c>
      <c r="D73" s="68">
        <f t="shared" si="2"/>
        <v>-4510.97</v>
      </c>
      <c r="E73" s="69">
        <f t="shared" si="3"/>
        <v>9.780599999999999E-2</v>
      </c>
      <c r="F73" s="61" t="str">
        <f>VLOOKUP(A73,'BvA Feb 22'!A:F,6,FALSE)</f>
        <v>School Operations</v>
      </c>
    </row>
    <row r="74" spans="1:6" x14ac:dyDescent="0.25">
      <c r="A74" s="66" t="s">
        <v>136</v>
      </c>
      <c r="B74" s="67"/>
      <c r="C74" s="68">
        <f>15000</f>
        <v>15000</v>
      </c>
      <c r="D74" s="68">
        <f t="shared" si="2"/>
        <v>-15000</v>
      </c>
      <c r="E74" s="69">
        <f t="shared" si="3"/>
        <v>0</v>
      </c>
      <c r="F74" s="61" t="str">
        <f>VLOOKUP(A74,'BvA Feb 22'!A:F,6,FALSE)</f>
        <v>School Operations</v>
      </c>
    </row>
    <row r="75" spans="1:6" x14ac:dyDescent="0.25">
      <c r="A75" s="66" t="s">
        <v>34</v>
      </c>
      <c r="B75" s="68">
        <f>6086.86</f>
        <v>6086.86</v>
      </c>
      <c r="C75" s="68">
        <f>12500</f>
        <v>12500</v>
      </c>
      <c r="D75" s="68">
        <f t="shared" si="2"/>
        <v>-6413.14</v>
      </c>
      <c r="E75" s="69">
        <f t="shared" si="3"/>
        <v>0.48694879999999996</v>
      </c>
      <c r="F75" s="61" t="str">
        <f>VLOOKUP(A75,'BvA Feb 22'!A:F,6,FALSE)</f>
        <v>Facility Operations &amp; Maintenance</v>
      </c>
    </row>
    <row r="76" spans="1:6" x14ac:dyDescent="0.25">
      <c r="A76" s="66" t="s">
        <v>55</v>
      </c>
      <c r="B76" s="68">
        <f>1374.58</f>
        <v>1374.58</v>
      </c>
      <c r="C76" s="68">
        <f>4053</f>
        <v>4053</v>
      </c>
      <c r="D76" s="68">
        <f t="shared" si="2"/>
        <v>-2678.42</v>
      </c>
      <c r="E76" s="69">
        <f t="shared" si="3"/>
        <v>0.33915124599062418</v>
      </c>
      <c r="F76" s="61" t="str">
        <f>VLOOKUP(A76,'BvA Feb 22'!A:F,6,FALSE)</f>
        <v>Facility Operations &amp; Maintenance</v>
      </c>
    </row>
    <row r="77" spans="1:6" x14ac:dyDescent="0.25">
      <c r="A77" s="66" t="s">
        <v>35</v>
      </c>
      <c r="B77" s="68">
        <f>98564.27</f>
        <v>98564.27</v>
      </c>
      <c r="C77" s="68">
        <f>159238</f>
        <v>159238</v>
      </c>
      <c r="D77" s="68">
        <f t="shared" si="2"/>
        <v>-60673.729999999996</v>
      </c>
      <c r="E77" s="69">
        <f t="shared" si="3"/>
        <v>0.61897455381253219</v>
      </c>
      <c r="F77" s="61" t="str">
        <f>VLOOKUP(A77,'BvA Feb 22'!A:F,6,FALSE)</f>
        <v>Facility Operations &amp; Maintenance</v>
      </c>
    </row>
    <row r="78" spans="1:6" x14ac:dyDescent="0.25">
      <c r="A78" s="66" t="s">
        <v>134</v>
      </c>
      <c r="B78" s="68">
        <f>107.8</f>
        <v>107.8</v>
      </c>
      <c r="C78" s="68">
        <f>3000</f>
        <v>3000</v>
      </c>
      <c r="D78" s="68">
        <f t="shared" si="2"/>
        <v>-2892.2</v>
      </c>
      <c r="E78" s="69">
        <f t="shared" si="3"/>
        <v>3.5933333333333331E-2</v>
      </c>
      <c r="F78" s="61" t="str">
        <f>VLOOKUP(A78,'BvA Feb 22'!A:F,6,FALSE)</f>
        <v>Facility Operations &amp; Maintenance</v>
      </c>
    </row>
    <row r="79" spans="1:6" x14ac:dyDescent="0.25">
      <c r="A79" s="66" t="s">
        <v>132</v>
      </c>
      <c r="B79" s="68">
        <f>13475.85</f>
        <v>13475.85</v>
      </c>
      <c r="C79" s="68">
        <f>577</f>
        <v>577</v>
      </c>
      <c r="D79" s="68">
        <f t="shared" si="2"/>
        <v>12898.85</v>
      </c>
      <c r="E79" s="69">
        <f t="shared" si="3"/>
        <v>23.355025996533797</v>
      </c>
      <c r="F79" s="61" t="str">
        <f>VLOOKUP(A79,'BvA Feb 22'!A:F,6,FALSE)</f>
        <v>Facility Operations &amp; Maintenance</v>
      </c>
    </row>
    <row r="80" spans="1:6" x14ac:dyDescent="0.25">
      <c r="A80" s="66" t="s">
        <v>36</v>
      </c>
      <c r="B80" s="70">
        <f>((((((((((((((((((((((((((((((((((((((((((((((((((((B27)+(B28))+(B29))+(B30))+(B31))+(B32))+(B33))+(B34))+(B35))+(B36))+(B37))+(B38))+(B39))+(B40))+(B41))+(B42))+(B43))+(B44))+(B45))+(B46))+(B47))+(B48))+(B49))+(B50))+(B51))+(B52))+(B53))+(B54))+(B55))+(B56))+(B57))+(B58))+(B59))+(B60))+(B61))+(B62))+(B63))+(B64))+(B65))+(B66))+(B67))+(B68))+(B69))+(B70))+(B71))+(B72))+(B73))+(B74))+(B75))+(B76))+(B77))+(B78))+(B79)</f>
        <v>975348.6</v>
      </c>
      <c r="C80" s="70">
        <f>((((((((((((((((((((((((((((((((((((((((((((((((((((C27)+(C28))+(C29))+(C30))+(C31))+(C32))+(C33))+(C34))+(C35))+(C36))+(C37))+(C38))+(C39))+(C40))+(C41))+(C42))+(C43))+(C44))+(C45))+(C46))+(C47))+(C48))+(C49))+(C50))+(C51))+(C52))+(C53))+(C54))+(C55))+(C56))+(C57))+(C58))+(C59))+(C60))+(C61))+(C62))+(C63))+(C64))+(C65))+(C66))+(C67))+(C68))+(C69))+(C70))+(C71))+(C72))+(C73))+(C74))+(C75))+(C76))+(C77))+(C78))+(C79)</f>
        <v>1757811</v>
      </c>
      <c r="D80" s="70">
        <f t="shared" si="2"/>
        <v>-782462.4</v>
      </c>
      <c r="E80" s="71">
        <f t="shared" si="3"/>
        <v>0.55486545481852145</v>
      </c>
    </row>
    <row r="81" spans="1:5" x14ac:dyDescent="0.25">
      <c r="A81" s="66" t="s">
        <v>37</v>
      </c>
      <c r="B81" s="70">
        <f>(B25)-(B80)</f>
        <v>-41981.869999999995</v>
      </c>
      <c r="C81" s="70">
        <f>(C25)-(C80)</f>
        <v>-21746</v>
      </c>
      <c r="D81" s="70">
        <f t="shared" si="2"/>
        <v>-20235.869999999995</v>
      </c>
      <c r="E81" s="71">
        <f t="shared" si="3"/>
        <v>1.9305559643152761</v>
      </c>
    </row>
    <row r="82" spans="1:5" x14ac:dyDescent="0.25">
      <c r="A82" s="66" t="s">
        <v>131</v>
      </c>
      <c r="B82" s="67"/>
      <c r="C82" s="67"/>
      <c r="D82" s="67"/>
      <c r="E82" s="67"/>
    </row>
    <row r="83" spans="1:5" x14ac:dyDescent="0.25">
      <c r="A83" s="66" t="s">
        <v>130</v>
      </c>
      <c r="B83" s="67"/>
      <c r="C83" s="68">
        <f>94883</f>
        <v>94883</v>
      </c>
      <c r="D83" s="68">
        <f>(B83)-(C83)</f>
        <v>-94883</v>
      </c>
      <c r="E83" s="69">
        <f>IF(C83=0,"",(B83)/(C83))</f>
        <v>0</v>
      </c>
    </row>
    <row r="84" spans="1:5" x14ac:dyDescent="0.25">
      <c r="A84" s="66" t="s">
        <v>129</v>
      </c>
      <c r="B84" s="70">
        <f>B83</f>
        <v>0</v>
      </c>
      <c r="C84" s="70">
        <f>C83</f>
        <v>94883</v>
      </c>
      <c r="D84" s="70">
        <f>(B84)-(C84)</f>
        <v>-94883</v>
      </c>
      <c r="E84" s="71">
        <f>IF(C84=0,"",(B84)/(C84))</f>
        <v>0</v>
      </c>
    </row>
    <row r="85" spans="1:5" x14ac:dyDescent="0.25">
      <c r="A85" s="66" t="s">
        <v>128</v>
      </c>
      <c r="B85" s="70">
        <f>(0)-(B84)</f>
        <v>0</v>
      </c>
      <c r="C85" s="70">
        <f>(0)-(C84)</f>
        <v>-94883</v>
      </c>
      <c r="D85" s="70">
        <f>(B85)-(C85)</f>
        <v>94883</v>
      </c>
      <c r="E85" s="71">
        <f>IF(C85=0,"",(B85)/(C85))</f>
        <v>0</v>
      </c>
    </row>
    <row r="86" spans="1:5" x14ac:dyDescent="0.25">
      <c r="A86" s="66" t="s">
        <v>38</v>
      </c>
      <c r="B86" s="70">
        <f>(B81)+(B85)</f>
        <v>-41981.869999999995</v>
      </c>
      <c r="C86" s="70">
        <f>(C81)+(C85)</f>
        <v>-116629</v>
      </c>
      <c r="D86" s="70">
        <f>(B86)-(C86)</f>
        <v>74647.13</v>
      </c>
      <c r="E86" s="71">
        <f>IF(C86=0,"",(B86)/(C86))</f>
        <v>0.35996081592056861</v>
      </c>
    </row>
    <row r="87" spans="1:5" x14ac:dyDescent="0.25">
      <c r="A87" s="66"/>
      <c r="B87" s="67"/>
      <c r="C87" s="67"/>
      <c r="D87" s="67"/>
      <c r="E87" s="67"/>
    </row>
    <row r="90" spans="1:5" x14ac:dyDescent="0.25">
      <c r="A90" s="86" t="s">
        <v>254</v>
      </c>
      <c r="B90" s="75"/>
      <c r="C90" s="75"/>
      <c r="D90" s="75"/>
      <c r="E90" s="75"/>
    </row>
  </sheetData>
  <mergeCells count="5">
    <mergeCell ref="A1:E1"/>
    <mergeCell ref="A2:E2"/>
    <mergeCell ref="A3:E3"/>
    <mergeCell ref="B5:E5"/>
    <mergeCell ref="A90:E9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1D8A-23B8-4840-A152-C79D41A9C924}">
  <dimension ref="A1:D54"/>
  <sheetViews>
    <sheetView workbookViewId="0">
      <selection activeCell="D21" sqref="D21"/>
    </sheetView>
  </sheetViews>
  <sheetFormatPr defaultRowHeight="15" x14ac:dyDescent="0.25"/>
  <cols>
    <col min="1" max="1" width="39.125" style="61" customWidth="1"/>
    <col min="2" max="2" width="21.75" style="61" customWidth="1"/>
    <col min="3" max="16384" width="9" style="61"/>
  </cols>
  <sheetData>
    <row r="1" spans="1:2" ht="18" x14ac:dyDescent="0.25">
      <c r="A1" s="84" t="s">
        <v>97</v>
      </c>
      <c r="B1" s="75"/>
    </row>
    <row r="2" spans="1:2" ht="18" x14ac:dyDescent="0.25">
      <c r="A2" s="84" t="s">
        <v>96</v>
      </c>
      <c r="B2" s="75"/>
    </row>
    <row r="3" spans="1:2" x14ac:dyDescent="0.25">
      <c r="A3" s="85" t="s">
        <v>255</v>
      </c>
      <c r="B3" s="75"/>
    </row>
    <row r="5" spans="1:2" x14ac:dyDescent="0.25">
      <c r="A5" s="60"/>
      <c r="B5" s="65" t="s">
        <v>0</v>
      </c>
    </row>
    <row r="6" spans="1:2" x14ac:dyDescent="0.25">
      <c r="A6" s="66" t="s">
        <v>94</v>
      </c>
      <c r="B6" s="67"/>
    </row>
    <row r="7" spans="1:2" x14ac:dyDescent="0.25">
      <c r="A7" s="66" t="s">
        <v>93</v>
      </c>
      <c r="B7" s="67"/>
    </row>
    <row r="8" spans="1:2" x14ac:dyDescent="0.25">
      <c r="A8" s="66" t="s">
        <v>92</v>
      </c>
      <c r="B8" s="67"/>
    </row>
    <row r="9" spans="1:2" x14ac:dyDescent="0.25">
      <c r="A9" s="66" t="s">
        <v>103</v>
      </c>
      <c r="B9" s="68">
        <f>152461.9</f>
        <v>152461.9</v>
      </c>
    </row>
    <row r="10" spans="1:2" x14ac:dyDescent="0.25">
      <c r="A10" s="66" t="s">
        <v>102</v>
      </c>
      <c r="B10" s="68">
        <f>1226.38</f>
        <v>1226.3800000000001</v>
      </c>
    </row>
    <row r="11" spans="1:2" x14ac:dyDescent="0.25">
      <c r="A11" s="66" t="s">
        <v>101</v>
      </c>
      <c r="B11" s="68">
        <f>1095.43</f>
        <v>1095.43</v>
      </c>
    </row>
    <row r="12" spans="1:2" x14ac:dyDescent="0.25">
      <c r="A12" s="66" t="s">
        <v>91</v>
      </c>
      <c r="B12" s="70">
        <f>((B9)+(B10))+(B11)</f>
        <v>154783.71</v>
      </c>
    </row>
    <row r="13" spans="1:2" x14ac:dyDescent="0.25">
      <c r="A13" s="66" t="s">
        <v>90</v>
      </c>
      <c r="B13" s="67"/>
    </row>
    <row r="14" spans="1:2" x14ac:dyDescent="0.25">
      <c r="A14" s="66" t="s">
        <v>89</v>
      </c>
      <c r="B14" s="68">
        <f>166026.22</f>
        <v>166026.22</v>
      </c>
    </row>
    <row r="15" spans="1:2" x14ac:dyDescent="0.25">
      <c r="A15" s="66" t="s">
        <v>88</v>
      </c>
      <c r="B15" s="70">
        <f>B14</f>
        <v>166026.22</v>
      </c>
    </row>
    <row r="16" spans="1:2" x14ac:dyDescent="0.25">
      <c r="A16" s="66" t="s">
        <v>87</v>
      </c>
      <c r="B16" s="67"/>
    </row>
    <row r="17" spans="1:4" x14ac:dyDescent="0.25">
      <c r="A17" s="66" t="s">
        <v>86</v>
      </c>
      <c r="B17" s="68">
        <f>6128.34</f>
        <v>6128.34</v>
      </c>
    </row>
    <row r="18" spans="1:4" x14ac:dyDescent="0.25">
      <c r="A18" s="66" t="s">
        <v>85</v>
      </c>
      <c r="B18" s="70">
        <f>B17</f>
        <v>6128.34</v>
      </c>
    </row>
    <row r="19" spans="1:4" x14ac:dyDescent="0.25">
      <c r="A19" s="66" t="s">
        <v>84</v>
      </c>
      <c r="B19" s="70">
        <f>((B12)+(B15))+(B18)</f>
        <v>326938.27</v>
      </c>
    </row>
    <row r="20" spans="1:4" x14ac:dyDescent="0.25">
      <c r="A20" s="66" t="s">
        <v>83</v>
      </c>
      <c r="B20" s="67"/>
      <c r="C20" s="61" t="s">
        <v>246</v>
      </c>
      <c r="D20" s="61" t="s">
        <v>247</v>
      </c>
    </row>
    <row r="21" spans="1:4" x14ac:dyDescent="0.25">
      <c r="A21" s="66" t="s">
        <v>82</v>
      </c>
      <c r="B21" s="68">
        <f>46770.36</f>
        <v>46770.36</v>
      </c>
      <c r="C21" s="61">
        <f>'BS Aug 21'!B21</f>
        <v>35656.51</v>
      </c>
      <c r="D21" s="15">
        <f>B21-C21</f>
        <v>11113.849999999999</v>
      </c>
    </row>
    <row r="22" spans="1:4" x14ac:dyDescent="0.25">
      <c r="A22" s="66" t="s">
        <v>81</v>
      </c>
      <c r="B22" s="68">
        <f>391802.62</f>
        <v>391802.62</v>
      </c>
      <c r="C22" s="61">
        <f>'BS Aug 21'!B22</f>
        <v>106222.74</v>
      </c>
      <c r="D22" s="15">
        <f>B22-C22</f>
        <v>285579.88</v>
      </c>
    </row>
    <row r="23" spans="1:4" x14ac:dyDescent="0.25">
      <c r="A23" s="66" t="s">
        <v>80</v>
      </c>
      <c r="B23" s="68">
        <f>68838.42</f>
        <v>68838.42</v>
      </c>
      <c r="C23" s="61">
        <f>'BS Aug 21'!B23</f>
        <v>68838.42</v>
      </c>
      <c r="D23" s="15">
        <f>B23-C23</f>
        <v>0</v>
      </c>
    </row>
    <row r="24" spans="1:4" x14ac:dyDescent="0.25">
      <c r="A24" s="66" t="s">
        <v>125</v>
      </c>
      <c r="B24" s="68">
        <f>95705.81</f>
        <v>95705.81</v>
      </c>
    </row>
    <row r="25" spans="1:4" x14ac:dyDescent="0.25">
      <c r="A25" s="66" t="s">
        <v>79</v>
      </c>
      <c r="B25" s="70">
        <f>(((B21)+(B22))+(B23))+(B24)</f>
        <v>603117.21</v>
      </c>
    </row>
    <row r="26" spans="1:4" x14ac:dyDescent="0.25">
      <c r="A26" s="66" t="s">
        <v>78</v>
      </c>
      <c r="B26" s="70">
        <f>(B19)+(B25)</f>
        <v>930055.48</v>
      </c>
    </row>
    <row r="27" spans="1:4" x14ac:dyDescent="0.25">
      <c r="A27" s="66" t="s">
        <v>77</v>
      </c>
      <c r="B27" s="67"/>
    </row>
    <row r="28" spans="1:4" x14ac:dyDescent="0.25">
      <c r="A28" s="66" t="s">
        <v>76</v>
      </c>
      <c r="B28" s="67"/>
    </row>
    <row r="29" spans="1:4" x14ac:dyDescent="0.25">
      <c r="A29" s="66" t="s">
        <v>75</v>
      </c>
      <c r="B29" s="67"/>
    </row>
    <row r="30" spans="1:4" x14ac:dyDescent="0.25">
      <c r="A30" s="66" t="s">
        <v>74</v>
      </c>
      <c r="B30" s="67"/>
    </row>
    <row r="31" spans="1:4" x14ac:dyDescent="0.25">
      <c r="A31" s="66" t="s">
        <v>73</v>
      </c>
      <c r="B31" s="68">
        <f>15717.4</f>
        <v>15717.4</v>
      </c>
    </row>
    <row r="32" spans="1:4" x14ac:dyDescent="0.25">
      <c r="A32" s="66" t="s">
        <v>72</v>
      </c>
      <c r="B32" s="70">
        <f>B31</f>
        <v>15717.4</v>
      </c>
    </row>
    <row r="33" spans="1:2" x14ac:dyDescent="0.25">
      <c r="A33" s="66" t="s">
        <v>71</v>
      </c>
      <c r="B33" s="67"/>
    </row>
    <row r="34" spans="1:2" x14ac:dyDescent="0.25">
      <c r="A34" s="66" t="s">
        <v>100</v>
      </c>
      <c r="B34" s="68">
        <f>38390.4</f>
        <v>38390.400000000001</v>
      </c>
    </row>
    <row r="35" spans="1:2" x14ac:dyDescent="0.25">
      <c r="A35" s="66" t="s">
        <v>124</v>
      </c>
      <c r="B35" s="68">
        <f>9532.88</f>
        <v>9532.8799999999992</v>
      </c>
    </row>
    <row r="36" spans="1:2" x14ac:dyDescent="0.25">
      <c r="A36" s="66" t="s">
        <v>123</v>
      </c>
      <c r="B36" s="68">
        <f>-17811</f>
        <v>-17811</v>
      </c>
    </row>
    <row r="37" spans="1:2" x14ac:dyDescent="0.25">
      <c r="A37" s="66" t="s">
        <v>122</v>
      </c>
      <c r="B37" s="68">
        <f>118.74</f>
        <v>118.74</v>
      </c>
    </row>
    <row r="38" spans="1:2" x14ac:dyDescent="0.25">
      <c r="A38" s="66" t="s">
        <v>70</v>
      </c>
      <c r="B38" s="68">
        <f>420</f>
        <v>420</v>
      </c>
    </row>
    <row r="39" spans="1:2" x14ac:dyDescent="0.25">
      <c r="A39" s="66" t="s">
        <v>69</v>
      </c>
      <c r="B39" s="70">
        <f>((((B34)+(B35))+(B36))+(B37))+(B38)</f>
        <v>30651.02</v>
      </c>
    </row>
    <row r="40" spans="1:2" x14ac:dyDescent="0.25">
      <c r="A40" s="66" t="s">
        <v>68</v>
      </c>
      <c r="B40" s="70">
        <f>(B32)+(B39)</f>
        <v>46368.42</v>
      </c>
    </row>
    <row r="41" spans="1:2" x14ac:dyDescent="0.25">
      <c r="A41" s="66" t="s">
        <v>67</v>
      </c>
      <c r="B41" s="67"/>
    </row>
    <row r="42" spans="1:2" x14ac:dyDescent="0.25">
      <c r="A42" s="66" t="s">
        <v>66</v>
      </c>
      <c r="B42" s="68">
        <f>473211.69</f>
        <v>473211.69</v>
      </c>
    </row>
    <row r="43" spans="1:2" x14ac:dyDescent="0.25">
      <c r="A43" s="66" t="s">
        <v>65</v>
      </c>
      <c r="B43" s="70">
        <f>B42</f>
        <v>473211.69</v>
      </c>
    </row>
    <row r="44" spans="1:2" x14ac:dyDescent="0.25">
      <c r="A44" s="66" t="s">
        <v>64</v>
      </c>
      <c r="B44" s="70">
        <f>(B40)+(B43)</f>
        <v>519580.11</v>
      </c>
    </row>
    <row r="45" spans="1:2" x14ac:dyDescent="0.25">
      <c r="A45" s="66" t="s">
        <v>63</v>
      </c>
      <c r="B45" s="67"/>
    </row>
    <row r="46" spans="1:2" x14ac:dyDescent="0.25">
      <c r="A46" s="66" t="s">
        <v>62</v>
      </c>
      <c r="B46" s="68">
        <f>450257.24</f>
        <v>450257.24</v>
      </c>
    </row>
    <row r="47" spans="1:2" x14ac:dyDescent="0.25">
      <c r="A47" s="66" t="s">
        <v>61</v>
      </c>
      <c r="B47" s="68">
        <f>2200</f>
        <v>2200</v>
      </c>
    </row>
    <row r="48" spans="1:2" x14ac:dyDescent="0.25">
      <c r="A48" s="66" t="s">
        <v>60</v>
      </c>
      <c r="B48" s="68">
        <f>-41981.87</f>
        <v>-41981.87</v>
      </c>
    </row>
    <row r="49" spans="1:2" x14ac:dyDescent="0.25">
      <c r="A49" s="66" t="s">
        <v>59</v>
      </c>
      <c r="B49" s="70">
        <f>((B46)+(B47))+(B48)</f>
        <v>410475.37</v>
      </c>
    </row>
    <row r="50" spans="1:2" x14ac:dyDescent="0.25">
      <c r="A50" s="66" t="s">
        <v>58</v>
      </c>
      <c r="B50" s="70">
        <f>(B44)+(B49)</f>
        <v>930055.48</v>
      </c>
    </row>
    <row r="51" spans="1:2" x14ac:dyDescent="0.25">
      <c r="A51" s="66"/>
      <c r="B51" s="67"/>
    </row>
    <row r="54" spans="1:2" x14ac:dyDescent="0.25">
      <c r="A54" s="86" t="s">
        <v>256</v>
      </c>
      <c r="B54" s="75"/>
    </row>
  </sheetData>
  <mergeCells count="4">
    <mergeCell ref="A1:B1"/>
    <mergeCell ref="A2:B2"/>
    <mergeCell ref="A3:B3"/>
    <mergeCell ref="A54:B5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1B1BA-5695-4B8E-AA1A-2623D2331298}">
  <dimension ref="A1:D53"/>
  <sheetViews>
    <sheetView topLeftCell="A7" workbookViewId="0">
      <selection activeCell="D20" sqref="D20:D23"/>
    </sheetView>
  </sheetViews>
  <sheetFormatPr defaultRowHeight="15" x14ac:dyDescent="0.25"/>
  <cols>
    <col min="1" max="1" width="39.125" style="54" customWidth="1"/>
    <col min="2" max="2" width="21.75" style="54" customWidth="1"/>
    <col min="3" max="16384" width="9" style="54"/>
  </cols>
  <sheetData>
    <row r="1" spans="1:2" ht="18" x14ac:dyDescent="0.25">
      <c r="A1" s="74" t="s">
        <v>97</v>
      </c>
      <c r="B1" s="75"/>
    </row>
    <row r="2" spans="1:2" ht="18" x14ac:dyDescent="0.25">
      <c r="A2" s="74" t="s">
        <v>96</v>
      </c>
      <c r="B2" s="75"/>
    </row>
    <row r="3" spans="1:2" x14ac:dyDescent="0.25">
      <c r="A3" s="76" t="s">
        <v>252</v>
      </c>
      <c r="B3" s="75"/>
    </row>
    <row r="5" spans="1:2" x14ac:dyDescent="0.25">
      <c r="A5" s="53"/>
      <c r="B5" s="52" t="s">
        <v>0</v>
      </c>
    </row>
    <row r="6" spans="1:2" x14ac:dyDescent="0.25">
      <c r="A6" s="8" t="s">
        <v>94</v>
      </c>
      <c r="B6" s="9"/>
    </row>
    <row r="7" spans="1:2" x14ac:dyDescent="0.25">
      <c r="A7" s="8" t="s">
        <v>93</v>
      </c>
      <c r="B7" s="9"/>
    </row>
    <row r="8" spans="1:2" x14ac:dyDescent="0.25">
      <c r="A8" s="8" t="s">
        <v>92</v>
      </c>
      <c r="B8" s="9"/>
    </row>
    <row r="9" spans="1:2" x14ac:dyDescent="0.25">
      <c r="A9" s="8" t="s">
        <v>103</v>
      </c>
      <c r="B9" s="11">
        <f>204256.84</f>
        <v>204256.84</v>
      </c>
    </row>
    <row r="10" spans="1:2" x14ac:dyDescent="0.25">
      <c r="A10" s="8" t="s">
        <v>102</v>
      </c>
      <c r="B10" s="11">
        <f>1229.38</f>
        <v>1229.3800000000001</v>
      </c>
    </row>
    <row r="11" spans="1:2" x14ac:dyDescent="0.25">
      <c r="A11" s="8" t="s">
        <v>101</v>
      </c>
      <c r="B11" s="11">
        <f>1095.42</f>
        <v>1095.42</v>
      </c>
    </row>
    <row r="12" spans="1:2" x14ac:dyDescent="0.25">
      <c r="A12" s="8" t="s">
        <v>91</v>
      </c>
      <c r="B12" s="13">
        <f>((B9)+(B10))+(B11)</f>
        <v>206581.64</v>
      </c>
    </row>
    <row r="13" spans="1:2" x14ac:dyDescent="0.25">
      <c r="A13" s="8" t="s">
        <v>90</v>
      </c>
      <c r="B13" s="9"/>
    </row>
    <row r="14" spans="1:2" x14ac:dyDescent="0.25">
      <c r="A14" s="8" t="s">
        <v>89</v>
      </c>
      <c r="B14" s="11">
        <f>169059.68</f>
        <v>169059.68</v>
      </c>
    </row>
    <row r="15" spans="1:2" x14ac:dyDescent="0.25">
      <c r="A15" s="8" t="s">
        <v>88</v>
      </c>
      <c r="B15" s="13">
        <f>B14</f>
        <v>169059.68</v>
      </c>
    </row>
    <row r="16" spans="1:2" x14ac:dyDescent="0.25">
      <c r="A16" s="8" t="s">
        <v>87</v>
      </c>
      <c r="B16" s="9"/>
    </row>
    <row r="17" spans="1:4" x14ac:dyDescent="0.25">
      <c r="A17" s="8" t="s">
        <v>86</v>
      </c>
      <c r="B17" s="11">
        <f>8160.2</f>
        <v>8160.2</v>
      </c>
    </row>
    <row r="18" spans="1:4" x14ac:dyDescent="0.25">
      <c r="A18" s="8" t="s">
        <v>85</v>
      </c>
      <c r="B18" s="13">
        <f>B17</f>
        <v>8160.2</v>
      </c>
    </row>
    <row r="19" spans="1:4" x14ac:dyDescent="0.25">
      <c r="A19" s="8" t="s">
        <v>84</v>
      </c>
      <c r="B19" s="13">
        <f>((B12)+(B15))+(B18)</f>
        <v>383801.52</v>
      </c>
    </row>
    <row r="20" spans="1:4" x14ac:dyDescent="0.25">
      <c r="A20" s="8" t="s">
        <v>83</v>
      </c>
      <c r="B20" s="9"/>
      <c r="C20" s="54" t="s">
        <v>246</v>
      </c>
      <c r="D20" s="54" t="s">
        <v>247</v>
      </c>
    </row>
    <row r="21" spans="1:4" x14ac:dyDescent="0.25">
      <c r="A21" s="8" t="s">
        <v>82</v>
      </c>
      <c r="B21" s="11">
        <f>46770.36</f>
        <v>46770.36</v>
      </c>
      <c r="C21" s="54">
        <f>'BS Aug 21'!B21</f>
        <v>35656.51</v>
      </c>
      <c r="D21" s="15">
        <f>B21-C21</f>
        <v>11113.849999999999</v>
      </c>
    </row>
    <row r="22" spans="1:4" x14ac:dyDescent="0.25">
      <c r="A22" s="8" t="s">
        <v>81</v>
      </c>
      <c r="B22" s="11">
        <f>391802.62</f>
        <v>391802.62</v>
      </c>
      <c r="C22" s="54">
        <f>'BS Aug 21'!B22</f>
        <v>106222.74</v>
      </c>
      <c r="D22" s="15">
        <f>B22-C22</f>
        <v>285579.88</v>
      </c>
    </row>
    <row r="23" spans="1:4" x14ac:dyDescent="0.25">
      <c r="A23" s="8" t="s">
        <v>80</v>
      </c>
      <c r="B23" s="11">
        <f>68838.42</f>
        <v>68838.42</v>
      </c>
      <c r="C23" s="54">
        <f>'BS Aug 21'!B23</f>
        <v>68838.42</v>
      </c>
      <c r="D23" s="15">
        <f>B23-C23</f>
        <v>0</v>
      </c>
    </row>
    <row r="24" spans="1:4" x14ac:dyDescent="0.25">
      <c r="A24" s="8" t="s">
        <v>125</v>
      </c>
      <c r="B24" s="11">
        <f>95705.81</f>
        <v>95705.81</v>
      </c>
    </row>
    <row r="25" spans="1:4" x14ac:dyDescent="0.25">
      <c r="A25" s="8" t="s">
        <v>79</v>
      </c>
      <c r="B25" s="13">
        <f>(((B21)+(B22))+(B23))+(B24)</f>
        <v>603117.21</v>
      </c>
    </row>
    <row r="26" spans="1:4" x14ac:dyDescent="0.25">
      <c r="A26" s="8" t="s">
        <v>78</v>
      </c>
      <c r="B26" s="13">
        <f>(B19)+(B25)</f>
        <v>986918.73</v>
      </c>
    </row>
    <row r="27" spans="1:4" x14ac:dyDescent="0.25">
      <c r="A27" s="8" t="s">
        <v>77</v>
      </c>
      <c r="B27" s="9"/>
    </row>
    <row r="28" spans="1:4" x14ac:dyDescent="0.25">
      <c r="A28" s="8" t="s">
        <v>76</v>
      </c>
      <c r="B28" s="9"/>
    </row>
    <row r="29" spans="1:4" x14ac:dyDescent="0.25">
      <c r="A29" s="8" t="s">
        <v>75</v>
      </c>
      <c r="B29" s="9"/>
    </row>
    <row r="30" spans="1:4" x14ac:dyDescent="0.25">
      <c r="A30" s="8" t="s">
        <v>74</v>
      </c>
      <c r="B30" s="9"/>
    </row>
    <row r="31" spans="1:4" x14ac:dyDescent="0.25">
      <c r="A31" s="8" t="s">
        <v>73</v>
      </c>
      <c r="B31" s="11">
        <f>37580.44</f>
        <v>37580.44</v>
      </c>
    </row>
    <row r="32" spans="1:4" x14ac:dyDescent="0.25">
      <c r="A32" s="8" t="s">
        <v>72</v>
      </c>
      <c r="B32" s="13">
        <f>B31</f>
        <v>37580.44</v>
      </c>
    </row>
    <row r="33" spans="1:2" x14ac:dyDescent="0.25">
      <c r="A33" s="8" t="s">
        <v>71</v>
      </c>
      <c r="B33" s="9"/>
    </row>
    <row r="34" spans="1:2" x14ac:dyDescent="0.25">
      <c r="A34" s="8" t="s">
        <v>100</v>
      </c>
      <c r="B34" s="11">
        <f>34476.24</f>
        <v>34476.239999999998</v>
      </c>
    </row>
    <row r="35" spans="1:2" x14ac:dyDescent="0.25">
      <c r="A35" s="8" t="s">
        <v>124</v>
      </c>
      <c r="B35" s="11">
        <f>9270.21</f>
        <v>9270.2099999999991</v>
      </c>
    </row>
    <row r="36" spans="1:2" x14ac:dyDescent="0.25">
      <c r="A36" s="8" t="s">
        <v>123</v>
      </c>
      <c r="B36" s="11">
        <f>-21389</f>
        <v>-21389</v>
      </c>
    </row>
    <row r="37" spans="1:2" x14ac:dyDescent="0.25">
      <c r="A37" s="8" t="s">
        <v>70</v>
      </c>
      <c r="B37" s="11">
        <f>8620.22</f>
        <v>8620.2199999999993</v>
      </c>
    </row>
    <row r="38" spans="1:2" x14ac:dyDescent="0.25">
      <c r="A38" s="8" t="s">
        <v>69</v>
      </c>
      <c r="B38" s="13">
        <f>(((B34)+(B35))+(B36))+(B37)</f>
        <v>30977.67</v>
      </c>
    </row>
    <row r="39" spans="1:2" x14ac:dyDescent="0.25">
      <c r="A39" s="8" t="s">
        <v>68</v>
      </c>
      <c r="B39" s="13">
        <f>(B32)+(B38)</f>
        <v>68558.11</v>
      </c>
    </row>
    <row r="40" spans="1:2" x14ac:dyDescent="0.25">
      <c r="A40" s="8" t="s">
        <v>67</v>
      </c>
      <c r="B40" s="9"/>
    </row>
    <row r="41" spans="1:2" x14ac:dyDescent="0.25">
      <c r="A41" s="8" t="s">
        <v>66</v>
      </c>
      <c r="B41" s="11">
        <f>471434.25</f>
        <v>471434.25</v>
      </c>
    </row>
    <row r="42" spans="1:2" x14ac:dyDescent="0.25">
      <c r="A42" s="8" t="s">
        <v>65</v>
      </c>
      <c r="B42" s="13">
        <f>B41</f>
        <v>471434.25</v>
      </c>
    </row>
    <row r="43" spans="1:2" x14ac:dyDescent="0.25">
      <c r="A43" s="8" t="s">
        <v>64</v>
      </c>
      <c r="B43" s="13">
        <f>(B39)+(B42)</f>
        <v>539992.36</v>
      </c>
    </row>
    <row r="44" spans="1:2" x14ac:dyDescent="0.25">
      <c r="A44" s="8" t="s">
        <v>63</v>
      </c>
      <c r="B44" s="9"/>
    </row>
    <row r="45" spans="1:2" x14ac:dyDescent="0.25">
      <c r="A45" s="8" t="s">
        <v>62</v>
      </c>
      <c r="B45" s="11">
        <f>447957.24</f>
        <v>447957.24</v>
      </c>
    </row>
    <row r="46" spans="1:2" x14ac:dyDescent="0.25">
      <c r="A46" s="8" t="s">
        <v>61</v>
      </c>
      <c r="B46" s="11">
        <f>4500</f>
        <v>4500</v>
      </c>
    </row>
    <row r="47" spans="1:2" x14ac:dyDescent="0.25">
      <c r="A47" s="8" t="s">
        <v>60</v>
      </c>
      <c r="B47" s="11">
        <f>-5530.87</f>
        <v>-5530.87</v>
      </c>
    </row>
    <row r="48" spans="1:2" x14ac:dyDescent="0.25">
      <c r="A48" s="8" t="s">
        <v>59</v>
      </c>
      <c r="B48" s="13">
        <f>((B45)+(B46))+(B47)</f>
        <v>446926.37</v>
      </c>
    </row>
    <row r="49" spans="1:2" x14ac:dyDescent="0.25">
      <c r="A49" s="8" t="s">
        <v>58</v>
      </c>
      <c r="B49" s="13">
        <f>(B43)+(B48)</f>
        <v>986918.73</v>
      </c>
    </row>
    <row r="50" spans="1:2" x14ac:dyDescent="0.25">
      <c r="A50" s="8"/>
      <c r="B50" s="9"/>
    </row>
    <row r="53" spans="1:2" x14ac:dyDescent="0.25">
      <c r="A53" s="77" t="s">
        <v>251</v>
      </c>
      <c r="B53" s="75"/>
    </row>
  </sheetData>
  <mergeCells count="4">
    <mergeCell ref="A53:B53"/>
    <mergeCell ref="A1:B1"/>
    <mergeCell ref="A2:B2"/>
    <mergeCell ref="A3:B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A641A-F4E8-4448-A265-F467A3E8C130}">
  <dimension ref="A1:F90"/>
  <sheetViews>
    <sheetView topLeftCell="A61" workbookViewId="0">
      <selection activeCell="F79" sqref="F79"/>
    </sheetView>
  </sheetViews>
  <sheetFormatPr defaultRowHeight="15" x14ac:dyDescent="0.25"/>
  <cols>
    <col min="1" max="1" width="38.375" style="54" customWidth="1"/>
    <col min="2" max="5" width="15.75" style="54" customWidth="1"/>
    <col min="6" max="16384" width="9" style="54"/>
  </cols>
  <sheetData>
    <row r="1" spans="1:6" ht="18" x14ac:dyDescent="0.25">
      <c r="A1" s="74" t="s">
        <v>97</v>
      </c>
      <c r="B1" s="75"/>
      <c r="C1" s="75"/>
      <c r="D1" s="75"/>
      <c r="E1" s="75"/>
    </row>
    <row r="2" spans="1:6" ht="18" x14ac:dyDescent="0.25">
      <c r="A2" s="74" t="s">
        <v>248</v>
      </c>
      <c r="B2" s="75"/>
      <c r="C2" s="75"/>
      <c r="D2" s="75"/>
      <c r="E2" s="75"/>
    </row>
    <row r="3" spans="1:6" x14ac:dyDescent="0.25">
      <c r="A3" s="76" t="s">
        <v>249</v>
      </c>
      <c r="B3" s="75"/>
      <c r="C3" s="75"/>
      <c r="D3" s="75"/>
      <c r="E3" s="75"/>
    </row>
    <row r="5" spans="1:6" x14ac:dyDescent="0.25">
      <c r="A5" s="53"/>
      <c r="B5" s="72" t="s">
        <v>0</v>
      </c>
      <c r="C5" s="73"/>
      <c r="D5" s="73"/>
      <c r="E5" s="73"/>
    </row>
    <row r="6" spans="1:6" x14ac:dyDescent="0.25">
      <c r="A6" s="53"/>
      <c r="B6" s="52" t="s">
        <v>1</v>
      </c>
      <c r="C6" s="52" t="s">
        <v>2</v>
      </c>
      <c r="D6" s="52" t="s">
        <v>3</v>
      </c>
      <c r="E6" s="52" t="s">
        <v>4</v>
      </c>
    </row>
    <row r="7" spans="1:6" x14ac:dyDescent="0.25">
      <c r="A7" s="8" t="s">
        <v>5</v>
      </c>
      <c r="B7" s="9"/>
      <c r="C7" s="9"/>
      <c r="D7" s="9"/>
      <c r="E7" s="9"/>
    </row>
    <row r="8" spans="1:6" x14ac:dyDescent="0.25">
      <c r="A8" s="8" t="s">
        <v>6</v>
      </c>
      <c r="B8" s="11">
        <f>4066.29</f>
        <v>4066.29</v>
      </c>
      <c r="C8" s="11">
        <f>5000</f>
        <v>5000</v>
      </c>
      <c r="D8" s="11">
        <f t="shared" ref="D8:D25" si="0">(B8)-(C8)</f>
        <v>-933.71</v>
      </c>
      <c r="E8" s="12">
        <f t="shared" ref="E8:E25" si="1">IF(C8=0,"",(B8)/(C8))</f>
        <v>0.81325800000000004</v>
      </c>
      <c r="F8" s="54" t="str">
        <f>VLOOKUP(A8,'BvA Jan 22'!A:F,6,FALSE)</f>
        <v>Local Support</v>
      </c>
    </row>
    <row r="9" spans="1:6" x14ac:dyDescent="0.25">
      <c r="A9" s="8" t="s">
        <v>223</v>
      </c>
      <c r="B9" s="11">
        <f>0.11</f>
        <v>0.11</v>
      </c>
      <c r="C9" s="9"/>
      <c r="D9" s="11">
        <f t="shared" si="0"/>
        <v>0.11</v>
      </c>
      <c r="E9" s="12" t="str">
        <f t="shared" si="1"/>
        <v/>
      </c>
      <c r="F9" s="54" t="str">
        <f>VLOOKUP(A9,'BvA Jan 22'!A:F,6,FALSE)</f>
        <v>Local Support</v>
      </c>
    </row>
    <row r="10" spans="1:6" x14ac:dyDescent="0.25">
      <c r="A10" s="8" t="s">
        <v>8</v>
      </c>
      <c r="B10" s="11">
        <f>105000</f>
        <v>105000</v>
      </c>
      <c r="C10" s="11">
        <f>260500</f>
        <v>260500</v>
      </c>
      <c r="D10" s="11">
        <f t="shared" si="0"/>
        <v>-155500</v>
      </c>
      <c r="E10" s="12">
        <f t="shared" si="1"/>
        <v>0.40307101727447214</v>
      </c>
      <c r="F10" s="54" t="str">
        <f>VLOOKUP(A10,'BvA Jan 22'!A:F,6,FALSE)</f>
        <v>Grants &amp; Other Sources</v>
      </c>
    </row>
    <row r="11" spans="1:6" x14ac:dyDescent="0.25">
      <c r="A11" s="8" t="s">
        <v>163</v>
      </c>
      <c r="B11" s="11">
        <f>396423.3</f>
        <v>396423.3</v>
      </c>
      <c r="C11" s="11">
        <f>784175</f>
        <v>784175</v>
      </c>
      <c r="D11" s="11">
        <f t="shared" si="0"/>
        <v>-387751.7</v>
      </c>
      <c r="E11" s="12">
        <f t="shared" si="1"/>
        <v>0.50552912296362418</v>
      </c>
      <c r="F11" s="54" t="str">
        <f>VLOOKUP(A11,'BvA Jan 22'!A:F,6,FALSE)</f>
        <v>State Revenue - General</v>
      </c>
    </row>
    <row r="12" spans="1:6" x14ac:dyDescent="0.25">
      <c r="A12" s="8" t="s">
        <v>162</v>
      </c>
      <c r="B12" s="11">
        <f>10643</f>
        <v>10643</v>
      </c>
      <c r="C12" s="11">
        <f>21276</f>
        <v>21276</v>
      </c>
      <c r="D12" s="11">
        <f t="shared" si="0"/>
        <v>-10633</v>
      </c>
      <c r="E12" s="12">
        <f t="shared" si="1"/>
        <v>0.50023500658018427</v>
      </c>
      <c r="F12" s="54" t="str">
        <f>VLOOKUP(A12,'BvA Jan 22'!A:F,6,FALSE)</f>
        <v>State Revenue - Special Purpose</v>
      </c>
    </row>
    <row r="13" spans="1:6" x14ac:dyDescent="0.25">
      <c r="A13" s="8" t="s">
        <v>161</v>
      </c>
      <c r="B13" s="11">
        <f>48178.74</f>
        <v>48178.74</v>
      </c>
      <c r="C13" s="11">
        <f>94758</f>
        <v>94758</v>
      </c>
      <c r="D13" s="11">
        <f t="shared" si="0"/>
        <v>-46579.26</v>
      </c>
      <c r="E13" s="12">
        <f t="shared" si="1"/>
        <v>0.50843981510795921</v>
      </c>
      <c r="F13" s="54" t="str">
        <f>VLOOKUP(A13,'BvA Jan 22'!A:F,6,FALSE)</f>
        <v>State Revenue - Special Purpose</v>
      </c>
    </row>
    <row r="14" spans="1:6" x14ac:dyDescent="0.25">
      <c r="A14" s="8" t="s">
        <v>160</v>
      </c>
      <c r="B14" s="11">
        <f>6453.18</f>
        <v>6453.18</v>
      </c>
      <c r="C14" s="11">
        <f>13012</f>
        <v>13012</v>
      </c>
      <c r="D14" s="11">
        <f t="shared" si="0"/>
        <v>-6558.82</v>
      </c>
      <c r="E14" s="12">
        <f t="shared" si="1"/>
        <v>0.4959406701506302</v>
      </c>
      <c r="F14" s="54" t="str">
        <f>VLOOKUP(A14,'BvA Jan 22'!A:F,6,FALSE)</f>
        <v>State Revenue - Special Purpose</v>
      </c>
    </row>
    <row r="15" spans="1:6" x14ac:dyDescent="0.25">
      <c r="A15" s="8" t="s">
        <v>158</v>
      </c>
      <c r="B15" s="9"/>
      <c r="C15" s="11">
        <f>2054</f>
        <v>2054</v>
      </c>
      <c r="D15" s="11">
        <f t="shared" si="0"/>
        <v>-2054</v>
      </c>
      <c r="E15" s="12">
        <f t="shared" si="1"/>
        <v>0</v>
      </c>
      <c r="F15" s="54" t="str">
        <f>VLOOKUP(A15,'BvA Jan 22'!A:F,6,FALSE)</f>
        <v>State Revenue - Special Purpose</v>
      </c>
    </row>
    <row r="16" spans="1:6" x14ac:dyDescent="0.25">
      <c r="A16" s="8" t="s">
        <v>222</v>
      </c>
      <c r="B16" s="11">
        <f>893.5</f>
        <v>893.5</v>
      </c>
      <c r="C16" s="9"/>
      <c r="D16" s="11">
        <f t="shared" si="0"/>
        <v>893.5</v>
      </c>
      <c r="E16" s="12" t="str">
        <f t="shared" si="1"/>
        <v/>
      </c>
      <c r="F16" s="54" t="str">
        <f>VLOOKUP(A16,'BvA Jan 22'!A:F,6,FALSE)</f>
        <v>State Revenue - Special Purpose</v>
      </c>
    </row>
    <row r="17" spans="1:6" x14ac:dyDescent="0.25">
      <c r="A17" s="8" t="s">
        <v>214</v>
      </c>
      <c r="B17" s="11">
        <f>11520</f>
        <v>11520</v>
      </c>
      <c r="C17" s="11">
        <f>37151</f>
        <v>37151</v>
      </c>
      <c r="D17" s="11">
        <f t="shared" si="0"/>
        <v>-25631</v>
      </c>
      <c r="E17" s="12">
        <f t="shared" si="1"/>
        <v>0.3100858657909612</v>
      </c>
      <c r="F17" s="54" t="str">
        <f>VLOOKUP(A17,'BvA Jan 22'!A:F,6,FALSE)</f>
        <v>State Revenue - Special Purpose</v>
      </c>
    </row>
    <row r="18" spans="1:6" x14ac:dyDescent="0.25">
      <c r="A18" s="8" t="s">
        <v>156</v>
      </c>
      <c r="B18" s="9"/>
      <c r="C18" s="11">
        <f>16512</f>
        <v>16512</v>
      </c>
      <c r="D18" s="11">
        <f t="shared" si="0"/>
        <v>-16512</v>
      </c>
      <c r="E18" s="12">
        <f t="shared" si="1"/>
        <v>0</v>
      </c>
      <c r="F18" s="54" t="str">
        <f>VLOOKUP(A18,'BvA Jan 22'!A:F,6,FALSE)</f>
        <v>Federal Revenue</v>
      </c>
    </row>
    <row r="19" spans="1:6" x14ac:dyDescent="0.25">
      <c r="A19" s="8" t="s">
        <v>155</v>
      </c>
      <c r="B19" s="9"/>
      <c r="C19" s="11">
        <f>2686</f>
        <v>2686</v>
      </c>
      <c r="D19" s="11">
        <f t="shared" si="0"/>
        <v>-2686</v>
      </c>
      <c r="E19" s="12">
        <f t="shared" si="1"/>
        <v>0</v>
      </c>
      <c r="F19" s="54" t="str">
        <f>VLOOKUP(A19,'BvA Jan 22'!A:F,6,FALSE)</f>
        <v>Federal Revenue</v>
      </c>
    </row>
    <row r="20" spans="1:6" x14ac:dyDescent="0.25">
      <c r="A20" s="8" t="s">
        <v>154</v>
      </c>
      <c r="B20" s="11">
        <f>7514</f>
        <v>7514</v>
      </c>
      <c r="C20" s="11">
        <f>15036</f>
        <v>15036</v>
      </c>
      <c r="D20" s="11">
        <f t="shared" si="0"/>
        <v>-7522</v>
      </c>
      <c r="E20" s="12">
        <f t="shared" si="1"/>
        <v>0.49973397180101092</v>
      </c>
      <c r="F20" s="54" t="str">
        <f>VLOOKUP(A20,'BvA Jan 22'!A:F,6,FALSE)</f>
        <v>Federal Revenue</v>
      </c>
    </row>
    <row r="21" spans="1:6" x14ac:dyDescent="0.25">
      <c r="A21" s="8" t="s">
        <v>153</v>
      </c>
      <c r="B21" s="11">
        <f>20655.15</f>
        <v>20655.150000000001</v>
      </c>
      <c r="C21" s="11">
        <f>50060</f>
        <v>50060</v>
      </c>
      <c r="D21" s="11">
        <f t="shared" si="0"/>
        <v>-29404.85</v>
      </c>
      <c r="E21" s="12">
        <f t="shared" si="1"/>
        <v>0.41260787055533366</v>
      </c>
      <c r="F21" s="54" t="str">
        <f>VLOOKUP(A21,'BvA Jan 22'!A:F,6,FALSE)</f>
        <v>Federal Revenue</v>
      </c>
    </row>
    <row r="22" spans="1:6" x14ac:dyDescent="0.25">
      <c r="A22" s="8" t="s">
        <v>152</v>
      </c>
      <c r="B22" s="11">
        <f>54174.82</f>
        <v>54174.82</v>
      </c>
      <c r="C22" s="11">
        <f>135661</f>
        <v>135661</v>
      </c>
      <c r="D22" s="11">
        <f t="shared" si="0"/>
        <v>-81486.179999999993</v>
      </c>
      <c r="E22" s="12">
        <f t="shared" si="1"/>
        <v>0.39933967757867034</v>
      </c>
      <c r="F22" s="54" t="str">
        <f>VLOOKUP(A22,'BvA Jan 22'!A:F,6,FALSE)</f>
        <v>Federal Revenue</v>
      </c>
    </row>
    <row r="23" spans="1:6" x14ac:dyDescent="0.25">
      <c r="A23" s="8" t="s">
        <v>9</v>
      </c>
      <c r="B23" s="11">
        <f>159406.33</f>
        <v>159406.32999999999</v>
      </c>
      <c r="C23" s="11">
        <f>298184</f>
        <v>298184</v>
      </c>
      <c r="D23" s="11">
        <f t="shared" si="0"/>
        <v>-138777.67000000001</v>
      </c>
      <c r="E23" s="12">
        <f t="shared" si="1"/>
        <v>0.5345904877525286</v>
      </c>
      <c r="F23" s="54" t="str">
        <f>VLOOKUP(A23,'BvA Jan 22'!A:F,6,FALSE)</f>
        <v>Federal Revenue</v>
      </c>
    </row>
    <row r="24" spans="1:6" x14ac:dyDescent="0.25">
      <c r="A24" s="8" t="s">
        <v>10</v>
      </c>
      <c r="B24" s="13">
        <f>(((((((((((((((B8)+(B9))+(B10))+(B11))+(B12))+(B13))+(B14))+(B15))+(B16))+(B17))+(B18))+(B19))+(B20))+(B21))+(B22))+(B23)</f>
        <v>824928.41999999993</v>
      </c>
      <c r="C24" s="13">
        <f>(((((((((((((((C8)+(C9))+(C10))+(C11))+(C12))+(C13))+(C14))+(C15))+(C16))+(C17))+(C18))+(C19))+(C20))+(C21))+(C22))+(C23)</f>
        <v>1736065</v>
      </c>
      <c r="D24" s="13">
        <f t="shared" si="0"/>
        <v>-911136.58000000007</v>
      </c>
      <c r="E24" s="14">
        <f t="shared" si="1"/>
        <v>0.47517139047213092</v>
      </c>
    </row>
    <row r="25" spans="1:6" x14ac:dyDescent="0.25">
      <c r="A25" s="8" t="s">
        <v>11</v>
      </c>
      <c r="B25" s="13">
        <f>(B24)-(0)</f>
        <v>824928.41999999993</v>
      </c>
      <c r="C25" s="13">
        <f>(C24)-(0)</f>
        <v>1736065</v>
      </c>
      <c r="D25" s="13">
        <f t="shared" si="0"/>
        <v>-911136.58000000007</v>
      </c>
      <c r="E25" s="14">
        <f t="shared" si="1"/>
        <v>0.47517139047213092</v>
      </c>
    </row>
    <row r="26" spans="1:6" x14ac:dyDescent="0.25">
      <c r="A26" s="8" t="s">
        <v>12</v>
      </c>
      <c r="B26" s="9"/>
      <c r="C26" s="9"/>
      <c r="D26" s="9"/>
      <c r="E26" s="9"/>
    </row>
    <row r="27" spans="1:6" x14ac:dyDescent="0.25">
      <c r="A27" s="8" t="s">
        <v>151</v>
      </c>
      <c r="B27" s="11">
        <f>45416.68</f>
        <v>45416.68</v>
      </c>
      <c r="C27" s="11">
        <f>90000</f>
        <v>90000</v>
      </c>
      <c r="D27" s="11">
        <f t="shared" ref="D27:D81" si="2">(B27)-(C27)</f>
        <v>-44583.32</v>
      </c>
      <c r="E27" s="12">
        <f t="shared" ref="E27:E81" si="3">IF(C27=0,"",(B27)/(C27))</f>
        <v>0.50462977777777773</v>
      </c>
      <c r="F27" s="54" t="str">
        <f>VLOOKUP(A27,'BvA Jan 22'!A:F,6,FALSE)</f>
        <v>Salaries</v>
      </c>
    </row>
    <row r="28" spans="1:6" x14ac:dyDescent="0.25">
      <c r="A28" s="8" t="s">
        <v>116</v>
      </c>
      <c r="B28" s="11">
        <f>26666.7</f>
        <v>26666.7</v>
      </c>
      <c r="C28" s="11">
        <f>32500</f>
        <v>32500</v>
      </c>
      <c r="D28" s="11">
        <f t="shared" si="2"/>
        <v>-5833.2999999999993</v>
      </c>
      <c r="E28" s="12">
        <f t="shared" si="3"/>
        <v>0.82051384615384615</v>
      </c>
      <c r="F28" s="54" t="str">
        <f>VLOOKUP(A28,'BvA Jan 22'!A:F,6,FALSE)</f>
        <v>Salaries</v>
      </c>
    </row>
    <row r="29" spans="1:6" x14ac:dyDescent="0.25">
      <c r="A29" s="8" t="s">
        <v>13</v>
      </c>
      <c r="B29" s="11">
        <f>23623.96</f>
        <v>23623.96</v>
      </c>
      <c r="C29" s="11">
        <f>49815</f>
        <v>49815</v>
      </c>
      <c r="D29" s="11">
        <f t="shared" si="2"/>
        <v>-26191.040000000001</v>
      </c>
      <c r="E29" s="12">
        <f t="shared" si="3"/>
        <v>0.47423386530161599</v>
      </c>
      <c r="F29" s="54" t="str">
        <f>VLOOKUP(A29,'BvA Jan 22'!A:F,6,FALSE)</f>
        <v>Salaries</v>
      </c>
    </row>
    <row r="30" spans="1:6" x14ac:dyDescent="0.25">
      <c r="A30" s="8" t="s">
        <v>150</v>
      </c>
      <c r="B30" s="11">
        <f>20884</f>
        <v>20884</v>
      </c>
      <c r="C30" s="11">
        <f>41216</f>
        <v>41216</v>
      </c>
      <c r="D30" s="11">
        <f t="shared" si="2"/>
        <v>-20332</v>
      </c>
      <c r="E30" s="12">
        <f t="shared" si="3"/>
        <v>0.5066964285714286</v>
      </c>
      <c r="F30" s="54" t="str">
        <f>VLOOKUP(A30,'BvA Jan 22'!A:F,6,FALSE)</f>
        <v>Salaries</v>
      </c>
    </row>
    <row r="31" spans="1:6" x14ac:dyDescent="0.25">
      <c r="A31" s="8" t="s">
        <v>114</v>
      </c>
      <c r="B31" s="11">
        <f>15662.9</f>
        <v>15662.9</v>
      </c>
      <c r="C31" s="11">
        <f>26000</f>
        <v>26000</v>
      </c>
      <c r="D31" s="11">
        <f t="shared" si="2"/>
        <v>-10337.1</v>
      </c>
      <c r="E31" s="12">
        <f t="shared" si="3"/>
        <v>0.60241923076923076</v>
      </c>
      <c r="F31" s="54" t="str">
        <f>VLOOKUP(A31,'BvA Jan 22'!A:F,6,FALSE)</f>
        <v>Salaries</v>
      </c>
    </row>
    <row r="32" spans="1:6" x14ac:dyDescent="0.25">
      <c r="A32" s="8" t="s">
        <v>14</v>
      </c>
      <c r="B32" s="11">
        <f>105978.64</f>
        <v>105978.64</v>
      </c>
      <c r="C32" s="11">
        <f>280714</f>
        <v>280714</v>
      </c>
      <c r="D32" s="11">
        <f t="shared" si="2"/>
        <v>-174735.35999999999</v>
      </c>
      <c r="E32" s="12">
        <f t="shared" si="3"/>
        <v>0.37753243514751667</v>
      </c>
      <c r="F32" s="54" t="str">
        <f>VLOOKUP(A32,'BvA Jan 22'!A:F,6,FALSE)</f>
        <v>Salaries</v>
      </c>
    </row>
    <row r="33" spans="1:6" x14ac:dyDescent="0.25">
      <c r="A33" s="8" t="s">
        <v>187</v>
      </c>
      <c r="B33" s="11">
        <f>7088.03</f>
        <v>7088.03</v>
      </c>
      <c r="C33" s="11">
        <f>11250</f>
        <v>11250</v>
      </c>
      <c r="D33" s="11">
        <f t="shared" si="2"/>
        <v>-4161.97</v>
      </c>
      <c r="E33" s="12">
        <f t="shared" si="3"/>
        <v>0.63004711111111111</v>
      </c>
      <c r="F33" s="54" t="str">
        <f>VLOOKUP(A33,'BvA Jan 22'!A:F,6,FALSE)</f>
        <v>Salaries</v>
      </c>
    </row>
    <row r="34" spans="1:6" x14ac:dyDescent="0.25">
      <c r="A34" s="8" t="s">
        <v>149</v>
      </c>
      <c r="B34" s="11">
        <f>32887.06</f>
        <v>32887.06</v>
      </c>
      <c r="C34" s="11">
        <f>64499</f>
        <v>64499</v>
      </c>
      <c r="D34" s="11">
        <f t="shared" si="2"/>
        <v>-31611.940000000002</v>
      </c>
      <c r="E34" s="12">
        <f t="shared" si="3"/>
        <v>0.50988480441557227</v>
      </c>
      <c r="F34" s="54" t="str">
        <f>VLOOKUP(A34,'BvA Jan 22'!A:F,6,FALSE)</f>
        <v>Salaries</v>
      </c>
    </row>
    <row r="35" spans="1:6" x14ac:dyDescent="0.25">
      <c r="A35" s="8" t="s">
        <v>113</v>
      </c>
      <c r="B35" s="11">
        <f>44595.56</f>
        <v>44595.56</v>
      </c>
      <c r="C35" s="11">
        <f>57938</f>
        <v>57938</v>
      </c>
      <c r="D35" s="11">
        <f t="shared" si="2"/>
        <v>-13342.440000000002</v>
      </c>
      <c r="E35" s="12">
        <f t="shared" si="3"/>
        <v>0.7697117608478028</v>
      </c>
      <c r="F35" s="54" t="str">
        <f>VLOOKUP(A35,'BvA Jan 22'!A:F,6,FALSE)</f>
        <v>Salaries</v>
      </c>
    </row>
    <row r="36" spans="1:6" x14ac:dyDescent="0.25">
      <c r="A36" s="8" t="s">
        <v>15</v>
      </c>
      <c r="B36" s="11">
        <f>19113.65</f>
        <v>19113.650000000001</v>
      </c>
      <c r="C36" s="11">
        <f>53949</f>
        <v>53949</v>
      </c>
      <c r="D36" s="11">
        <f t="shared" si="2"/>
        <v>-34835.35</v>
      </c>
      <c r="E36" s="12">
        <f t="shared" si="3"/>
        <v>0.35429108973289591</v>
      </c>
      <c r="F36" s="54" t="str">
        <f>VLOOKUP(A36,'BvA Jan 22'!A:F,6,FALSE)</f>
        <v>Personnel Taxes &amp; Benefits</v>
      </c>
    </row>
    <row r="37" spans="1:6" x14ac:dyDescent="0.25">
      <c r="A37" s="8" t="s">
        <v>16</v>
      </c>
      <c r="B37" s="11">
        <f>2594.71</f>
        <v>2594.71</v>
      </c>
      <c r="C37" s="11">
        <f>6539</f>
        <v>6539</v>
      </c>
      <c r="D37" s="11">
        <f t="shared" si="2"/>
        <v>-3944.29</v>
      </c>
      <c r="E37" s="12">
        <f t="shared" si="3"/>
        <v>0.39680532191466583</v>
      </c>
      <c r="F37" s="54" t="str">
        <f>VLOOKUP(A37,'BvA Jan 22'!A:F,6,FALSE)</f>
        <v>Personnel Taxes &amp; Benefits</v>
      </c>
    </row>
    <row r="38" spans="1:6" x14ac:dyDescent="0.25">
      <c r="A38" s="8" t="s">
        <v>17</v>
      </c>
      <c r="B38" s="11">
        <f>3907.08</f>
        <v>3907.08</v>
      </c>
      <c r="C38" s="11">
        <f>9025</f>
        <v>9025</v>
      </c>
      <c r="D38" s="11">
        <f t="shared" si="2"/>
        <v>-5117.92</v>
      </c>
      <c r="E38" s="12">
        <f t="shared" si="3"/>
        <v>0.43291745152354572</v>
      </c>
      <c r="F38" s="54" t="str">
        <f>VLOOKUP(A38,'BvA Jan 22'!A:F,6,FALSE)</f>
        <v>Personnel Taxes &amp; Benefits</v>
      </c>
    </row>
    <row r="39" spans="1:6" x14ac:dyDescent="0.25">
      <c r="A39" s="8" t="s">
        <v>18</v>
      </c>
      <c r="B39" s="9"/>
      <c r="C39" s="11">
        <f>1635</f>
        <v>1635</v>
      </c>
      <c r="D39" s="11">
        <f t="shared" si="2"/>
        <v>-1635</v>
      </c>
      <c r="E39" s="12">
        <f t="shared" si="3"/>
        <v>0</v>
      </c>
      <c r="F39" s="54" t="str">
        <f>VLOOKUP(A39,'BvA Jan 22'!A:F,6,FALSE)</f>
        <v>Personnel Taxes &amp; Benefits</v>
      </c>
    </row>
    <row r="40" spans="1:6" x14ac:dyDescent="0.25">
      <c r="A40" s="8" t="s">
        <v>112</v>
      </c>
      <c r="B40" s="11">
        <f>41909.04</f>
        <v>41909.040000000001</v>
      </c>
      <c r="C40" s="11">
        <f>88434</f>
        <v>88434</v>
      </c>
      <c r="D40" s="11">
        <f t="shared" si="2"/>
        <v>-46524.959999999999</v>
      </c>
      <c r="E40" s="12">
        <f t="shared" si="3"/>
        <v>0.47390189293710566</v>
      </c>
      <c r="F40" s="54" t="str">
        <f>VLOOKUP(A40,'BvA Jan 22'!A:F,6,FALSE)</f>
        <v>Personnel Taxes &amp; Benefits</v>
      </c>
    </row>
    <row r="41" spans="1:6" x14ac:dyDescent="0.25">
      <c r="A41" s="8" t="s">
        <v>148</v>
      </c>
      <c r="B41" s="11">
        <f>68728</f>
        <v>68728</v>
      </c>
      <c r="C41" s="11">
        <f>151008</f>
        <v>151008</v>
      </c>
      <c r="D41" s="11">
        <f t="shared" si="2"/>
        <v>-82280</v>
      </c>
      <c r="E41" s="12">
        <f t="shared" si="3"/>
        <v>0.45512820512820512</v>
      </c>
      <c r="F41" s="54" t="str">
        <f>VLOOKUP(A41,'BvA Jan 22'!A:F,6,FALSE)</f>
        <v>Personnel Taxes &amp; Benefits</v>
      </c>
    </row>
    <row r="42" spans="1:6" x14ac:dyDescent="0.25">
      <c r="A42" s="8" t="s">
        <v>147</v>
      </c>
      <c r="B42" s="9"/>
      <c r="C42" s="11">
        <f>18000</f>
        <v>18000</v>
      </c>
      <c r="D42" s="11">
        <f t="shared" si="2"/>
        <v>-18000</v>
      </c>
      <c r="E42" s="12">
        <f t="shared" si="3"/>
        <v>0</v>
      </c>
      <c r="F42" s="54" t="str">
        <f>VLOOKUP(A42,'BvA Jan 22'!A:F,6,FALSE)</f>
        <v>Contracted Services</v>
      </c>
    </row>
    <row r="43" spans="1:6" x14ac:dyDescent="0.25">
      <c r="A43" s="8" t="s">
        <v>111</v>
      </c>
      <c r="B43" s="9"/>
      <c r="C43" s="11">
        <f>5000</f>
        <v>5000</v>
      </c>
      <c r="D43" s="11">
        <f t="shared" si="2"/>
        <v>-5000</v>
      </c>
      <c r="E43" s="12">
        <f t="shared" si="3"/>
        <v>0</v>
      </c>
      <c r="F43" s="54" t="str">
        <f>VLOOKUP(A43,'BvA Jan 22'!A:F,6,FALSE)</f>
        <v>Contracted Services</v>
      </c>
    </row>
    <row r="44" spans="1:6" x14ac:dyDescent="0.25">
      <c r="A44" s="8" t="s">
        <v>146</v>
      </c>
      <c r="B44" s="11">
        <f>13850.95</f>
        <v>13850.95</v>
      </c>
      <c r="C44" s="11">
        <f>27458</f>
        <v>27458</v>
      </c>
      <c r="D44" s="11">
        <f t="shared" si="2"/>
        <v>-13607.05</v>
      </c>
      <c r="E44" s="12">
        <f t="shared" si="3"/>
        <v>0.50444132857455026</v>
      </c>
      <c r="F44" s="54" t="str">
        <f>VLOOKUP(A44,'BvA Jan 22'!A:F,6,FALSE)</f>
        <v>Contracted Services</v>
      </c>
    </row>
    <row r="45" spans="1:6" x14ac:dyDescent="0.25">
      <c r="A45" s="8" t="s">
        <v>19</v>
      </c>
      <c r="B45" s="11">
        <f>48000</f>
        <v>48000</v>
      </c>
      <c r="C45" s="11">
        <f>96000</f>
        <v>96000</v>
      </c>
      <c r="D45" s="11">
        <f t="shared" si="2"/>
        <v>-48000</v>
      </c>
      <c r="E45" s="12">
        <f t="shared" si="3"/>
        <v>0.5</v>
      </c>
      <c r="F45" s="54" t="str">
        <f>VLOOKUP(A45,'BvA Jan 22'!A:F,6,FALSE)</f>
        <v>Contracted Services</v>
      </c>
    </row>
    <row r="46" spans="1:6" x14ac:dyDescent="0.25">
      <c r="A46" s="8" t="s">
        <v>108</v>
      </c>
      <c r="B46" s="11">
        <f>26444.35</f>
        <v>26444.35</v>
      </c>
      <c r="C46" s="11">
        <f>38020</f>
        <v>38020</v>
      </c>
      <c r="D46" s="11">
        <f t="shared" si="2"/>
        <v>-11575.650000000001</v>
      </c>
      <c r="E46" s="12">
        <f t="shared" si="3"/>
        <v>0.69553787480273532</v>
      </c>
      <c r="F46" s="54" t="str">
        <f>VLOOKUP(A46,'BvA Jan 22'!A:F,6,FALSE)</f>
        <v>Contracted Services</v>
      </c>
    </row>
    <row r="47" spans="1:6" x14ac:dyDescent="0.25">
      <c r="A47" s="8" t="s">
        <v>20</v>
      </c>
      <c r="B47" s="11">
        <f>22248.97</f>
        <v>22248.97</v>
      </c>
      <c r="C47" s="11">
        <f>22000</f>
        <v>22000</v>
      </c>
      <c r="D47" s="11">
        <f t="shared" si="2"/>
        <v>248.97000000000116</v>
      </c>
      <c r="E47" s="12">
        <f t="shared" si="3"/>
        <v>1.0113168181818182</v>
      </c>
      <c r="F47" s="54" t="str">
        <f>VLOOKUP(A47,'BvA Jan 22'!A:F,6,FALSE)</f>
        <v>Contracted Services</v>
      </c>
    </row>
    <row r="48" spans="1:6" x14ac:dyDescent="0.25">
      <c r="A48" s="8" t="s">
        <v>107</v>
      </c>
      <c r="B48" s="11">
        <f>7299.96</f>
        <v>7299.96</v>
      </c>
      <c r="C48" s="11">
        <f>25000</f>
        <v>25000</v>
      </c>
      <c r="D48" s="11">
        <f t="shared" si="2"/>
        <v>-17700.04</v>
      </c>
      <c r="E48" s="12">
        <f t="shared" si="3"/>
        <v>0.29199839999999999</v>
      </c>
      <c r="F48" s="54" t="str">
        <f>VLOOKUP(A48,'BvA Jan 22'!A:F,6,FALSE)</f>
        <v>Contracted Services</v>
      </c>
    </row>
    <row r="49" spans="1:6" x14ac:dyDescent="0.25">
      <c r="A49" s="8" t="s">
        <v>145</v>
      </c>
      <c r="B49" s="11">
        <f>1205.85</f>
        <v>1205.8499999999999</v>
      </c>
      <c r="C49" s="9"/>
      <c r="D49" s="11">
        <f t="shared" si="2"/>
        <v>1205.8499999999999</v>
      </c>
      <c r="E49" s="12" t="str">
        <f t="shared" si="3"/>
        <v/>
      </c>
      <c r="F49" s="54" t="str">
        <f>VLOOKUP(A49,'BvA Jan 22'!A:F,6,FALSE)</f>
        <v>Contracted Services</v>
      </c>
    </row>
    <row r="50" spans="1:6" x14ac:dyDescent="0.25">
      <c r="A50" s="8" t="s">
        <v>144</v>
      </c>
      <c r="B50" s="11">
        <f>16770</f>
        <v>16770</v>
      </c>
      <c r="C50" s="11">
        <f>65000</f>
        <v>65000</v>
      </c>
      <c r="D50" s="11">
        <f t="shared" si="2"/>
        <v>-48230</v>
      </c>
      <c r="E50" s="12">
        <f t="shared" si="3"/>
        <v>0.25800000000000001</v>
      </c>
      <c r="F50" s="54" t="str">
        <f>VLOOKUP(A50,'BvA Jan 22'!A:F,6,FALSE)</f>
        <v>Contracted Services</v>
      </c>
    </row>
    <row r="51" spans="1:6" x14ac:dyDescent="0.25">
      <c r="A51" s="8" t="s">
        <v>143</v>
      </c>
      <c r="B51" s="11">
        <f>16555</f>
        <v>16555</v>
      </c>
      <c r="C51" s="11">
        <f>27316</f>
        <v>27316</v>
      </c>
      <c r="D51" s="11">
        <f t="shared" si="2"/>
        <v>-10761</v>
      </c>
      <c r="E51" s="12">
        <f t="shared" si="3"/>
        <v>0.60605505930590131</v>
      </c>
      <c r="F51" s="54" t="str">
        <f>VLOOKUP(A51,'BvA Jan 22'!A:F,6,FALSE)</f>
        <v>Contracted Services</v>
      </c>
    </row>
    <row r="52" spans="1:6" x14ac:dyDescent="0.25">
      <c r="A52" s="8" t="s">
        <v>142</v>
      </c>
      <c r="B52" s="11">
        <f>834.74</f>
        <v>834.74</v>
      </c>
      <c r="C52" s="11">
        <f>2500</f>
        <v>2500</v>
      </c>
      <c r="D52" s="11">
        <f t="shared" si="2"/>
        <v>-1665.26</v>
      </c>
      <c r="E52" s="12">
        <f t="shared" si="3"/>
        <v>0.33389600000000003</v>
      </c>
      <c r="F52" s="54" t="str">
        <f>VLOOKUP(A52,'BvA Jan 22'!A:F,6,FALSE)</f>
        <v>School Operations</v>
      </c>
    </row>
    <row r="53" spans="1:6" x14ac:dyDescent="0.25">
      <c r="A53" s="8" t="s">
        <v>21</v>
      </c>
      <c r="B53" s="11">
        <f>1712</f>
        <v>1712</v>
      </c>
      <c r="C53" s="11">
        <f>2000</f>
        <v>2000</v>
      </c>
      <c r="D53" s="11">
        <f t="shared" si="2"/>
        <v>-288</v>
      </c>
      <c r="E53" s="12">
        <f t="shared" si="3"/>
        <v>0.85599999999999998</v>
      </c>
      <c r="F53" s="54" t="str">
        <f>VLOOKUP(A53,'BvA Jan 22'!A:F,6,FALSE)</f>
        <v>School Operations</v>
      </c>
    </row>
    <row r="54" spans="1:6" x14ac:dyDescent="0.25">
      <c r="A54" s="8" t="s">
        <v>23</v>
      </c>
      <c r="B54" s="11">
        <f>5149.98</f>
        <v>5149.9799999999996</v>
      </c>
      <c r="C54" s="11">
        <f>11250</f>
        <v>11250</v>
      </c>
      <c r="D54" s="11">
        <f t="shared" si="2"/>
        <v>-6100.02</v>
      </c>
      <c r="E54" s="12">
        <f t="shared" si="3"/>
        <v>0.45777599999999996</v>
      </c>
      <c r="F54" s="54" t="str">
        <f>VLOOKUP(A54,'BvA Jan 22'!A:F,6,FALSE)</f>
        <v>School Operations</v>
      </c>
    </row>
    <row r="55" spans="1:6" x14ac:dyDescent="0.25">
      <c r="A55" s="8" t="s">
        <v>24</v>
      </c>
      <c r="B55" s="11">
        <f>28770.71</f>
        <v>28770.71</v>
      </c>
      <c r="C55" s="11">
        <f>60500</f>
        <v>60500</v>
      </c>
      <c r="D55" s="11">
        <f t="shared" si="2"/>
        <v>-31729.29</v>
      </c>
      <c r="E55" s="12">
        <f t="shared" si="3"/>
        <v>0.47554892561983469</v>
      </c>
      <c r="F55" s="54" t="str">
        <f>VLOOKUP(A55,'BvA Jan 22'!A:F,6,FALSE)</f>
        <v>School Operations</v>
      </c>
    </row>
    <row r="56" spans="1:6" x14ac:dyDescent="0.25">
      <c r="A56" s="8" t="s">
        <v>106</v>
      </c>
      <c r="B56" s="11">
        <f>1070.63</f>
        <v>1070.6300000000001</v>
      </c>
      <c r="C56" s="11">
        <f>4725</f>
        <v>4725</v>
      </c>
      <c r="D56" s="11">
        <f t="shared" si="2"/>
        <v>-3654.37</v>
      </c>
      <c r="E56" s="12">
        <f t="shared" si="3"/>
        <v>0.22658835978835981</v>
      </c>
      <c r="F56" s="54" t="str">
        <f>VLOOKUP(A56,'BvA Jan 22'!A:F,6,FALSE)</f>
        <v>School Operations</v>
      </c>
    </row>
    <row r="57" spans="1:6" x14ac:dyDescent="0.25">
      <c r="A57" s="8" t="s">
        <v>141</v>
      </c>
      <c r="B57" s="9"/>
      <c r="C57" s="11">
        <f>5250</f>
        <v>5250</v>
      </c>
      <c r="D57" s="11">
        <f t="shared" si="2"/>
        <v>-5250</v>
      </c>
      <c r="E57" s="12">
        <f t="shared" si="3"/>
        <v>0</v>
      </c>
      <c r="F57" s="54" t="str">
        <f>VLOOKUP(A57,'BvA Jan 22'!A:F,6,FALSE)</f>
        <v>School Operations</v>
      </c>
    </row>
    <row r="58" spans="1:6" x14ac:dyDescent="0.25">
      <c r="A58" s="8" t="s">
        <v>140</v>
      </c>
      <c r="B58" s="11">
        <f>635.29</f>
        <v>635.29</v>
      </c>
      <c r="C58" s="9"/>
      <c r="D58" s="11">
        <f t="shared" si="2"/>
        <v>635.29</v>
      </c>
      <c r="E58" s="12" t="str">
        <f t="shared" si="3"/>
        <v/>
      </c>
      <c r="F58" s="54" t="str">
        <f>VLOOKUP(A58,'BvA Jan 22'!A:F,6,FALSE)</f>
        <v>School Operations</v>
      </c>
    </row>
    <row r="59" spans="1:6" x14ac:dyDescent="0.25">
      <c r="A59" s="8" t="s">
        <v>25</v>
      </c>
      <c r="B59" s="11">
        <f>8277.96</f>
        <v>8277.9599999999991</v>
      </c>
      <c r="C59" s="11">
        <f>46710</f>
        <v>46710</v>
      </c>
      <c r="D59" s="11">
        <f t="shared" si="2"/>
        <v>-38432.04</v>
      </c>
      <c r="E59" s="12">
        <f t="shared" si="3"/>
        <v>0.17722029543994861</v>
      </c>
      <c r="F59" s="54" t="str">
        <f>VLOOKUP(A59,'BvA Jan 22'!A:F,6,FALSE)</f>
        <v>School Operations</v>
      </c>
    </row>
    <row r="60" spans="1:6" x14ac:dyDescent="0.25">
      <c r="A60" s="8" t="s">
        <v>26</v>
      </c>
      <c r="B60" s="11">
        <f>4020.77</f>
        <v>4020.77</v>
      </c>
      <c r="C60" s="11">
        <f>7680</f>
        <v>7680</v>
      </c>
      <c r="D60" s="11">
        <f t="shared" si="2"/>
        <v>-3659.23</v>
      </c>
      <c r="E60" s="12">
        <f t="shared" si="3"/>
        <v>0.52353776041666666</v>
      </c>
      <c r="F60" s="54" t="str">
        <f>VLOOKUP(A60,'BvA Jan 22'!A:F,6,FALSE)</f>
        <v>School Operations</v>
      </c>
    </row>
    <row r="61" spans="1:6" x14ac:dyDescent="0.25">
      <c r="A61" s="8" t="s">
        <v>27</v>
      </c>
      <c r="B61" s="11">
        <f>10195.08</f>
        <v>10195.08</v>
      </c>
      <c r="C61" s="11">
        <f>17206</f>
        <v>17206</v>
      </c>
      <c r="D61" s="11">
        <f t="shared" si="2"/>
        <v>-7010.92</v>
      </c>
      <c r="E61" s="12">
        <f t="shared" si="3"/>
        <v>0.59253051261187961</v>
      </c>
      <c r="F61" s="54" t="str">
        <f>VLOOKUP(A61,'BvA Jan 22'!A:F,6,FALSE)</f>
        <v>School Operations</v>
      </c>
    </row>
    <row r="62" spans="1:6" x14ac:dyDescent="0.25">
      <c r="A62" s="8" t="s">
        <v>28</v>
      </c>
      <c r="B62" s="11">
        <f>12029.71</f>
        <v>12029.71</v>
      </c>
      <c r="C62" s="11">
        <f>24450</f>
        <v>24450</v>
      </c>
      <c r="D62" s="11">
        <f t="shared" si="2"/>
        <v>-12420.29</v>
      </c>
      <c r="E62" s="12">
        <f t="shared" si="3"/>
        <v>0.49201267893660527</v>
      </c>
      <c r="F62" s="54" t="str">
        <f>VLOOKUP(A62,'BvA Jan 22'!A:F,6,FALSE)</f>
        <v>School Operations</v>
      </c>
    </row>
    <row r="63" spans="1:6" x14ac:dyDescent="0.25">
      <c r="A63" s="8" t="s">
        <v>105</v>
      </c>
      <c r="B63" s="9"/>
      <c r="C63" s="11">
        <f>3225</f>
        <v>3225</v>
      </c>
      <c r="D63" s="11">
        <f t="shared" si="2"/>
        <v>-3225</v>
      </c>
      <c r="E63" s="12">
        <f t="shared" si="3"/>
        <v>0</v>
      </c>
      <c r="F63" s="54" t="str">
        <f>VLOOKUP(A63,'BvA Jan 22'!A:F,6,FALSE)</f>
        <v>School Operations</v>
      </c>
    </row>
    <row r="64" spans="1:6" x14ac:dyDescent="0.25">
      <c r="A64" s="8" t="s">
        <v>139</v>
      </c>
      <c r="B64" s="9"/>
      <c r="C64" s="11">
        <f>6650</f>
        <v>6650</v>
      </c>
      <c r="D64" s="11">
        <f t="shared" si="2"/>
        <v>-6650</v>
      </c>
      <c r="E64" s="12">
        <f t="shared" si="3"/>
        <v>0</v>
      </c>
      <c r="F64" s="54" t="str">
        <f>VLOOKUP(A64,'BvA Jan 22'!A:F,6,FALSE)</f>
        <v>School Operations</v>
      </c>
    </row>
    <row r="65" spans="1:6" x14ac:dyDescent="0.25">
      <c r="A65" s="8" t="s">
        <v>138</v>
      </c>
      <c r="B65" s="9"/>
      <c r="C65" s="11">
        <f>1750</f>
        <v>1750</v>
      </c>
      <c r="D65" s="11">
        <f t="shared" si="2"/>
        <v>-1750</v>
      </c>
      <c r="E65" s="12">
        <f t="shared" si="3"/>
        <v>0</v>
      </c>
      <c r="F65" s="54" t="str">
        <f>VLOOKUP(A65,'BvA Jan 22'!A:F,6,FALSE)</f>
        <v>School Operations</v>
      </c>
    </row>
    <row r="66" spans="1:6" x14ac:dyDescent="0.25">
      <c r="A66" s="8" t="s">
        <v>168</v>
      </c>
      <c r="B66" s="11">
        <f>172.28</f>
        <v>172.28</v>
      </c>
      <c r="C66" s="9"/>
      <c r="D66" s="11">
        <f t="shared" si="2"/>
        <v>172.28</v>
      </c>
      <c r="E66" s="12" t="str">
        <f t="shared" si="3"/>
        <v/>
      </c>
      <c r="F66" s="54" t="str">
        <f>VLOOKUP(A66,'BvA Jan 22'!A:F,6,FALSE)</f>
        <v>School Operations</v>
      </c>
    </row>
    <row r="67" spans="1:6" x14ac:dyDescent="0.25">
      <c r="A67" s="8" t="s">
        <v>29</v>
      </c>
      <c r="B67" s="11">
        <f>5086.55</f>
        <v>5086.55</v>
      </c>
      <c r="C67" s="11">
        <f>8000</f>
        <v>8000</v>
      </c>
      <c r="D67" s="11">
        <f t="shared" si="2"/>
        <v>-2913.45</v>
      </c>
      <c r="E67" s="12">
        <f t="shared" si="3"/>
        <v>0.63581874999999999</v>
      </c>
      <c r="F67" s="54" t="str">
        <f>VLOOKUP(A67,'BvA Jan 22'!A:F,6,FALSE)</f>
        <v>School Operations</v>
      </c>
    </row>
    <row r="68" spans="1:6" x14ac:dyDescent="0.25">
      <c r="A68" s="8" t="s">
        <v>30</v>
      </c>
      <c r="B68" s="11">
        <f>3664.71</f>
        <v>3664.71</v>
      </c>
      <c r="C68" s="11">
        <f>2420</f>
        <v>2420</v>
      </c>
      <c r="D68" s="11">
        <f t="shared" si="2"/>
        <v>1244.71</v>
      </c>
      <c r="E68" s="12">
        <f t="shared" si="3"/>
        <v>1.5143429752066115</v>
      </c>
      <c r="F68" s="54" t="str">
        <f>VLOOKUP(A68,'BvA Jan 22'!A:F,6,FALSE)</f>
        <v>School Operations</v>
      </c>
    </row>
    <row r="69" spans="1:6" x14ac:dyDescent="0.25">
      <c r="A69" s="8" t="s">
        <v>31</v>
      </c>
      <c r="B69" s="11">
        <f>60.75</f>
        <v>60.75</v>
      </c>
      <c r="C69" s="11">
        <f>2000</f>
        <v>2000</v>
      </c>
      <c r="D69" s="11">
        <f t="shared" si="2"/>
        <v>-1939.25</v>
      </c>
      <c r="E69" s="12">
        <f t="shared" si="3"/>
        <v>3.0374999999999999E-2</v>
      </c>
      <c r="F69" s="54" t="str">
        <f>VLOOKUP(A69,'BvA Jan 22'!A:F,6,FALSE)</f>
        <v>School Operations</v>
      </c>
    </row>
    <row r="70" spans="1:6" x14ac:dyDescent="0.25">
      <c r="A70" s="8" t="s">
        <v>32</v>
      </c>
      <c r="B70" s="11">
        <f>4446.44</f>
        <v>4446.4399999999996</v>
      </c>
      <c r="C70" s="11">
        <f>3000</f>
        <v>3000</v>
      </c>
      <c r="D70" s="11">
        <f t="shared" si="2"/>
        <v>1446.4399999999996</v>
      </c>
      <c r="E70" s="12">
        <f t="shared" si="3"/>
        <v>1.4821466666666665</v>
      </c>
      <c r="F70" s="54" t="str">
        <f>VLOOKUP(A70,'BvA Jan 22'!A:F,6,FALSE)</f>
        <v>School Operations</v>
      </c>
    </row>
    <row r="71" spans="1:6" x14ac:dyDescent="0.25">
      <c r="A71" s="8" t="s">
        <v>56</v>
      </c>
      <c r="B71" s="11">
        <f>29692.44</f>
        <v>29692.44</v>
      </c>
      <c r="C71" s="11">
        <f>60511</f>
        <v>60511</v>
      </c>
      <c r="D71" s="11">
        <f t="shared" si="2"/>
        <v>-30818.560000000001</v>
      </c>
      <c r="E71" s="12">
        <f t="shared" si="3"/>
        <v>0.49069491497413692</v>
      </c>
      <c r="F71" s="54" t="str">
        <f>VLOOKUP(A71,'BvA Jan 22'!A:F,6,FALSE)</f>
        <v>School Operations</v>
      </c>
    </row>
    <row r="72" spans="1:6" x14ac:dyDescent="0.25">
      <c r="A72" s="8" t="s">
        <v>33</v>
      </c>
      <c r="B72" s="9"/>
      <c r="C72" s="11">
        <f>300</f>
        <v>300</v>
      </c>
      <c r="D72" s="11">
        <f t="shared" si="2"/>
        <v>-300</v>
      </c>
      <c r="E72" s="12">
        <f t="shared" si="3"/>
        <v>0</v>
      </c>
      <c r="F72" s="54" t="str">
        <f>VLOOKUP(A72,'BvA Jan 22'!A:F,6,FALSE)</f>
        <v>School Operations</v>
      </c>
    </row>
    <row r="73" spans="1:6" x14ac:dyDescent="0.25">
      <c r="A73" s="8" t="s">
        <v>137</v>
      </c>
      <c r="B73" s="11">
        <f>454.05</f>
        <v>454.05</v>
      </c>
      <c r="C73" s="11">
        <f>5000</f>
        <v>5000</v>
      </c>
      <c r="D73" s="11">
        <f t="shared" si="2"/>
        <v>-4545.95</v>
      </c>
      <c r="E73" s="12">
        <f t="shared" si="3"/>
        <v>9.0810000000000002E-2</v>
      </c>
      <c r="F73" s="54" t="str">
        <f>VLOOKUP(A73,'BvA Jan 22'!A:F,6,FALSE)</f>
        <v>School Operations</v>
      </c>
    </row>
    <row r="74" spans="1:6" x14ac:dyDescent="0.25">
      <c r="A74" s="8" t="s">
        <v>136</v>
      </c>
      <c r="B74" s="9"/>
      <c r="C74" s="11">
        <f>15000</f>
        <v>15000</v>
      </c>
      <c r="D74" s="11">
        <f t="shared" si="2"/>
        <v>-15000</v>
      </c>
      <c r="E74" s="12">
        <f t="shared" si="3"/>
        <v>0</v>
      </c>
      <c r="F74" s="54" t="str">
        <f>VLOOKUP(A74,'BvA Jan 22'!A:F,6,FALSE)</f>
        <v>School Operations</v>
      </c>
    </row>
    <row r="75" spans="1:6" x14ac:dyDescent="0.25">
      <c r="A75" s="8" t="s">
        <v>34</v>
      </c>
      <c r="B75" s="11">
        <f>5193.7</f>
        <v>5193.7</v>
      </c>
      <c r="C75" s="11">
        <f>12500</f>
        <v>12500</v>
      </c>
      <c r="D75" s="11">
        <f t="shared" si="2"/>
        <v>-7306.3</v>
      </c>
      <c r="E75" s="12">
        <f t="shared" si="3"/>
        <v>0.41549599999999998</v>
      </c>
      <c r="F75" s="54" t="str">
        <f>VLOOKUP(A75,'BvA Jan 22'!A:F,6,FALSE)</f>
        <v>Facility Operations &amp; Maintenance</v>
      </c>
    </row>
    <row r="76" spans="1:6" x14ac:dyDescent="0.25">
      <c r="A76" s="8" t="s">
        <v>55</v>
      </c>
      <c r="B76" s="11">
        <f>1232.35</f>
        <v>1232.3499999999999</v>
      </c>
      <c r="C76" s="11">
        <f>4053</f>
        <v>4053</v>
      </c>
      <c r="D76" s="11">
        <f t="shared" si="2"/>
        <v>-2820.65</v>
      </c>
      <c r="E76" s="12">
        <f t="shared" si="3"/>
        <v>0.30405872193436956</v>
      </c>
      <c r="F76" s="54" t="str">
        <f>VLOOKUP(A76,'BvA Jan 22'!A:F,6,FALSE)</f>
        <v>Facility Operations &amp; Maintenance</v>
      </c>
    </row>
    <row r="77" spans="1:6" x14ac:dyDescent="0.25">
      <c r="A77" s="8" t="s">
        <v>35</v>
      </c>
      <c r="B77" s="11">
        <f>84521.85</f>
        <v>84521.85</v>
      </c>
      <c r="C77" s="11">
        <f>159238</f>
        <v>159238</v>
      </c>
      <c r="D77" s="11">
        <f t="shared" si="2"/>
        <v>-74716.149999999994</v>
      </c>
      <c r="E77" s="12">
        <f t="shared" si="3"/>
        <v>0.53078944724249244</v>
      </c>
      <c r="F77" s="54" t="str">
        <f>VLOOKUP(A77,'BvA Jan 22'!A:F,6,FALSE)</f>
        <v>Facility Operations &amp; Maintenance</v>
      </c>
    </row>
    <row r="78" spans="1:6" x14ac:dyDescent="0.25">
      <c r="A78" s="8" t="s">
        <v>134</v>
      </c>
      <c r="B78" s="11">
        <f>107.8</f>
        <v>107.8</v>
      </c>
      <c r="C78" s="11">
        <f>3000</f>
        <v>3000</v>
      </c>
      <c r="D78" s="11">
        <f t="shared" si="2"/>
        <v>-2892.2</v>
      </c>
      <c r="E78" s="12">
        <f t="shared" si="3"/>
        <v>3.5933333333333331E-2</v>
      </c>
      <c r="F78" s="54" t="str">
        <f>VLOOKUP(A78,'BvA Jan 22'!A:F,6,FALSE)</f>
        <v>Facility Operations &amp; Maintenance</v>
      </c>
    </row>
    <row r="79" spans="1:6" x14ac:dyDescent="0.25">
      <c r="A79" s="8" t="s">
        <v>132</v>
      </c>
      <c r="B79" s="11">
        <f>11698.41</f>
        <v>11698.41</v>
      </c>
      <c r="C79" s="11">
        <f>577</f>
        <v>577</v>
      </c>
      <c r="D79" s="11">
        <f t="shared" si="2"/>
        <v>11121.41</v>
      </c>
      <c r="E79" s="12">
        <f t="shared" si="3"/>
        <v>20.274540727902945</v>
      </c>
      <c r="F79" s="54" t="str">
        <f>VLOOKUP(A79,'BvA Jan 22'!A:F,6,FALSE)</f>
        <v>Facility Operations &amp; Maintenance</v>
      </c>
    </row>
    <row r="80" spans="1:6" x14ac:dyDescent="0.25">
      <c r="A80" s="8" t="s">
        <v>36</v>
      </c>
      <c r="B80" s="13">
        <f>((((((((((((((((((((((((((((((((((((((((((((((((((((B27)+(B28))+(B29))+(B30))+(B31))+(B32))+(B33))+(B34))+(B35))+(B36))+(B37))+(B38))+(B39))+(B40))+(B41))+(B42))+(B43))+(B44))+(B45))+(B46))+(B47))+(B48))+(B49))+(B50))+(B51))+(B52))+(B53))+(B54))+(B55))+(B56))+(B57))+(B58))+(B59))+(B60))+(B61))+(B62))+(B63))+(B64))+(B65))+(B66))+(B67))+(B68))+(B69))+(B70))+(B71))+(B72))+(B73))+(B74))+(B75))+(B76))+(B77))+(B78))+(B79)</f>
        <v>830459.2899999998</v>
      </c>
      <c r="C80" s="13">
        <f>((((((((((((((((((((((((((((((((((((((((((((((((((((C27)+(C28))+(C29))+(C30))+(C31))+(C32))+(C33))+(C34))+(C35))+(C36))+(C37))+(C38))+(C39))+(C40))+(C41))+(C42))+(C43))+(C44))+(C45))+(C46))+(C47))+(C48))+(C49))+(C50))+(C51))+(C52))+(C53))+(C54))+(C55))+(C56))+(C57))+(C58))+(C59))+(C60))+(C61))+(C62))+(C63))+(C64))+(C65))+(C66))+(C67))+(C68))+(C69))+(C70))+(C71))+(C72))+(C73))+(C74))+(C75))+(C76))+(C77))+(C78))+(C79)</f>
        <v>1757811</v>
      </c>
      <c r="D80" s="13">
        <f t="shared" si="2"/>
        <v>-927351.7100000002</v>
      </c>
      <c r="E80" s="14">
        <f t="shared" si="3"/>
        <v>0.47243946590389968</v>
      </c>
    </row>
    <row r="81" spans="1:5" x14ac:dyDescent="0.25">
      <c r="A81" s="8" t="s">
        <v>37</v>
      </c>
      <c r="B81" s="13">
        <f>(B25)-(B80)</f>
        <v>-5530.8699999998789</v>
      </c>
      <c r="C81" s="13">
        <f>(C25)-(C80)</f>
        <v>-21746</v>
      </c>
      <c r="D81" s="13">
        <f t="shared" si="2"/>
        <v>16215.130000000121</v>
      </c>
      <c r="E81" s="14">
        <f t="shared" si="3"/>
        <v>0.25433964867101438</v>
      </c>
    </row>
    <row r="82" spans="1:5" x14ac:dyDescent="0.25">
      <c r="A82" s="8" t="s">
        <v>131</v>
      </c>
      <c r="B82" s="9"/>
      <c r="C82" s="9"/>
      <c r="D82" s="9"/>
      <c r="E82" s="9"/>
    </row>
    <row r="83" spans="1:5" x14ac:dyDescent="0.25">
      <c r="A83" s="8" t="s">
        <v>130</v>
      </c>
      <c r="B83" s="9"/>
      <c r="C83" s="11">
        <f>94883</f>
        <v>94883</v>
      </c>
      <c r="D83" s="11">
        <f>(B83)-(C83)</f>
        <v>-94883</v>
      </c>
      <c r="E83" s="12">
        <f>IF(C83=0,"",(B83)/(C83))</f>
        <v>0</v>
      </c>
    </row>
    <row r="84" spans="1:5" x14ac:dyDescent="0.25">
      <c r="A84" s="8" t="s">
        <v>129</v>
      </c>
      <c r="B84" s="13">
        <f>B83</f>
        <v>0</v>
      </c>
      <c r="C84" s="13">
        <f>C83</f>
        <v>94883</v>
      </c>
      <c r="D84" s="13">
        <f>(B84)-(C84)</f>
        <v>-94883</v>
      </c>
      <c r="E84" s="14">
        <f>IF(C84=0,"",(B84)/(C84))</f>
        <v>0</v>
      </c>
    </row>
    <row r="85" spans="1:5" x14ac:dyDescent="0.25">
      <c r="A85" s="8" t="s">
        <v>128</v>
      </c>
      <c r="B85" s="13">
        <f>(0)-(B84)</f>
        <v>0</v>
      </c>
      <c r="C85" s="13">
        <f>(0)-(C84)</f>
        <v>-94883</v>
      </c>
      <c r="D85" s="13">
        <f>(B85)-(C85)</f>
        <v>94883</v>
      </c>
      <c r="E85" s="14">
        <f>IF(C85=0,"",(B85)/(C85))</f>
        <v>0</v>
      </c>
    </row>
    <row r="86" spans="1:5" x14ac:dyDescent="0.25">
      <c r="A86" s="8" t="s">
        <v>38</v>
      </c>
      <c r="B86" s="13">
        <f>(B81)+(B85)</f>
        <v>-5530.8699999998789</v>
      </c>
      <c r="C86" s="13">
        <f>(C81)+(C85)</f>
        <v>-116629</v>
      </c>
      <c r="D86" s="13">
        <f>(B86)-(C86)</f>
        <v>111098.13000000012</v>
      </c>
      <c r="E86" s="14">
        <f>IF(C86=0,"",(B86)/(C86))</f>
        <v>4.7422767922213852E-2</v>
      </c>
    </row>
    <row r="87" spans="1:5" x14ac:dyDescent="0.25">
      <c r="A87" s="8"/>
      <c r="B87" s="9"/>
      <c r="C87" s="9"/>
      <c r="D87" s="9"/>
      <c r="E87" s="9"/>
    </row>
    <row r="90" spans="1:5" x14ac:dyDescent="0.25">
      <c r="A90" s="77" t="s">
        <v>250</v>
      </c>
      <c r="B90" s="75"/>
      <c r="C90" s="75"/>
      <c r="D90" s="75"/>
      <c r="E90" s="75"/>
    </row>
  </sheetData>
  <mergeCells count="5">
    <mergeCell ref="A1:E1"/>
    <mergeCell ref="A2:E2"/>
    <mergeCell ref="A3:E3"/>
    <mergeCell ref="B5:E5"/>
    <mergeCell ref="A90:E9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EC28C-8545-4C05-9784-FD1CBEFCDE0B}">
  <dimension ref="A1:C28"/>
  <sheetViews>
    <sheetView workbookViewId="0">
      <selection sqref="A1:C28"/>
    </sheetView>
  </sheetViews>
  <sheetFormatPr defaultRowHeight="14.25" x14ac:dyDescent="0.2"/>
  <sheetData>
    <row r="1" spans="1:3" ht="15" x14ac:dyDescent="0.25">
      <c r="A1" s="5" t="s">
        <v>176</v>
      </c>
      <c r="B1" s="5"/>
      <c r="C1" s="5"/>
    </row>
    <row r="2" spans="1:3" ht="15" x14ac:dyDescent="0.25">
      <c r="A2" s="5" t="s">
        <v>196</v>
      </c>
      <c r="B2" s="5"/>
      <c r="C2" s="5"/>
    </row>
    <row r="3" spans="1:3" ht="15" x14ac:dyDescent="0.25">
      <c r="A3" s="5" t="s">
        <v>201</v>
      </c>
      <c r="B3" s="5"/>
      <c r="C3" s="5"/>
    </row>
    <row r="4" spans="1:3" ht="15" x14ac:dyDescent="0.25">
      <c r="A4" s="5" t="s">
        <v>178</v>
      </c>
      <c r="B4" s="5"/>
      <c r="C4" s="5"/>
    </row>
    <row r="5" spans="1:3" ht="15" x14ac:dyDescent="0.25">
      <c r="A5" s="5" t="s">
        <v>179</v>
      </c>
      <c r="B5" s="5"/>
      <c r="C5" s="5"/>
    </row>
    <row r="6" spans="1:3" ht="15" x14ac:dyDescent="0.25">
      <c r="A6" s="5"/>
      <c r="B6" s="5" t="s">
        <v>180</v>
      </c>
      <c r="C6" s="5"/>
    </row>
    <row r="7" spans="1:3" ht="15" x14ac:dyDescent="0.25">
      <c r="A7" s="5"/>
      <c r="B7" s="5" t="s">
        <v>181</v>
      </c>
      <c r="C7" s="5"/>
    </row>
    <row r="8" spans="1:3" ht="15" x14ac:dyDescent="0.25">
      <c r="A8" s="5"/>
      <c r="B8" s="5" t="s">
        <v>182</v>
      </c>
      <c r="C8" s="5"/>
    </row>
    <row r="9" spans="1:3" ht="15" x14ac:dyDescent="0.25">
      <c r="A9" s="5"/>
      <c r="B9" s="5" t="s">
        <v>183</v>
      </c>
      <c r="C9" s="5"/>
    </row>
    <row r="10" spans="1:3" ht="15" x14ac:dyDescent="0.25">
      <c r="A10" s="5" t="s">
        <v>184</v>
      </c>
      <c r="B10" s="5"/>
      <c r="C10" s="5"/>
    </row>
    <row r="11" spans="1:3" ht="15" x14ac:dyDescent="0.25">
      <c r="A11" s="5" t="s">
        <v>194</v>
      </c>
      <c r="B11" s="5"/>
      <c r="C11" s="5"/>
    </row>
    <row r="12" spans="1:3" ht="15" x14ac:dyDescent="0.25">
      <c r="A12" s="5" t="s">
        <v>195</v>
      </c>
      <c r="B12" s="5"/>
      <c r="C12" s="5"/>
    </row>
    <row r="13" spans="1:3" ht="15" x14ac:dyDescent="0.25">
      <c r="A13" s="5"/>
      <c r="B13" s="5" t="s">
        <v>203</v>
      </c>
      <c r="C13" s="5"/>
    </row>
    <row r="14" spans="1:3" ht="15" x14ac:dyDescent="0.25">
      <c r="A14" s="5"/>
      <c r="B14" s="5" t="s">
        <v>204</v>
      </c>
      <c r="C14" s="5"/>
    </row>
    <row r="15" spans="1:3" ht="15" x14ac:dyDescent="0.25">
      <c r="A15" s="5"/>
      <c r="B15" s="5" t="s">
        <v>205</v>
      </c>
      <c r="C15" s="5"/>
    </row>
    <row r="16" spans="1:3" ht="15" x14ac:dyDescent="0.25">
      <c r="A16" s="5" t="s">
        <v>189</v>
      </c>
      <c r="B16" s="5"/>
      <c r="C16" s="5"/>
    </row>
    <row r="17" spans="1:3" ht="15" x14ac:dyDescent="0.25">
      <c r="A17" s="5"/>
      <c r="B17" s="5" t="s">
        <v>190</v>
      </c>
      <c r="C17" s="5"/>
    </row>
    <row r="18" spans="1:3" ht="15" x14ac:dyDescent="0.25">
      <c r="A18" s="5"/>
      <c r="B18" s="5" t="s">
        <v>191</v>
      </c>
      <c r="C18" s="5"/>
    </row>
    <row r="19" spans="1:3" ht="15" x14ac:dyDescent="0.25">
      <c r="A19" s="5" t="s">
        <v>192</v>
      </c>
      <c r="B19" s="5"/>
      <c r="C19" s="5"/>
    </row>
    <row r="20" spans="1:3" ht="15" x14ac:dyDescent="0.25">
      <c r="A20" s="5" t="s">
        <v>193</v>
      </c>
      <c r="B20" s="5"/>
      <c r="C20" s="5"/>
    </row>
    <row r="21" spans="1:3" ht="15" x14ac:dyDescent="0.25">
      <c r="A21" s="5" t="s">
        <v>206</v>
      </c>
      <c r="B21" s="5"/>
      <c r="C21" s="5"/>
    </row>
    <row r="22" spans="1:3" ht="15" x14ac:dyDescent="0.25">
      <c r="A22" s="5"/>
      <c r="B22" s="5" t="s">
        <v>209</v>
      </c>
      <c r="C22" s="5"/>
    </row>
    <row r="23" spans="1:3" ht="15" x14ac:dyDescent="0.25">
      <c r="A23" s="5"/>
      <c r="B23" s="5" t="s">
        <v>210</v>
      </c>
      <c r="C23" s="5"/>
    </row>
    <row r="24" spans="1:3" ht="15" x14ac:dyDescent="0.25">
      <c r="A24" s="5" t="s">
        <v>202</v>
      </c>
      <c r="B24" s="5"/>
      <c r="C24" s="5"/>
    </row>
    <row r="25" spans="1:3" ht="15" x14ac:dyDescent="0.25">
      <c r="A25" s="5"/>
      <c r="B25" s="5" t="s">
        <v>211</v>
      </c>
      <c r="C25" s="5"/>
    </row>
    <row r="26" spans="1:3" ht="15" x14ac:dyDescent="0.25">
      <c r="A26" s="5"/>
      <c r="B26" s="5" t="s">
        <v>212</v>
      </c>
      <c r="C26" s="5"/>
    </row>
    <row r="27" spans="1:3" ht="15" x14ac:dyDescent="0.25">
      <c r="A27" s="5"/>
      <c r="B27" s="5" t="s">
        <v>197</v>
      </c>
      <c r="C27" s="5"/>
    </row>
    <row r="28" spans="1:3" ht="15" x14ac:dyDescent="0.25">
      <c r="A28" s="36" t="s">
        <v>207</v>
      </c>
      <c r="B28" s="5" t="s">
        <v>208</v>
      </c>
      <c r="C2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D2D84-CC85-4DED-8A2E-B65FD9118C75}">
  <dimension ref="A1:F65"/>
  <sheetViews>
    <sheetView topLeftCell="A31" workbookViewId="0">
      <selection activeCell="C48" sqref="C48"/>
    </sheetView>
  </sheetViews>
  <sheetFormatPr defaultColWidth="8.75" defaultRowHeight="15" x14ac:dyDescent="0.25"/>
  <cols>
    <col min="1" max="1" width="41" style="5" customWidth="1"/>
    <col min="2" max="5" width="24.75" style="5" customWidth="1"/>
    <col min="6" max="16384" width="8.75" style="5"/>
  </cols>
  <sheetData>
    <row r="1" spans="1:6" ht="18" x14ac:dyDescent="0.25">
      <c r="A1" s="74" t="s">
        <v>97</v>
      </c>
      <c r="B1" s="75"/>
      <c r="C1" s="75"/>
      <c r="D1" s="75"/>
      <c r="E1" s="75"/>
    </row>
    <row r="2" spans="1:6" ht="18" x14ac:dyDescent="0.25">
      <c r="A2" s="74" t="s">
        <v>120</v>
      </c>
      <c r="B2" s="75"/>
      <c r="C2" s="75"/>
      <c r="D2" s="75"/>
      <c r="E2" s="75"/>
    </row>
    <row r="3" spans="1:6" x14ac:dyDescent="0.25">
      <c r="A3" s="76" t="s">
        <v>119</v>
      </c>
      <c r="B3" s="75"/>
      <c r="C3" s="75"/>
      <c r="D3" s="75"/>
      <c r="E3" s="75"/>
    </row>
    <row r="4" spans="1:6" x14ac:dyDescent="0.25">
      <c r="A4" s="21"/>
      <c r="B4" s="21"/>
      <c r="C4" s="21"/>
      <c r="D4" s="21"/>
      <c r="E4" s="21"/>
    </row>
    <row r="5" spans="1:6" x14ac:dyDescent="0.25">
      <c r="A5" s="20"/>
      <c r="B5" s="72" t="s">
        <v>0</v>
      </c>
      <c r="C5" s="73"/>
      <c r="D5" s="73"/>
      <c r="E5" s="73"/>
    </row>
    <row r="6" spans="1:6" x14ac:dyDescent="0.25">
      <c r="A6" s="20"/>
      <c r="B6" s="19" t="s">
        <v>1</v>
      </c>
      <c r="C6" s="19" t="s">
        <v>2</v>
      </c>
      <c r="D6" s="19" t="s">
        <v>3</v>
      </c>
      <c r="E6" s="19" t="s">
        <v>4</v>
      </c>
    </row>
    <row r="7" spans="1:6" x14ac:dyDescent="0.25">
      <c r="A7" s="8" t="s">
        <v>5</v>
      </c>
      <c r="B7" s="9"/>
      <c r="C7" s="9"/>
      <c r="D7" s="9"/>
      <c r="E7" s="9"/>
    </row>
    <row r="8" spans="1:6" x14ac:dyDescent="0.25">
      <c r="A8" s="8" t="s">
        <v>6</v>
      </c>
      <c r="B8" s="11">
        <f>47376.74</f>
        <v>47376.74</v>
      </c>
      <c r="C8" s="11">
        <f>25000</f>
        <v>25000</v>
      </c>
      <c r="D8" s="11">
        <f t="shared" ref="D8:D15" si="0">(B8)-(C8)</f>
        <v>22376.739999999998</v>
      </c>
      <c r="E8" s="12">
        <f t="shared" ref="E8:E15" si="1">IF(C8=0,"",(B8)/(C8))</f>
        <v>1.8950696</v>
      </c>
      <c r="F8" s="5" t="s">
        <v>40</v>
      </c>
    </row>
    <row r="9" spans="1:6" x14ac:dyDescent="0.25">
      <c r="A9" s="8" t="s">
        <v>7</v>
      </c>
      <c r="B9" s="11">
        <f>1835</f>
        <v>1835</v>
      </c>
      <c r="C9" s="9"/>
      <c r="D9" s="11">
        <f t="shared" si="0"/>
        <v>1835</v>
      </c>
      <c r="E9" s="12" t="str">
        <f t="shared" si="1"/>
        <v/>
      </c>
      <c r="F9" s="5" t="s">
        <v>40</v>
      </c>
    </row>
    <row r="10" spans="1:6" x14ac:dyDescent="0.25">
      <c r="A10" s="8" t="s">
        <v>118</v>
      </c>
      <c r="B10" s="11">
        <f>0.31</f>
        <v>0.31</v>
      </c>
      <c r="C10" s="9"/>
      <c r="D10" s="11">
        <f t="shared" si="0"/>
        <v>0.31</v>
      </c>
      <c r="E10" s="12" t="str">
        <f t="shared" si="1"/>
        <v/>
      </c>
      <c r="F10" s="22" t="s">
        <v>40</v>
      </c>
    </row>
    <row r="11" spans="1:6" x14ac:dyDescent="0.25">
      <c r="A11" s="8" t="s">
        <v>8</v>
      </c>
      <c r="B11" s="11">
        <f>591500</f>
        <v>591500</v>
      </c>
      <c r="C11" s="11">
        <f>230000</f>
        <v>230000</v>
      </c>
      <c r="D11" s="11">
        <f t="shared" si="0"/>
        <v>361500</v>
      </c>
      <c r="E11" s="12">
        <f t="shared" si="1"/>
        <v>2.5717391304347825</v>
      </c>
      <c r="F11" s="22" t="s">
        <v>44</v>
      </c>
    </row>
    <row r="12" spans="1:6" x14ac:dyDescent="0.25">
      <c r="A12" s="8" t="s">
        <v>9</v>
      </c>
      <c r="B12" s="11">
        <f>368616.43</f>
        <v>368616.43</v>
      </c>
      <c r="C12" s="11">
        <f>453200</f>
        <v>453200</v>
      </c>
      <c r="D12" s="11">
        <f t="shared" si="0"/>
        <v>-84583.57</v>
      </c>
      <c r="E12" s="12">
        <f t="shared" si="1"/>
        <v>0.81336370255957635</v>
      </c>
      <c r="F12" s="22" t="s">
        <v>43</v>
      </c>
    </row>
    <row r="13" spans="1:6" x14ac:dyDescent="0.25">
      <c r="A13" s="8" t="s">
        <v>117</v>
      </c>
      <c r="B13" s="11">
        <f>0</f>
        <v>0</v>
      </c>
      <c r="C13" s="9"/>
      <c r="D13" s="11">
        <f t="shared" si="0"/>
        <v>0</v>
      </c>
      <c r="E13" s="12" t="str">
        <f t="shared" si="1"/>
        <v/>
      </c>
    </row>
    <row r="14" spans="1:6" x14ac:dyDescent="0.25">
      <c r="A14" s="8" t="s">
        <v>10</v>
      </c>
      <c r="B14" s="13">
        <f>(((((B8)+(B9))+(B10))+(B11))+(B12))+(B13)</f>
        <v>1009328.48</v>
      </c>
      <c r="C14" s="13">
        <f>(((((C8)+(C9))+(C10))+(C11))+(C12))+(C13)</f>
        <v>708200</v>
      </c>
      <c r="D14" s="13">
        <f t="shared" si="0"/>
        <v>301128.48</v>
      </c>
      <c r="E14" s="14">
        <f t="shared" si="1"/>
        <v>1.4252025981361198</v>
      </c>
    </row>
    <row r="15" spans="1:6" x14ac:dyDescent="0.25">
      <c r="A15" s="8" t="s">
        <v>11</v>
      </c>
      <c r="B15" s="13">
        <f>(B14)-(0)</f>
        <v>1009328.48</v>
      </c>
      <c r="C15" s="13">
        <f>(C14)-(0)</f>
        <v>708200</v>
      </c>
      <c r="D15" s="13">
        <f t="shared" si="0"/>
        <v>301128.48</v>
      </c>
      <c r="E15" s="14">
        <f t="shared" si="1"/>
        <v>1.4252025981361198</v>
      </c>
    </row>
    <row r="16" spans="1:6" x14ac:dyDescent="0.25">
      <c r="A16" s="8" t="s">
        <v>12</v>
      </c>
      <c r="B16" s="9"/>
      <c r="C16" s="9"/>
      <c r="D16" s="9"/>
      <c r="E16" s="9"/>
    </row>
    <row r="17" spans="1:6" x14ac:dyDescent="0.25">
      <c r="A17" s="8" t="s">
        <v>116</v>
      </c>
      <c r="B17" s="11">
        <f>72999.95</f>
        <v>72999.95</v>
      </c>
      <c r="C17" s="11">
        <f>95833.33</f>
        <v>95833.33</v>
      </c>
      <c r="D17" s="11">
        <f t="shared" ref="D17:D60" si="2">(B17)-(C17)</f>
        <v>-22833.380000000005</v>
      </c>
      <c r="E17" s="12">
        <f t="shared" ref="E17:E60" si="3">IF(C17=0,"",(B17)/(C17))</f>
        <v>0.76173863519090901</v>
      </c>
      <c r="F17" s="5" t="s">
        <v>45</v>
      </c>
    </row>
    <row r="18" spans="1:6" x14ac:dyDescent="0.25">
      <c r="A18" s="8" t="s">
        <v>57</v>
      </c>
      <c r="B18" s="11">
        <f>91999.93</f>
        <v>91999.93</v>
      </c>
      <c r="C18" s="11">
        <f>99666.67</f>
        <v>99666.67</v>
      </c>
      <c r="D18" s="11">
        <f t="shared" si="2"/>
        <v>-7666.7400000000052</v>
      </c>
      <c r="E18" s="12">
        <f t="shared" si="3"/>
        <v>0.92307618986367257</v>
      </c>
      <c r="F18" s="5" t="s">
        <v>45</v>
      </c>
    </row>
    <row r="19" spans="1:6" x14ac:dyDescent="0.25">
      <c r="A19" s="8" t="s">
        <v>13</v>
      </c>
      <c r="B19" s="11">
        <f>560</f>
        <v>560</v>
      </c>
      <c r="C19" s="11">
        <f>15093.75</f>
        <v>15093.75</v>
      </c>
      <c r="D19" s="11">
        <f t="shared" si="2"/>
        <v>-14533.75</v>
      </c>
      <c r="E19" s="12">
        <f t="shared" si="3"/>
        <v>3.7101449275362318E-2</v>
      </c>
      <c r="F19" s="5" t="s">
        <v>45</v>
      </c>
    </row>
    <row r="20" spans="1:6" x14ac:dyDescent="0.25">
      <c r="A20" s="8" t="s">
        <v>115</v>
      </c>
      <c r="B20" s="11">
        <f>40318.65</f>
        <v>40318.65</v>
      </c>
      <c r="C20" s="11">
        <f>13248</f>
        <v>13248</v>
      </c>
      <c r="D20" s="11">
        <f t="shared" si="2"/>
        <v>27070.65</v>
      </c>
      <c r="E20" s="12">
        <f t="shared" si="3"/>
        <v>3.0433763586956522</v>
      </c>
      <c r="F20" s="5" t="s">
        <v>45</v>
      </c>
    </row>
    <row r="21" spans="1:6" x14ac:dyDescent="0.25">
      <c r="A21" s="8" t="s">
        <v>114</v>
      </c>
      <c r="B21" s="11">
        <f>1846.82</f>
        <v>1846.82</v>
      </c>
      <c r="C21" s="9"/>
      <c r="D21" s="11">
        <f t="shared" si="2"/>
        <v>1846.82</v>
      </c>
      <c r="E21" s="12" t="str">
        <f t="shared" si="3"/>
        <v/>
      </c>
      <c r="F21" s="5" t="s">
        <v>45</v>
      </c>
    </row>
    <row r="22" spans="1:6" x14ac:dyDescent="0.25">
      <c r="A22" s="8" t="s">
        <v>14</v>
      </c>
      <c r="B22" s="11">
        <f>91626.46</f>
        <v>91626.46</v>
      </c>
      <c r="C22" s="11">
        <f>39384.74</f>
        <v>39384.74</v>
      </c>
      <c r="D22" s="11">
        <f t="shared" si="2"/>
        <v>52241.720000000008</v>
      </c>
      <c r="E22" s="12">
        <f t="shared" si="3"/>
        <v>2.3264457249178236</v>
      </c>
      <c r="F22" s="22" t="s">
        <v>45</v>
      </c>
    </row>
    <row r="23" spans="1:6" x14ac:dyDescent="0.25">
      <c r="A23" s="8" t="s">
        <v>113</v>
      </c>
      <c r="B23" s="11">
        <f>19076.16</f>
        <v>19076.16</v>
      </c>
      <c r="C23" s="11">
        <f>13055.26</f>
        <v>13055.26</v>
      </c>
      <c r="D23" s="11">
        <f t="shared" si="2"/>
        <v>6020.9</v>
      </c>
      <c r="E23" s="12">
        <f t="shared" si="3"/>
        <v>1.4611857596095366</v>
      </c>
      <c r="F23" s="22" t="s">
        <v>45</v>
      </c>
    </row>
    <row r="24" spans="1:6" x14ac:dyDescent="0.25">
      <c r="A24" s="8" t="s">
        <v>15</v>
      </c>
      <c r="B24" s="11">
        <f>23783.96</f>
        <v>23783.96</v>
      </c>
      <c r="C24" s="11">
        <f>19820</f>
        <v>19820</v>
      </c>
      <c r="D24" s="11">
        <f t="shared" si="2"/>
        <v>3963.9599999999991</v>
      </c>
      <c r="E24" s="12">
        <f t="shared" si="3"/>
        <v>1.1999979818365287</v>
      </c>
      <c r="F24" s="5" t="s">
        <v>46</v>
      </c>
    </row>
    <row r="25" spans="1:6" x14ac:dyDescent="0.25">
      <c r="A25" s="8" t="s">
        <v>16</v>
      </c>
      <c r="B25" s="11">
        <f>1681.02</f>
        <v>1681.02</v>
      </c>
      <c r="C25" s="11">
        <f>2402</f>
        <v>2402</v>
      </c>
      <c r="D25" s="11">
        <f t="shared" si="2"/>
        <v>-720.98</v>
      </c>
      <c r="E25" s="12">
        <f t="shared" si="3"/>
        <v>0.69984179850124895</v>
      </c>
      <c r="F25" s="5" t="s">
        <v>46</v>
      </c>
    </row>
    <row r="26" spans="1:6" x14ac:dyDescent="0.25">
      <c r="A26" s="8" t="s">
        <v>17</v>
      </c>
      <c r="B26" s="11">
        <f>4246.4</f>
        <v>4246.3999999999996</v>
      </c>
      <c r="C26" s="11">
        <f>3315</f>
        <v>3315</v>
      </c>
      <c r="D26" s="11">
        <f t="shared" si="2"/>
        <v>931.39999999999964</v>
      </c>
      <c r="E26" s="12">
        <f t="shared" si="3"/>
        <v>1.2809653092006033</v>
      </c>
      <c r="F26" s="5" t="s">
        <v>46</v>
      </c>
    </row>
    <row r="27" spans="1:6" x14ac:dyDescent="0.25">
      <c r="A27" s="8" t="s">
        <v>18</v>
      </c>
      <c r="B27" s="11">
        <f>0</f>
        <v>0</v>
      </c>
      <c r="C27" s="9"/>
      <c r="D27" s="11">
        <f t="shared" si="2"/>
        <v>0</v>
      </c>
      <c r="E27" s="12" t="str">
        <f t="shared" si="3"/>
        <v/>
      </c>
      <c r="F27" s="22" t="s">
        <v>46</v>
      </c>
    </row>
    <row r="28" spans="1:6" x14ac:dyDescent="0.25">
      <c r="A28" s="8" t="s">
        <v>112</v>
      </c>
      <c r="B28" s="11">
        <f>4097.69</f>
        <v>4097.6899999999996</v>
      </c>
      <c r="C28" s="9"/>
      <c r="D28" s="11">
        <f t="shared" si="2"/>
        <v>4097.6899999999996</v>
      </c>
      <c r="E28" s="12" t="str">
        <f t="shared" si="3"/>
        <v/>
      </c>
      <c r="F28" s="22" t="s">
        <v>46</v>
      </c>
    </row>
    <row r="29" spans="1:6" x14ac:dyDescent="0.25">
      <c r="A29" s="8" t="s">
        <v>111</v>
      </c>
      <c r="B29" s="11">
        <f>4056.25</f>
        <v>4056.25</v>
      </c>
      <c r="C29" s="9"/>
      <c r="D29" s="11">
        <f t="shared" si="2"/>
        <v>4056.25</v>
      </c>
      <c r="E29" s="12" t="str">
        <f t="shared" si="3"/>
        <v/>
      </c>
      <c r="F29" s="5" t="s">
        <v>47</v>
      </c>
    </row>
    <row r="30" spans="1:6" x14ac:dyDescent="0.25">
      <c r="A30" s="8" t="s">
        <v>110</v>
      </c>
      <c r="B30" s="11">
        <f>1039.6</f>
        <v>1039.5999999999999</v>
      </c>
      <c r="C30" s="9"/>
      <c r="D30" s="11">
        <f t="shared" si="2"/>
        <v>1039.5999999999999</v>
      </c>
      <c r="E30" s="12" t="str">
        <f t="shared" si="3"/>
        <v/>
      </c>
      <c r="F30" s="5" t="s">
        <v>47</v>
      </c>
    </row>
    <row r="31" spans="1:6" x14ac:dyDescent="0.25">
      <c r="A31" s="8" t="s">
        <v>109</v>
      </c>
      <c r="B31" s="11">
        <f>3500</f>
        <v>3500</v>
      </c>
      <c r="C31" s="9"/>
      <c r="D31" s="11">
        <f t="shared" si="2"/>
        <v>3500</v>
      </c>
      <c r="E31" s="12" t="str">
        <f t="shared" si="3"/>
        <v/>
      </c>
      <c r="F31" s="22" t="s">
        <v>47</v>
      </c>
    </row>
    <row r="32" spans="1:6" x14ac:dyDescent="0.25">
      <c r="A32" s="8" t="s">
        <v>19</v>
      </c>
      <c r="B32" s="11">
        <f>30000</f>
        <v>30000</v>
      </c>
      <c r="C32" s="11">
        <f>32500</f>
        <v>32500</v>
      </c>
      <c r="D32" s="11">
        <f t="shared" si="2"/>
        <v>-2500</v>
      </c>
      <c r="E32" s="12">
        <f t="shared" si="3"/>
        <v>0.92307692307692313</v>
      </c>
      <c r="F32" s="22" t="s">
        <v>47</v>
      </c>
    </row>
    <row r="33" spans="1:6" x14ac:dyDescent="0.25">
      <c r="A33" s="8" t="s">
        <v>108</v>
      </c>
      <c r="B33" s="11">
        <f>1000</f>
        <v>1000</v>
      </c>
      <c r="C33" s="9"/>
      <c r="D33" s="11">
        <f t="shared" si="2"/>
        <v>1000</v>
      </c>
      <c r="E33" s="12" t="str">
        <f t="shared" si="3"/>
        <v/>
      </c>
      <c r="F33" s="22" t="s">
        <v>47</v>
      </c>
    </row>
    <row r="34" spans="1:6" x14ac:dyDescent="0.25">
      <c r="A34" s="8" t="s">
        <v>20</v>
      </c>
      <c r="B34" s="11">
        <f>2400</f>
        <v>2400</v>
      </c>
      <c r="C34" s="9"/>
      <c r="D34" s="11">
        <f t="shared" si="2"/>
        <v>2400</v>
      </c>
      <c r="E34" s="12" t="str">
        <f t="shared" si="3"/>
        <v/>
      </c>
      <c r="F34" s="22" t="s">
        <v>47</v>
      </c>
    </row>
    <row r="35" spans="1:6" x14ac:dyDescent="0.25">
      <c r="A35" s="8" t="s">
        <v>107</v>
      </c>
      <c r="B35" s="11">
        <f>33240.06</f>
        <v>33240.06</v>
      </c>
      <c r="C35" s="11">
        <f>30000</f>
        <v>30000</v>
      </c>
      <c r="D35" s="11">
        <f t="shared" si="2"/>
        <v>3240.0599999999977</v>
      </c>
      <c r="E35" s="12">
        <f t="shared" si="3"/>
        <v>1.1080019999999999</v>
      </c>
      <c r="F35" s="22" t="s">
        <v>47</v>
      </c>
    </row>
    <row r="36" spans="1:6" x14ac:dyDescent="0.25">
      <c r="A36" s="8" t="s">
        <v>21</v>
      </c>
      <c r="B36" s="11">
        <f>921.96</f>
        <v>921.96</v>
      </c>
      <c r="C36" s="11">
        <f>1500</f>
        <v>1500</v>
      </c>
      <c r="D36" s="11">
        <f t="shared" si="2"/>
        <v>-578.04</v>
      </c>
      <c r="E36" s="12">
        <f t="shared" si="3"/>
        <v>0.61464000000000008</v>
      </c>
      <c r="F36" s="22" t="s">
        <v>48</v>
      </c>
    </row>
    <row r="37" spans="1:6" x14ac:dyDescent="0.25">
      <c r="A37" s="8" t="s">
        <v>22</v>
      </c>
      <c r="B37" s="11">
        <f>481.8</f>
        <v>481.8</v>
      </c>
      <c r="C37" s="9"/>
      <c r="D37" s="11">
        <f t="shared" si="2"/>
        <v>481.8</v>
      </c>
      <c r="E37" s="12" t="str">
        <f t="shared" si="3"/>
        <v/>
      </c>
      <c r="F37" s="5" t="s">
        <v>48</v>
      </c>
    </row>
    <row r="38" spans="1:6" x14ac:dyDescent="0.25">
      <c r="A38" s="8" t="s">
        <v>23</v>
      </c>
      <c r="B38" s="11">
        <f>9999.99</f>
        <v>9999.99</v>
      </c>
      <c r="C38" s="11">
        <f>10000</f>
        <v>10000</v>
      </c>
      <c r="D38" s="11">
        <f t="shared" si="2"/>
        <v>-1.0000000000218279E-2</v>
      </c>
      <c r="E38" s="12">
        <f t="shared" si="3"/>
        <v>0.99999899999999997</v>
      </c>
      <c r="F38" s="5" t="s">
        <v>48</v>
      </c>
    </row>
    <row r="39" spans="1:6" x14ac:dyDescent="0.25">
      <c r="A39" s="8" t="s">
        <v>24</v>
      </c>
      <c r="B39" s="11">
        <f>18872.13</f>
        <v>18872.13</v>
      </c>
      <c r="C39" s="11">
        <f>100000</f>
        <v>100000</v>
      </c>
      <c r="D39" s="11">
        <f t="shared" si="2"/>
        <v>-81127.87</v>
      </c>
      <c r="E39" s="12">
        <f t="shared" si="3"/>
        <v>0.18872130000000001</v>
      </c>
      <c r="F39" s="5" t="s">
        <v>48</v>
      </c>
    </row>
    <row r="40" spans="1:6" x14ac:dyDescent="0.25">
      <c r="A40" s="8" t="s">
        <v>106</v>
      </c>
      <c r="B40" s="11">
        <f>648.16</f>
        <v>648.16</v>
      </c>
      <c r="C40" s="9"/>
      <c r="D40" s="11">
        <f t="shared" si="2"/>
        <v>648.16</v>
      </c>
      <c r="E40" s="12" t="str">
        <f t="shared" si="3"/>
        <v/>
      </c>
      <c r="F40" s="5" t="s">
        <v>48</v>
      </c>
    </row>
    <row r="41" spans="1:6" x14ac:dyDescent="0.25">
      <c r="A41" s="8" t="s">
        <v>25</v>
      </c>
      <c r="B41" s="11">
        <f>11290.56</f>
        <v>11290.56</v>
      </c>
      <c r="C41" s="11">
        <f>100000</f>
        <v>100000</v>
      </c>
      <c r="D41" s="11">
        <f t="shared" si="2"/>
        <v>-88709.440000000002</v>
      </c>
      <c r="E41" s="12">
        <f t="shared" si="3"/>
        <v>0.11290559999999999</v>
      </c>
      <c r="F41" s="5" t="s">
        <v>48</v>
      </c>
    </row>
    <row r="42" spans="1:6" x14ac:dyDescent="0.25">
      <c r="A42" s="8" t="s">
        <v>26</v>
      </c>
      <c r="B42" s="11">
        <f>600</f>
        <v>600</v>
      </c>
      <c r="C42" s="9"/>
      <c r="D42" s="11">
        <f t="shared" si="2"/>
        <v>600</v>
      </c>
      <c r="E42" s="12" t="str">
        <f t="shared" si="3"/>
        <v/>
      </c>
      <c r="F42" s="5" t="s">
        <v>48</v>
      </c>
    </row>
    <row r="43" spans="1:6" x14ac:dyDescent="0.25">
      <c r="A43" s="8" t="s">
        <v>27</v>
      </c>
      <c r="B43" s="11">
        <f>12781.14</f>
        <v>12781.14</v>
      </c>
      <c r="C43" s="11">
        <f>53200</f>
        <v>53200</v>
      </c>
      <c r="D43" s="11">
        <f t="shared" si="2"/>
        <v>-40418.86</v>
      </c>
      <c r="E43" s="12">
        <f t="shared" si="3"/>
        <v>0.24024699248120299</v>
      </c>
      <c r="F43" s="5" t="s">
        <v>48</v>
      </c>
    </row>
    <row r="44" spans="1:6" x14ac:dyDescent="0.25">
      <c r="A44" s="8" t="s">
        <v>28</v>
      </c>
      <c r="B44" s="11">
        <f>17191.3</f>
        <v>17191.3</v>
      </c>
      <c r="C44" s="9"/>
      <c r="D44" s="11">
        <f t="shared" si="2"/>
        <v>17191.3</v>
      </c>
      <c r="E44" s="12" t="str">
        <f t="shared" si="3"/>
        <v/>
      </c>
      <c r="F44" s="5" t="s">
        <v>48</v>
      </c>
    </row>
    <row r="45" spans="1:6" x14ac:dyDescent="0.25">
      <c r="A45" s="8" t="s">
        <v>105</v>
      </c>
      <c r="B45" s="11">
        <f>2441.45</f>
        <v>2441.4499999999998</v>
      </c>
      <c r="C45" s="9"/>
      <c r="D45" s="11">
        <f t="shared" si="2"/>
        <v>2441.4499999999998</v>
      </c>
      <c r="E45" s="12" t="str">
        <f t="shared" si="3"/>
        <v/>
      </c>
      <c r="F45" s="5" t="s">
        <v>48</v>
      </c>
    </row>
    <row r="46" spans="1:6" x14ac:dyDescent="0.25">
      <c r="A46" s="8" t="s">
        <v>29</v>
      </c>
      <c r="B46" s="11">
        <f>12231.02</f>
        <v>12231.02</v>
      </c>
      <c r="C46" s="11">
        <f>2000</f>
        <v>2000</v>
      </c>
      <c r="D46" s="11">
        <f t="shared" si="2"/>
        <v>10231.02</v>
      </c>
      <c r="E46" s="12">
        <f t="shared" si="3"/>
        <v>6.1155100000000004</v>
      </c>
      <c r="F46" s="5" t="s">
        <v>48</v>
      </c>
    </row>
    <row r="47" spans="1:6" x14ac:dyDescent="0.25">
      <c r="A47" s="8" t="s">
        <v>30</v>
      </c>
      <c r="B47" s="11">
        <f>4824</f>
        <v>4824</v>
      </c>
      <c r="C47" s="9"/>
      <c r="D47" s="11">
        <f t="shared" si="2"/>
        <v>4824</v>
      </c>
      <c r="E47" s="12" t="str">
        <f t="shared" si="3"/>
        <v/>
      </c>
      <c r="F47" s="5" t="s">
        <v>48</v>
      </c>
    </row>
    <row r="48" spans="1:6" x14ac:dyDescent="0.25">
      <c r="A48" s="8" t="s">
        <v>31</v>
      </c>
      <c r="B48" s="11">
        <f>2242.28</f>
        <v>2242.2800000000002</v>
      </c>
      <c r="C48" s="11">
        <f>5000</f>
        <v>5000</v>
      </c>
      <c r="D48" s="11">
        <f t="shared" si="2"/>
        <v>-2757.72</v>
      </c>
      <c r="E48" s="12">
        <f t="shared" si="3"/>
        <v>0.44845600000000002</v>
      </c>
      <c r="F48" s="5" t="s">
        <v>48</v>
      </c>
    </row>
    <row r="49" spans="1:6" x14ac:dyDescent="0.25">
      <c r="A49" s="8" t="s">
        <v>32</v>
      </c>
      <c r="B49" s="11">
        <f>8212.55</f>
        <v>8212.5499999999993</v>
      </c>
      <c r="C49" s="11">
        <f>5000</f>
        <v>5000</v>
      </c>
      <c r="D49" s="11">
        <f t="shared" si="2"/>
        <v>3212.5499999999993</v>
      </c>
      <c r="E49" s="12">
        <f t="shared" si="3"/>
        <v>1.6425099999999999</v>
      </c>
      <c r="F49" s="5" t="s">
        <v>48</v>
      </c>
    </row>
    <row r="50" spans="1:6" x14ac:dyDescent="0.25">
      <c r="A50" s="8" t="s">
        <v>56</v>
      </c>
      <c r="B50" s="11">
        <f>231</f>
        <v>231</v>
      </c>
      <c r="C50" s="9"/>
      <c r="D50" s="11">
        <f t="shared" si="2"/>
        <v>231</v>
      </c>
      <c r="E50" s="12" t="str">
        <f t="shared" si="3"/>
        <v/>
      </c>
      <c r="F50" s="5" t="s">
        <v>48</v>
      </c>
    </row>
    <row r="51" spans="1:6" x14ac:dyDescent="0.25">
      <c r="A51" s="8" t="s">
        <v>33</v>
      </c>
      <c r="B51" s="11">
        <f>163.6</f>
        <v>163.6</v>
      </c>
      <c r="C51" s="9"/>
      <c r="D51" s="11">
        <f t="shared" si="2"/>
        <v>163.6</v>
      </c>
      <c r="E51" s="12" t="str">
        <f t="shared" si="3"/>
        <v/>
      </c>
      <c r="F51" s="22" t="s">
        <v>48</v>
      </c>
    </row>
    <row r="52" spans="1:6" x14ac:dyDescent="0.25">
      <c r="A52" s="8" t="s">
        <v>34</v>
      </c>
      <c r="B52" s="11">
        <f>9796.07</f>
        <v>9796.07</v>
      </c>
      <c r="C52" s="11">
        <f>3500</f>
        <v>3500</v>
      </c>
      <c r="D52" s="11">
        <f t="shared" si="2"/>
        <v>6296.07</v>
      </c>
      <c r="E52" s="12">
        <f t="shared" si="3"/>
        <v>2.7988771428571426</v>
      </c>
      <c r="F52" s="5" t="s">
        <v>49</v>
      </c>
    </row>
    <row r="53" spans="1:6" x14ac:dyDescent="0.25">
      <c r="A53" s="8" t="s">
        <v>55</v>
      </c>
      <c r="B53" s="11">
        <f>116.7</f>
        <v>116.7</v>
      </c>
      <c r="C53" s="9"/>
      <c r="D53" s="11">
        <f t="shared" si="2"/>
        <v>116.7</v>
      </c>
      <c r="E53" s="12" t="str">
        <f t="shared" si="3"/>
        <v/>
      </c>
      <c r="F53" s="5" t="s">
        <v>49</v>
      </c>
    </row>
    <row r="54" spans="1:6" x14ac:dyDescent="0.25">
      <c r="A54" s="8" t="s">
        <v>35</v>
      </c>
      <c r="B54" s="11">
        <f>60791.98</f>
        <v>60791.98</v>
      </c>
      <c r="C54" s="11">
        <f>57528</f>
        <v>57528</v>
      </c>
      <c r="D54" s="11">
        <f t="shared" si="2"/>
        <v>3263.9800000000032</v>
      </c>
      <c r="E54" s="12">
        <f t="shared" si="3"/>
        <v>1.0567372409956892</v>
      </c>
      <c r="F54" s="5" t="s">
        <v>49</v>
      </c>
    </row>
    <row r="55" spans="1:6" x14ac:dyDescent="0.25">
      <c r="A55" s="8" t="s">
        <v>54</v>
      </c>
      <c r="B55" s="9"/>
      <c r="C55" s="9"/>
      <c r="D55" s="11">
        <f t="shared" si="2"/>
        <v>0</v>
      </c>
      <c r="E55" s="12" t="str">
        <f t="shared" si="3"/>
        <v/>
      </c>
    </row>
    <row r="56" spans="1:6" x14ac:dyDescent="0.25">
      <c r="A56" s="8" t="s">
        <v>53</v>
      </c>
      <c r="B56" s="11">
        <f>0</f>
        <v>0</v>
      </c>
      <c r="C56" s="9"/>
      <c r="D56" s="11">
        <f t="shared" si="2"/>
        <v>0</v>
      </c>
      <c r="E56" s="12" t="str">
        <f t="shared" si="3"/>
        <v/>
      </c>
    </row>
    <row r="57" spans="1:6" x14ac:dyDescent="0.25">
      <c r="A57" s="8" t="s">
        <v>52</v>
      </c>
      <c r="B57" s="13">
        <f>(B55)+(B56)</f>
        <v>0</v>
      </c>
      <c r="C57" s="13">
        <f>(C55)+(C56)</f>
        <v>0</v>
      </c>
      <c r="D57" s="13">
        <f t="shared" si="2"/>
        <v>0</v>
      </c>
      <c r="E57" s="14" t="str">
        <f t="shared" si="3"/>
        <v/>
      </c>
    </row>
    <row r="58" spans="1:6" x14ac:dyDescent="0.25">
      <c r="A58" s="8" t="s">
        <v>36</v>
      </c>
      <c r="B58" s="13">
        <f>((((((((((((((((((((((((((((((((((((((B17)+(B18))+(B19))+(B20))+(B21))+(B22))+(B23))+(B24))+(B25))+(B26))+(B27))+(B28))+(B29))+(B30))+(B31))+(B32))+(B33))+(B34))+(B35))+(B36))+(B37))+(B38))+(B39))+(B40))+(B41))+(B42))+(B43))+(B44))+(B45))+(B46))+(B47))+(B48))+(B49))+(B50))+(B51))+(B52))+(B53))+(B54))+(B57)</f>
        <v>601310.6399999999</v>
      </c>
      <c r="C58" s="13">
        <f>((((((((((((((((((((((((((((((((((((((C17)+(C18))+(C19))+(C20))+(C21))+(C22))+(C23))+(C24))+(C25))+(C26))+(C27))+(C28))+(C29))+(C30))+(C31))+(C32))+(C33))+(C34))+(C35))+(C36))+(C37))+(C38))+(C39))+(C40))+(C41))+(C42))+(C43))+(C44))+(C45))+(C46))+(C47))+(C48))+(C49))+(C50))+(C51))+(C52))+(C53))+(C54))+(C57)</f>
        <v>702046.75</v>
      </c>
      <c r="D58" s="13">
        <f t="shared" si="2"/>
        <v>-100736.1100000001</v>
      </c>
      <c r="E58" s="14">
        <f t="shared" si="3"/>
        <v>0.85651082353133878</v>
      </c>
    </row>
    <row r="59" spans="1:6" x14ac:dyDescent="0.25">
      <c r="A59" s="8" t="s">
        <v>37</v>
      </c>
      <c r="B59" s="13">
        <f>(B15)-(B58)</f>
        <v>408017.84000000008</v>
      </c>
      <c r="C59" s="13">
        <f>(C15)-(C58)</f>
        <v>6153.25</v>
      </c>
      <c r="D59" s="13">
        <f t="shared" si="2"/>
        <v>401864.59000000008</v>
      </c>
      <c r="E59" s="14">
        <f t="shared" si="3"/>
        <v>66.309322715638089</v>
      </c>
    </row>
    <row r="60" spans="1:6" x14ac:dyDescent="0.25">
      <c r="A60" s="8" t="s">
        <v>38</v>
      </c>
      <c r="B60" s="13">
        <f>(B59)+(0)</f>
        <v>408017.84000000008</v>
      </c>
      <c r="C60" s="13">
        <f>(C59)+(0)</f>
        <v>6153.25</v>
      </c>
      <c r="D60" s="13">
        <f t="shared" si="2"/>
        <v>401864.59000000008</v>
      </c>
      <c r="E60" s="14">
        <f t="shared" si="3"/>
        <v>66.309322715638089</v>
      </c>
    </row>
    <row r="61" spans="1:6" x14ac:dyDescent="0.25">
      <c r="A61" s="8"/>
      <c r="B61" s="9"/>
      <c r="C61" s="9"/>
      <c r="D61" s="9"/>
      <c r="E61" s="9"/>
    </row>
    <row r="62" spans="1:6" x14ac:dyDescent="0.25">
      <c r="A62" s="21"/>
      <c r="B62" s="21"/>
      <c r="C62" s="21"/>
      <c r="D62" s="21"/>
      <c r="E62" s="21"/>
    </row>
    <row r="63" spans="1:6" x14ac:dyDescent="0.25">
      <c r="A63" s="21"/>
      <c r="B63" s="21"/>
      <c r="C63" s="21"/>
      <c r="D63" s="21"/>
      <c r="E63" s="21"/>
    </row>
    <row r="64" spans="1:6" x14ac:dyDescent="0.25">
      <c r="A64" s="77" t="s">
        <v>104</v>
      </c>
      <c r="B64" s="75"/>
      <c r="C64" s="75"/>
      <c r="D64" s="75"/>
      <c r="E64" s="75"/>
    </row>
    <row r="65" spans="1:5" x14ac:dyDescent="0.25">
      <c r="A65" s="21"/>
      <c r="B65" s="21"/>
      <c r="C65" s="21"/>
      <c r="D65" s="21"/>
      <c r="E65" s="21"/>
    </row>
  </sheetData>
  <mergeCells count="5">
    <mergeCell ref="B5:E5"/>
    <mergeCell ref="A1:E1"/>
    <mergeCell ref="A2:E2"/>
    <mergeCell ref="A3:E3"/>
    <mergeCell ref="A64:E6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84C7C-FF88-44F3-9136-32450BF6B165}">
  <dimension ref="A1:B52"/>
  <sheetViews>
    <sheetView workbookViewId="0">
      <selection activeCell="B22" sqref="B22"/>
    </sheetView>
  </sheetViews>
  <sheetFormatPr defaultColWidth="8.75" defaultRowHeight="15" x14ac:dyDescent="0.25"/>
  <cols>
    <col min="1" max="1" width="40.25" style="5" customWidth="1"/>
    <col min="2" max="2" width="23.25" style="5" customWidth="1"/>
    <col min="3" max="16384" width="8.75" style="5"/>
  </cols>
  <sheetData>
    <row r="1" spans="1:2" ht="18" x14ac:dyDescent="0.25">
      <c r="A1" s="74" t="s">
        <v>97</v>
      </c>
      <c r="B1" s="75"/>
    </row>
    <row r="2" spans="1:2" ht="18" x14ac:dyDescent="0.25">
      <c r="A2" s="74" t="s">
        <v>96</v>
      </c>
      <c r="B2" s="75"/>
    </row>
    <row r="3" spans="1:2" x14ac:dyDescent="0.25">
      <c r="A3" s="76" t="s">
        <v>95</v>
      </c>
      <c r="B3" s="75"/>
    </row>
    <row r="4" spans="1:2" x14ac:dyDescent="0.25">
      <c r="A4" s="21"/>
      <c r="B4" s="21"/>
    </row>
    <row r="5" spans="1:2" x14ac:dyDescent="0.25">
      <c r="A5" s="20"/>
      <c r="B5" s="19" t="s">
        <v>0</v>
      </c>
    </row>
    <row r="6" spans="1:2" x14ac:dyDescent="0.25">
      <c r="A6" s="8" t="s">
        <v>94</v>
      </c>
      <c r="B6" s="9"/>
    </row>
    <row r="7" spans="1:2" x14ac:dyDescent="0.25">
      <c r="A7" s="8" t="s">
        <v>93</v>
      </c>
      <c r="B7" s="9"/>
    </row>
    <row r="8" spans="1:2" x14ac:dyDescent="0.25">
      <c r="A8" s="8" t="s">
        <v>92</v>
      </c>
      <c r="B8" s="9"/>
    </row>
    <row r="9" spans="1:2" x14ac:dyDescent="0.25">
      <c r="A9" s="8" t="s">
        <v>103</v>
      </c>
      <c r="B9" s="11">
        <f>123578.55</f>
        <v>123578.55</v>
      </c>
    </row>
    <row r="10" spans="1:2" x14ac:dyDescent="0.25">
      <c r="A10" s="8" t="s">
        <v>102</v>
      </c>
      <c r="B10" s="11">
        <f>1869.93</f>
        <v>1869.93</v>
      </c>
    </row>
    <row r="11" spans="1:2" x14ac:dyDescent="0.25">
      <c r="A11" s="8" t="s">
        <v>101</v>
      </c>
      <c r="B11" s="11">
        <f>1095.31</f>
        <v>1095.31</v>
      </c>
    </row>
    <row r="12" spans="1:2" x14ac:dyDescent="0.25">
      <c r="A12" s="8" t="s">
        <v>91</v>
      </c>
      <c r="B12" s="13">
        <f>((B9)+(B10))+(B11)</f>
        <v>126543.79</v>
      </c>
    </row>
    <row r="13" spans="1:2" x14ac:dyDescent="0.25">
      <c r="A13" s="8" t="s">
        <v>90</v>
      </c>
      <c r="B13" s="9"/>
    </row>
    <row r="14" spans="1:2" x14ac:dyDescent="0.25">
      <c r="A14" s="8" t="s">
        <v>89</v>
      </c>
      <c r="B14" s="11">
        <f>349600.54</f>
        <v>349600.54</v>
      </c>
    </row>
    <row r="15" spans="1:2" x14ac:dyDescent="0.25">
      <c r="A15" s="8" t="s">
        <v>88</v>
      </c>
      <c r="B15" s="13">
        <f>B14</f>
        <v>349600.54</v>
      </c>
    </row>
    <row r="16" spans="1:2" x14ac:dyDescent="0.25">
      <c r="A16" s="8" t="s">
        <v>87</v>
      </c>
      <c r="B16" s="9"/>
    </row>
    <row r="17" spans="1:2" x14ac:dyDescent="0.25">
      <c r="A17" s="8" t="s">
        <v>86</v>
      </c>
      <c r="B17" s="11">
        <f>40563.46</f>
        <v>40563.46</v>
      </c>
    </row>
    <row r="18" spans="1:2" x14ac:dyDescent="0.25">
      <c r="A18" s="8" t="s">
        <v>85</v>
      </c>
      <c r="B18" s="13">
        <f>B17</f>
        <v>40563.46</v>
      </c>
    </row>
    <row r="19" spans="1:2" x14ac:dyDescent="0.25">
      <c r="A19" s="8" t="s">
        <v>84</v>
      </c>
      <c r="B19" s="13">
        <f>((B12)+(B15))+(B18)</f>
        <v>516707.79</v>
      </c>
    </row>
    <row r="20" spans="1:2" x14ac:dyDescent="0.25">
      <c r="A20" s="8" t="s">
        <v>83</v>
      </c>
      <c r="B20" s="9"/>
    </row>
    <row r="21" spans="1:2" x14ac:dyDescent="0.25">
      <c r="A21" s="8" t="s">
        <v>82</v>
      </c>
      <c r="B21" s="11">
        <f>35656.51</f>
        <v>35656.51</v>
      </c>
    </row>
    <row r="22" spans="1:2" x14ac:dyDescent="0.25">
      <c r="A22" s="8" t="s">
        <v>81</v>
      </c>
      <c r="B22" s="11">
        <f>106222.74</f>
        <v>106222.74</v>
      </c>
    </row>
    <row r="23" spans="1:2" x14ac:dyDescent="0.25">
      <c r="A23" s="8" t="s">
        <v>80</v>
      </c>
      <c r="B23" s="11">
        <f>68838.42</f>
        <v>68838.42</v>
      </c>
    </row>
    <row r="24" spans="1:2" x14ac:dyDescent="0.25">
      <c r="A24" s="8" t="s">
        <v>79</v>
      </c>
      <c r="B24" s="13">
        <f>((B21)+(B22))+(B23)</f>
        <v>210717.66999999998</v>
      </c>
    </row>
    <row r="25" spans="1:2" x14ac:dyDescent="0.25">
      <c r="A25" s="8" t="s">
        <v>78</v>
      </c>
      <c r="B25" s="13">
        <f>(B19)+(B24)</f>
        <v>727425.46</v>
      </c>
    </row>
    <row r="26" spans="1:2" x14ac:dyDescent="0.25">
      <c r="A26" s="8" t="s">
        <v>77</v>
      </c>
      <c r="B26" s="9"/>
    </row>
    <row r="27" spans="1:2" x14ac:dyDescent="0.25">
      <c r="A27" s="8" t="s">
        <v>76</v>
      </c>
      <c r="B27" s="9"/>
    </row>
    <row r="28" spans="1:2" x14ac:dyDescent="0.25">
      <c r="A28" s="8" t="s">
        <v>75</v>
      </c>
      <c r="B28" s="9"/>
    </row>
    <row r="29" spans="1:2" x14ac:dyDescent="0.25">
      <c r="A29" s="8" t="s">
        <v>74</v>
      </c>
      <c r="B29" s="9"/>
    </row>
    <row r="30" spans="1:2" x14ac:dyDescent="0.25">
      <c r="A30" s="8" t="s">
        <v>73</v>
      </c>
      <c r="B30" s="11">
        <f>12810.91</f>
        <v>12810.91</v>
      </c>
    </row>
    <row r="31" spans="1:2" x14ac:dyDescent="0.25">
      <c r="A31" s="8" t="s">
        <v>72</v>
      </c>
      <c r="B31" s="13">
        <f>B30</f>
        <v>12810.91</v>
      </c>
    </row>
    <row r="32" spans="1:2" x14ac:dyDescent="0.25">
      <c r="A32" s="8" t="s">
        <v>71</v>
      </c>
      <c r="B32" s="9"/>
    </row>
    <row r="33" spans="1:2" x14ac:dyDescent="0.25">
      <c r="A33" s="8" t="s">
        <v>100</v>
      </c>
      <c r="B33" s="11">
        <f>38176.73</f>
        <v>38176.730000000003</v>
      </c>
    </row>
    <row r="34" spans="1:2" x14ac:dyDescent="0.25">
      <c r="A34" s="8" t="s">
        <v>70</v>
      </c>
      <c r="B34" s="11">
        <f>1555.9</f>
        <v>1555.9</v>
      </c>
    </row>
    <row r="35" spans="1:2" x14ac:dyDescent="0.25">
      <c r="A35" s="8" t="s">
        <v>99</v>
      </c>
      <c r="B35" s="11">
        <f>104661.66</f>
        <v>104661.66</v>
      </c>
    </row>
    <row r="36" spans="1:2" x14ac:dyDescent="0.25">
      <c r="A36" s="8" t="s">
        <v>69</v>
      </c>
      <c r="B36" s="13">
        <f>((B33)+(B34))+(B35)</f>
        <v>144394.29</v>
      </c>
    </row>
    <row r="37" spans="1:2" x14ac:dyDescent="0.25">
      <c r="A37" s="8" t="s">
        <v>68</v>
      </c>
      <c r="B37" s="13">
        <f>(B31)+(B36)</f>
        <v>157205.20000000001</v>
      </c>
    </row>
    <row r="38" spans="1:2" x14ac:dyDescent="0.25">
      <c r="A38" s="8" t="s">
        <v>67</v>
      </c>
      <c r="B38" s="9"/>
    </row>
    <row r="39" spans="1:2" x14ac:dyDescent="0.25">
      <c r="A39" s="8" t="s">
        <v>66</v>
      </c>
      <c r="B39" s="11">
        <f>50000</f>
        <v>50000</v>
      </c>
    </row>
    <row r="40" spans="1:2" x14ac:dyDescent="0.25">
      <c r="A40" s="8" t="s">
        <v>65</v>
      </c>
      <c r="B40" s="13">
        <f>B39</f>
        <v>50000</v>
      </c>
    </row>
    <row r="41" spans="1:2" x14ac:dyDescent="0.25">
      <c r="A41" s="8" t="s">
        <v>64</v>
      </c>
      <c r="B41" s="13">
        <f>(B37)+(B40)</f>
        <v>207205.2</v>
      </c>
    </row>
    <row r="42" spans="1:2" x14ac:dyDescent="0.25">
      <c r="A42" s="8" t="s">
        <v>63</v>
      </c>
      <c r="B42" s="9"/>
    </row>
    <row r="43" spans="1:2" x14ac:dyDescent="0.25">
      <c r="A43" s="8" t="s">
        <v>62</v>
      </c>
      <c r="B43" s="11">
        <f>108202.42</f>
        <v>108202.42</v>
      </c>
    </row>
    <row r="44" spans="1:2" x14ac:dyDescent="0.25">
      <c r="A44" s="8" t="s">
        <v>61</v>
      </c>
      <c r="B44" s="11">
        <f>4000</f>
        <v>4000</v>
      </c>
    </row>
    <row r="45" spans="1:2" x14ac:dyDescent="0.25">
      <c r="A45" s="8" t="s">
        <v>60</v>
      </c>
      <c r="B45" s="11">
        <f>408017.84</f>
        <v>408017.84</v>
      </c>
    </row>
    <row r="46" spans="1:2" x14ac:dyDescent="0.25">
      <c r="A46" s="8" t="s">
        <v>59</v>
      </c>
      <c r="B46" s="13">
        <f>((B43)+(B44))+(B45)</f>
        <v>520220.26</v>
      </c>
    </row>
    <row r="47" spans="1:2" x14ac:dyDescent="0.25">
      <c r="A47" s="8" t="s">
        <v>58</v>
      </c>
      <c r="B47" s="13">
        <f>(B41)+(B46)</f>
        <v>727425.46</v>
      </c>
    </row>
    <row r="48" spans="1:2" x14ac:dyDescent="0.25">
      <c r="A48" s="8"/>
      <c r="B48" s="9"/>
    </row>
    <row r="49" spans="1:2" x14ac:dyDescent="0.25">
      <c r="A49" s="21"/>
      <c r="B49" s="21"/>
    </row>
    <row r="50" spans="1:2" x14ac:dyDescent="0.25">
      <c r="A50" s="21"/>
      <c r="B50" s="21"/>
    </row>
    <row r="51" spans="1:2" x14ac:dyDescent="0.25">
      <c r="A51" s="77" t="s">
        <v>98</v>
      </c>
      <c r="B51" s="75"/>
    </row>
    <row r="52" spans="1:2" x14ac:dyDescent="0.25">
      <c r="A52" s="21"/>
      <c r="B52" s="21"/>
    </row>
  </sheetData>
  <mergeCells count="4">
    <mergeCell ref="A1:B1"/>
    <mergeCell ref="A2:B2"/>
    <mergeCell ref="A3:B3"/>
    <mergeCell ref="A51:B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31938-88D6-467F-A721-C6E9AFFC93E0}">
  <dimension ref="A1:B55"/>
  <sheetViews>
    <sheetView topLeftCell="A25" workbookViewId="0">
      <selection activeCell="C1" sqref="C1"/>
    </sheetView>
  </sheetViews>
  <sheetFormatPr defaultRowHeight="15" x14ac:dyDescent="0.25"/>
  <cols>
    <col min="1" max="1" width="39.125" style="25" customWidth="1"/>
    <col min="2" max="2" width="21.75" style="25" customWidth="1"/>
    <col min="3" max="16384" width="9" style="25"/>
  </cols>
  <sheetData>
    <row r="1" spans="1:2" ht="18" x14ac:dyDescent="0.25">
      <c r="A1" s="74" t="s">
        <v>97</v>
      </c>
      <c r="B1" s="75"/>
    </row>
    <row r="2" spans="1:2" ht="18" x14ac:dyDescent="0.25">
      <c r="A2" s="74" t="s">
        <v>96</v>
      </c>
      <c r="B2" s="75"/>
    </row>
    <row r="3" spans="1:2" x14ac:dyDescent="0.25">
      <c r="A3" s="76" t="s">
        <v>126</v>
      </c>
      <c r="B3" s="75"/>
    </row>
    <row r="5" spans="1:2" x14ac:dyDescent="0.25">
      <c r="A5" s="24"/>
      <c r="B5" s="23" t="s">
        <v>0</v>
      </c>
    </row>
    <row r="6" spans="1:2" x14ac:dyDescent="0.25">
      <c r="A6" s="8" t="s">
        <v>94</v>
      </c>
      <c r="B6" s="9"/>
    </row>
    <row r="7" spans="1:2" x14ac:dyDescent="0.25">
      <c r="A7" s="8" t="s">
        <v>93</v>
      </c>
      <c r="B7" s="9"/>
    </row>
    <row r="8" spans="1:2" x14ac:dyDescent="0.25">
      <c r="A8" s="8" t="s">
        <v>92</v>
      </c>
      <c r="B8" s="9"/>
    </row>
    <row r="9" spans="1:2" x14ac:dyDescent="0.25">
      <c r="A9" s="8" t="s">
        <v>103</v>
      </c>
      <c r="B9" s="11">
        <f>307300.6</f>
        <v>307300.59999999998</v>
      </c>
    </row>
    <row r="10" spans="1:2" x14ac:dyDescent="0.25">
      <c r="A10" s="8" t="s">
        <v>102</v>
      </c>
      <c r="B10" s="11">
        <f>1869.93</f>
        <v>1869.93</v>
      </c>
    </row>
    <row r="11" spans="1:2" x14ac:dyDescent="0.25">
      <c r="A11" s="8" t="s">
        <v>101</v>
      </c>
      <c r="B11" s="11">
        <f>1095.31</f>
        <v>1095.31</v>
      </c>
    </row>
    <row r="12" spans="1:2" x14ac:dyDescent="0.25">
      <c r="A12" s="8" t="s">
        <v>91</v>
      </c>
      <c r="B12" s="13">
        <f>((B9)+(B10))+(B11)</f>
        <v>310265.83999999997</v>
      </c>
    </row>
    <row r="13" spans="1:2" x14ac:dyDescent="0.25">
      <c r="A13" s="8" t="s">
        <v>90</v>
      </c>
      <c r="B13" s="9"/>
    </row>
    <row r="14" spans="1:2" x14ac:dyDescent="0.25">
      <c r="A14" s="8" t="s">
        <v>89</v>
      </c>
      <c r="B14" s="11">
        <f>220538.08</f>
        <v>220538.08</v>
      </c>
    </row>
    <row r="15" spans="1:2" x14ac:dyDescent="0.25">
      <c r="A15" s="8" t="s">
        <v>88</v>
      </c>
      <c r="B15" s="13">
        <f>B14</f>
        <v>220538.08</v>
      </c>
    </row>
    <row r="16" spans="1:2" x14ac:dyDescent="0.25">
      <c r="A16" s="8" t="s">
        <v>87</v>
      </c>
      <c r="B16" s="9"/>
    </row>
    <row r="17" spans="1:2" x14ac:dyDescent="0.25">
      <c r="A17" s="8" t="s">
        <v>86</v>
      </c>
      <c r="B17" s="11">
        <f>18803.69</f>
        <v>18803.689999999999</v>
      </c>
    </row>
    <row r="18" spans="1:2" x14ac:dyDescent="0.25">
      <c r="A18" s="8" t="s">
        <v>85</v>
      </c>
      <c r="B18" s="13">
        <f>B17</f>
        <v>18803.689999999999</v>
      </c>
    </row>
    <row r="19" spans="1:2" x14ac:dyDescent="0.25">
      <c r="A19" s="8" t="s">
        <v>84</v>
      </c>
      <c r="B19" s="13">
        <f>((B12)+(B15))+(B18)</f>
        <v>549607.60999999987</v>
      </c>
    </row>
    <row r="20" spans="1:2" x14ac:dyDescent="0.25">
      <c r="A20" s="8" t="s">
        <v>83</v>
      </c>
      <c r="B20" s="9"/>
    </row>
    <row r="21" spans="1:2" x14ac:dyDescent="0.25">
      <c r="A21" s="8" t="s">
        <v>82</v>
      </c>
      <c r="B21" s="11">
        <f>41233</f>
        <v>41233</v>
      </c>
    </row>
    <row r="22" spans="1:2" x14ac:dyDescent="0.25">
      <c r="A22" s="8" t="s">
        <v>81</v>
      </c>
      <c r="B22" s="11">
        <f>106222.74</f>
        <v>106222.74</v>
      </c>
    </row>
    <row r="23" spans="1:2" x14ac:dyDescent="0.25">
      <c r="A23" s="8" t="s">
        <v>80</v>
      </c>
      <c r="B23" s="11">
        <f>68838.42</f>
        <v>68838.42</v>
      </c>
    </row>
    <row r="24" spans="1:2" x14ac:dyDescent="0.25">
      <c r="A24" s="8" t="s">
        <v>125</v>
      </c>
      <c r="B24" s="11">
        <f>9175.94</f>
        <v>9175.94</v>
      </c>
    </row>
    <row r="25" spans="1:2" x14ac:dyDescent="0.25">
      <c r="A25" s="8" t="s">
        <v>79</v>
      </c>
      <c r="B25" s="13">
        <f>(((B21)+(B22))+(B23))+(B24)</f>
        <v>225470.09999999998</v>
      </c>
    </row>
    <row r="26" spans="1:2" x14ac:dyDescent="0.25">
      <c r="A26" s="8" t="s">
        <v>78</v>
      </c>
      <c r="B26" s="13">
        <f>(B19)+(B25)</f>
        <v>775077.70999999985</v>
      </c>
    </row>
    <row r="27" spans="1:2" x14ac:dyDescent="0.25">
      <c r="A27" s="8" t="s">
        <v>77</v>
      </c>
      <c r="B27" s="9"/>
    </row>
    <row r="28" spans="1:2" x14ac:dyDescent="0.25">
      <c r="A28" s="8" t="s">
        <v>76</v>
      </c>
      <c r="B28" s="9"/>
    </row>
    <row r="29" spans="1:2" x14ac:dyDescent="0.25">
      <c r="A29" s="8" t="s">
        <v>75</v>
      </c>
      <c r="B29" s="9"/>
    </row>
    <row r="30" spans="1:2" x14ac:dyDescent="0.25">
      <c r="A30" s="8" t="s">
        <v>74</v>
      </c>
      <c r="B30" s="9"/>
    </row>
    <row r="31" spans="1:2" x14ac:dyDescent="0.25">
      <c r="A31" s="8" t="s">
        <v>73</v>
      </c>
      <c r="B31" s="11">
        <f>122451.47</f>
        <v>122451.47</v>
      </c>
    </row>
    <row r="32" spans="1:2" x14ac:dyDescent="0.25">
      <c r="A32" s="8" t="s">
        <v>72</v>
      </c>
      <c r="B32" s="13">
        <f>B31</f>
        <v>122451.47</v>
      </c>
    </row>
    <row r="33" spans="1:2" x14ac:dyDescent="0.25">
      <c r="A33" s="8" t="s">
        <v>71</v>
      </c>
      <c r="B33" s="9"/>
    </row>
    <row r="34" spans="1:2" x14ac:dyDescent="0.25">
      <c r="A34" s="8" t="s">
        <v>100</v>
      </c>
      <c r="B34" s="11">
        <f>40330.3</f>
        <v>40330.300000000003</v>
      </c>
    </row>
    <row r="35" spans="1:2" x14ac:dyDescent="0.25">
      <c r="A35" s="8" t="s">
        <v>124</v>
      </c>
      <c r="B35" s="11">
        <f>12120.07</f>
        <v>12120.07</v>
      </c>
    </row>
    <row r="36" spans="1:2" x14ac:dyDescent="0.25">
      <c r="A36" s="8" t="s">
        <v>123</v>
      </c>
      <c r="B36" s="11">
        <f>-21037</f>
        <v>-21037</v>
      </c>
    </row>
    <row r="37" spans="1:2" x14ac:dyDescent="0.25">
      <c r="A37" s="8" t="s">
        <v>122</v>
      </c>
      <c r="B37" s="11">
        <f>44.67</f>
        <v>44.67</v>
      </c>
    </row>
    <row r="38" spans="1:2" x14ac:dyDescent="0.25">
      <c r="A38" s="8" t="s">
        <v>70</v>
      </c>
      <c r="B38" s="11">
        <f>7354.17</f>
        <v>7354.17</v>
      </c>
    </row>
    <row r="39" spans="1:2" x14ac:dyDescent="0.25">
      <c r="A39" s="8" t="s">
        <v>99</v>
      </c>
      <c r="B39" s="11">
        <f>104661.66</f>
        <v>104661.66</v>
      </c>
    </row>
    <row r="40" spans="1:2" x14ac:dyDescent="0.25">
      <c r="A40" s="8" t="s">
        <v>69</v>
      </c>
      <c r="B40" s="13">
        <f>(((((B34)+(B35))+(B36))+(B37))+(B38))+(B39)</f>
        <v>143473.87</v>
      </c>
    </row>
    <row r="41" spans="1:2" x14ac:dyDescent="0.25">
      <c r="A41" s="8" t="s">
        <v>68</v>
      </c>
      <c r="B41" s="13">
        <f>(B32)+(B40)</f>
        <v>265925.33999999997</v>
      </c>
    </row>
    <row r="42" spans="1:2" x14ac:dyDescent="0.25">
      <c r="A42" s="8" t="s">
        <v>67</v>
      </c>
      <c r="B42" s="9"/>
    </row>
    <row r="43" spans="1:2" x14ac:dyDescent="0.25">
      <c r="A43" s="8" t="s">
        <v>66</v>
      </c>
      <c r="B43" s="11">
        <f>50000</f>
        <v>50000</v>
      </c>
    </row>
    <row r="44" spans="1:2" x14ac:dyDescent="0.25">
      <c r="A44" s="8" t="s">
        <v>65</v>
      </c>
      <c r="B44" s="13">
        <f>B43</f>
        <v>50000</v>
      </c>
    </row>
    <row r="45" spans="1:2" x14ac:dyDescent="0.25">
      <c r="A45" s="8" t="s">
        <v>64</v>
      </c>
      <c r="B45" s="13">
        <f>(B41)+(B44)</f>
        <v>315925.33999999997</v>
      </c>
    </row>
    <row r="46" spans="1:2" x14ac:dyDescent="0.25">
      <c r="A46" s="8" t="s">
        <v>63</v>
      </c>
      <c r="B46" s="9"/>
    </row>
    <row r="47" spans="1:2" x14ac:dyDescent="0.25">
      <c r="A47" s="8" t="s">
        <v>62</v>
      </c>
      <c r="B47" s="11">
        <f>451967.85</f>
        <v>451967.85</v>
      </c>
    </row>
    <row r="48" spans="1:2" x14ac:dyDescent="0.25">
      <c r="A48" s="8" t="s">
        <v>61</v>
      </c>
      <c r="B48" s="11">
        <f>4000</f>
        <v>4000</v>
      </c>
    </row>
    <row r="49" spans="1:2" x14ac:dyDescent="0.25">
      <c r="A49" s="8" t="s">
        <v>60</v>
      </c>
      <c r="B49" s="11">
        <f>3184.52</f>
        <v>3184.52</v>
      </c>
    </row>
    <row r="50" spans="1:2" x14ac:dyDescent="0.25">
      <c r="A50" s="8" t="s">
        <v>59</v>
      </c>
      <c r="B50" s="13">
        <f>((B47)+(B48))+(B49)</f>
        <v>459152.37</v>
      </c>
    </row>
    <row r="51" spans="1:2" x14ac:dyDescent="0.25">
      <c r="A51" s="8" t="s">
        <v>58</v>
      </c>
      <c r="B51" s="13">
        <f>(B45)+(B50)</f>
        <v>775077.71</v>
      </c>
    </row>
    <row r="52" spans="1:2" x14ac:dyDescent="0.25">
      <c r="A52" s="8"/>
      <c r="B52" s="9"/>
    </row>
    <row r="55" spans="1:2" x14ac:dyDescent="0.25">
      <c r="A55" s="77" t="s">
        <v>121</v>
      </c>
      <c r="B55" s="75"/>
    </row>
  </sheetData>
  <mergeCells count="4">
    <mergeCell ref="A55:B55"/>
    <mergeCell ref="A1:B1"/>
    <mergeCell ref="A2:B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7347F-1837-40C4-8F73-D19E22A61AED}">
  <dimension ref="A1:F90"/>
  <sheetViews>
    <sheetView topLeftCell="A50" workbookViewId="0">
      <selection activeCell="B85" sqref="B85"/>
    </sheetView>
  </sheetViews>
  <sheetFormatPr defaultRowHeight="15" x14ac:dyDescent="0.25"/>
  <cols>
    <col min="1" max="1" width="38.375" style="25" customWidth="1"/>
    <col min="2" max="2" width="9" style="25" customWidth="1"/>
    <col min="3" max="3" width="10.5" style="25" customWidth="1"/>
    <col min="4" max="4" width="12" style="25" customWidth="1"/>
    <col min="5" max="5" width="9" style="25" customWidth="1"/>
    <col min="6" max="16384" width="9" style="25"/>
  </cols>
  <sheetData>
    <row r="1" spans="1:6" ht="18" x14ac:dyDescent="0.25">
      <c r="A1" s="74" t="s">
        <v>97</v>
      </c>
      <c r="B1" s="75"/>
      <c r="C1" s="75"/>
      <c r="D1" s="75"/>
      <c r="E1" s="75"/>
    </row>
    <row r="2" spans="1:6" ht="18" x14ac:dyDescent="0.25">
      <c r="A2" s="74" t="s">
        <v>165</v>
      </c>
      <c r="B2" s="75"/>
      <c r="C2" s="75"/>
      <c r="D2" s="75"/>
      <c r="E2" s="75"/>
    </row>
    <row r="3" spans="1:6" x14ac:dyDescent="0.25">
      <c r="A3" s="76" t="s">
        <v>164</v>
      </c>
      <c r="B3" s="75"/>
      <c r="C3" s="75"/>
      <c r="D3" s="75"/>
      <c r="E3" s="75"/>
    </row>
    <row r="5" spans="1:6" x14ac:dyDescent="0.25">
      <c r="A5" s="24"/>
      <c r="B5" s="72" t="s">
        <v>0</v>
      </c>
      <c r="C5" s="73"/>
      <c r="D5" s="73"/>
      <c r="E5" s="73"/>
    </row>
    <row r="6" spans="1:6" ht="24.75" x14ac:dyDescent="0.25">
      <c r="A6" s="24"/>
      <c r="B6" s="23" t="s">
        <v>1</v>
      </c>
      <c r="C6" s="23" t="s">
        <v>2</v>
      </c>
      <c r="D6" s="23" t="s">
        <v>3</v>
      </c>
      <c r="E6" s="23" t="s">
        <v>4</v>
      </c>
    </row>
    <row r="7" spans="1:6" x14ac:dyDescent="0.25">
      <c r="A7" s="8" t="s">
        <v>5</v>
      </c>
      <c r="B7" s="9"/>
      <c r="C7" s="9"/>
      <c r="D7" s="9"/>
      <c r="E7" s="9"/>
    </row>
    <row r="8" spans="1:6" x14ac:dyDescent="0.25">
      <c r="A8" s="8" t="s">
        <v>6</v>
      </c>
      <c r="B8" s="11">
        <f>154.5</f>
        <v>154.5</v>
      </c>
      <c r="C8" s="11">
        <f>25000</f>
        <v>25000</v>
      </c>
      <c r="D8" s="11">
        <f t="shared" ref="D8:D25" si="0">(B8)-(C8)</f>
        <v>-24845.5</v>
      </c>
      <c r="E8" s="12">
        <f t="shared" ref="E8:E25" si="1">IF(C8=0,"",(B8)/(C8))</f>
        <v>6.1799999999999997E-3</v>
      </c>
      <c r="F8" s="25" t="str">
        <f>VLOOKUP(A8,'BvA Aug 21'!A:F,6,FALSE)</f>
        <v>Local Support</v>
      </c>
    </row>
    <row r="9" spans="1:6" x14ac:dyDescent="0.25">
      <c r="A9" s="8" t="s">
        <v>7</v>
      </c>
      <c r="B9" s="9"/>
      <c r="C9" s="11">
        <f>7050</f>
        <v>7050</v>
      </c>
      <c r="D9" s="11">
        <f t="shared" si="0"/>
        <v>-7050</v>
      </c>
      <c r="E9" s="12">
        <f t="shared" si="1"/>
        <v>0</v>
      </c>
      <c r="F9" s="25" t="str">
        <f>VLOOKUP(A9,'BvA Aug 21'!A:F,6,FALSE)</f>
        <v>Local Support</v>
      </c>
    </row>
    <row r="10" spans="1:6" x14ac:dyDescent="0.25">
      <c r="A10" s="8" t="s">
        <v>8</v>
      </c>
      <c r="B10" s="11">
        <f>5000</f>
        <v>5000</v>
      </c>
      <c r="C10" s="11">
        <f>241000</f>
        <v>241000</v>
      </c>
      <c r="D10" s="11">
        <f t="shared" si="0"/>
        <v>-236000</v>
      </c>
      <c r="E10" s="12">
        <f t="shared" si="1"/>
        <v>2.0746887966804978E-2</v>
      </c>
      <c r="F10" s="25" t="str">
        <f>VLOOKUP(A10,'BvA Aug 21'!A:F,6,FALSE)</f>
        <v>Grants &amp; Other Sources</v>
      </c>
    </row>
    <row r="11" spans="1:6" x14ac:dyDescent="0.25">
      <c r="A11" s="8" t="s">
        <v>163</v>
      </c>
      <c r="B11" s="11">
        <f>88924.9</f>
        <v>88924.9</v>
      </c>
      <c r="C11" s="11">
        <f>989953.75</f>
        <v>989953.75</v>
      </c>
      <c r="D11" s="11">
        <f t="shared" si="0"/>
        <v>-901028.85</v>
      </c>
      <c r="E11" s="12">
        <f t="shared" si="1"/>
        <v>8.9827327791828657E-2</v>
      </c>
      <c r="F11" s="25" t="s">
        <v>41</v>
      </c>
    </row>
    <row r="12" spans="1:6" x14ac:dyDescent="0.25">
      <c r="A12" s="8" t="s">
        <v>162</v>
      </c>
      <c r="B12" s="11">
        <f>2160.08</f>
        <v>2160.08</v>
      </c>
      <c r="C12" s="11">
        <f>24001.51</f>
        <v>24001.51</v>
      </c>
      <c r="D12" s="11">
        <f t="shared" si="0"/>
        <v>-21841.43</v>
      </c>
      <c r="E12" s="12">
        <f t="shared" si="1"/>
        <v>8.9997670979867522E-2</v>
      </c>
      <c r="F12" s="25" t="s">
        <v>42</v>
      </c>
    </row>
    <row r="13" spans="1:6" x14ac:dyDescent="0.25">
      <c r="A13" s="8" t="s">
        <v>161</v>
      </c>
      <c r="B13" s="11">
        <f>11053.33</f>
        <v>11053.33</v>
      </c>
      <c r="C13" s="11">
        <f>122818.22</f>
        <v>122818.22</v>
      </c>
      <c r="D13" s="11">
        <f t="shared" si="0"/>
        <v>-111764.89</v>
      </c>
      <c r="E13" s="12">
        <f t="shared" si="1"/>
        <v>8.9997477572952941E-2</v>
      </c>
      <c r="F13" s="25" t="s">
        <v>42</v>
      </c>
    </row>
    <row r="14" spans="1:6" x14ac:dyDescent="0.25">
      <c r="A14" s="8" t="s">
        <v>160</v>
      </c>
      <c r="B14" s="9"/>
      <c r="C14" s="11">
        <f>29741.78</f>
        <v>29741.78</v>
      </c>
      <c r="D14" s="11">
        <f t="shared" si="0"/>
        <v>-29741.78</v>
      </c>
      <c r="E14" s="12">
        <f t="shared" si="1"/>
        <v>0</v>
      </c>
      <c r="F14" s="25" t="s">
        <v>42</v>
      </c>
    </row>
    <row r="15" spans="1:6" x14ac:dyDescent="0.25">
      <c r="A15" s="8" t="s">
        <v>159</v>
      </c>
      <c r="B15" s="9"/>
      <c r="C15" s="11">
        <f>6342.8</f>
        <v>6342.8</v>
      </c>
      <c r="D15" s="11">
        <f t="shared" si="0"/>
        <v>-6342.8</v>
      </c>
      <c r="E15" s="12">
        <f t="shared" si="1"/>
        <v>0</v>
      </c>
      <c r="F15" s="25" t="s">
        <v>42</v>
      </c>
    </row>
    <row r="16" spans="1:6" x14ac:dyDescent="0.25">
      <c r="A16" s="8" t="s">
        <v>158</v>
      </c>
      <c r="B16" s="9"/>
      <c r="C16" s="11">
        <f>2641.54</f>
        <v>2641.54</v>
      </c>
      <c r="D16" s="11">
        <f t="shared" si="0"/>
        <v>-2641.54</v>
      </c>
      <c r="E16" s="12">
        <f t="shared" si="1"/>
        <v>0</v>
      </c>
      <c r="F16" s="25" t="s">
        <v>42</v>
      </c>
    </row>
    <row r="17" spans="1:6" x14ac:dyDescent="0.25">
      <c r="A17" s="8" t="s">
        <v>157</v>
      </c>
      <c r="B17" s="9"/>
      <c r="C17" s="11">
        <f>18674.92</f>
        <v>18674.919999999998</v>
      </c>
      <c r="D17" s="11">
        <f t="shared" si="0"/>
        <v>-18674.919999999998</v>
      </c>
      <c r="E17" s="12">
        <f t="shared" si="1"/>
        <v>0</v>
      </c>
      <c r="F17" s="25" t="s">
        <v>42</v>
      </c>
    </row>
    <row r="18" spans="1:6" x14ac:dyDescent="0.25">
      <c r="A18" s="8" t="s">
        <v>156</v>
      </c>
      <c r="B18" s="9"/>
      <c r="C18" s="11">
        <f>16345</f>
        <v>16345</v>
      </c>
      <c r="D18" s="11">
        <f t="shared" si="0"/>
        <v>-16345</v>
      </c>
      <c r="E18" s="12">
        <f t="shared" si="1"/>
        <v>0</v>
      </c>
      <c r="F18" s="25" t="s">
        <v>43</v>
      </c>
    </row>
    <row r="19" spans="1:6" x14ac:dyDescent="0.25">
      <c r="A19" s="8" t="s">
        <v>155</v>
      </c>
      <c r="B19" s="9"/>
      <c r="C19" s="11">
        <f>1316</f>
        <v>1316</v>
      </c>
      <c r="D19" s="11">
        <f t="shared" si="0"/>
        <v>-1316</v>
      </c>
      <c r="E19" s="12">
        <f t="shared" si="1"/>
        <v>0</v>
      </c>
      <c r="F19" s="25" t="s">
        <v>43</v>
      </c>
    </row>
    <row r="20" spans="1:6" x14ac:dyDescent="0.25">
      <c r="A20" s="8" t="s">
        <v>154</v>
      </c>
      <c r="B20" s="9"/>
      <c r="C20" s="11">
        <f>11985</f>
        <v>11985</v>
      </c>
      <c r="D20" s="11">
        <f t="shared" si="0"/>
        <v>-11985</v>
      </c>
      <c r="E20" s="12">
        <f t="shared" si="1"/>
        <v>0</v>
      </c>
      <c r="F20" s="25" t="s">
        <v>43</v>
      </c>
    </row>
    <row r="21" spans="1:6" x14ac:dyDescent="0.25">
      <c r="A21" s="8" t="s">
        <v>153</v>
      </c>
      <c r="B21" s="9"/>
      <c r="C21" s="11">
        <f>92315.52</f>
        <v>92315.520000000004</v>
      </c>
      <c r="D21" s="11">
        <f t="shared" si="0"/>
        <v>-92315.520000000004</v>
      </c>
      <c r="E21" s="12">
        <f t="shared" si="1"/>
        <v>0</v>
      </c>
      <c r="F21" s="25" t="s">
        <v>43</v>
      </c>
    </row>
    <row r="22" spans="1:6" x14ac:dyDescent="0.25">
      <c r="A22" s="8" t="s">
        <v>152</v>
      </c>
      <c r="B22" s="9"/>
      <c r="C22" s="11">
        <f>105720</f>
        <v>105720</v>
      </c>
      <c r="D22" s="11">
        <f t="shared" si="0"/>
        <v>-105720</v>
      </c>
      <c r="E22" s="12">
        <f t="shared" si="1"/>
        <v>0</v>
      </c>
      <c r="F22" s="25" t="s">
        <v>43</v>
      </c>
    </row>
    <row r="23" spans="1:6" x14ac:dyDescent="0.25">
      <c r="A23" s="8" t="s">
        <v>9</v>
      </c>
      <c r="B23" s="11">
        <f>26722.77</f>
        <v>26722.77</v>
      </c>
      <c r="C23" s="11">
        <f>154303.85</f>
        <v>154303.85</v>
      </c>
      <c r="D23" s="11">
        <f t="shared" si="0"/>
        <v>-127581.08</v>
      </c>
      <c r="E23" s="12">
        <f t="shared" si="1"/>
        <v>0.17318278189429492</v>
      </c>
      <c r="F23" s="25" t="str">
        <f>VLOOKUP(A23,'BvA Aug 21'!A:F,6,FALSE)</f>
        <v>Federal Revenue</v>
      </c>
    </row>
    <row r="24" spans="1:6" x14ac:dyDescent="0.25">
      <c r="A24" s="8" t="s">
        <v>10</v>
      </c>
      <c r="B24" s="13">
        <f>(((((((((((((((B8)+(B9))+(B10))+(B11))+(B12))+(B13))+(B14))+(B15))+(B16))+(B17))+(B18))+(B19))+(B20))+(B21))+(B22))+(B23)</f>
        <v>134015.57999999999</v>
      </c>
      <c r="C24" s="13">
        <f>(((((((((((((((C8)+(C9))+(C10))+(C11))+(C12))+(C13))+(C14))+(C15))+(C16))+(C17))+(C18))+(C19))+(C20))+(C21))+(C22))+(C23)</f>
        <v>1849209.8900000001</v>
      </c>
      <c r="D24" s="13">
        <f t="shared" si="0"/>
        <v>-1715194.31</v>
      </c>
      <c r="E24" s="14">
        <f t="shared" si="1"/>
        <v>7.2471805782955215E-2</v>
      </c>
    </row>
    <row r="25" spans="1:6" x14ac:dyDescent="0.25">
      <c r="A25" s="8" t="s">
        <v>11</v>
      </c>
      <c r="B25" s="13">
        <f>(B24)-(0)</f>
        <v>134015.57999999999</v>
      </c>
      <c r="C25" s="13">
        <f>(C24)-(0)</f>
        <v>1849209.8900000001</v>
      </c>
      <c r="D25" s="13">
        <f t="shared" si="0"/>
        <v>-1715194.31</v>
      </c>
      <c r="E25" s="14">
        <f t="shared" si="1"/>
        <v>7.2471805782955215E-2</v>
      </c>
    </row>
    <row r="26" spans="1:6" x14ac:dyDescent="0.25">
      <c r="A26" s="8" t="s">
        <v>12</v>
      </c>
      <c r="B26" s="9"/>
      <c r="C26" s="9"/>
      <c r="D26" s="9"/>
      <c r="E26" s="9"/>
    </row>
    <row r="27" spans="1:6" x14ac:dyDescent="0.25">
      <c r="A27" s="8" t="s">
        <v>151</v>
      </c>
      <c r="B27" s="11">
        <f>6666.68</f>
        <v>6666.68</v>
      </c>
      <c r="C27" s="11">
        <f>90000</f>
        <v>90000</v>
      </c>
      <c r="D27" s="11">
        <f t="shared" ref="D27:D58" si="2">(B27)-(C27)</f>
        <v>-83333.320000000007</v>
      </c>
      <c r="E27" s="12">
        <f t="shared" ref="E27:E58" si="3">IF(C27=0,"",(B27)/(C27))</f>
        <v>7.4074222222222222E-2</v>
      </c>
      <c r="F27" s="25" t="s">
        <v>45</v>
      </c>
    </row>
    <row r="28" spans="1:6" x14ac:dyDescent="0.25">
      <c r="A28" s="8" t="s">
        <v>116</v>
      </c>
      <c r="B28" s="11">
        <f>6666.68</f>
        <v>6666.68</v>
      </c>
      <c r="C28" s="11">
        <f>80000</f>
        <v>80000</v>
      </c>
      <c r="D28" s="11">
        <f t="shared" si="2"/>
        <v>-73333.320000000007</v>
      </c>
      <c r="E28" s="12">
        <f t="shared" si="3"/>
        <v>8.3333500000000005E-2</v>
      </c>
      <c r="F28" s="25" t="s">
        <v>45</v>
      </c>
    </row>
    <row r="29" spans="1:6" x14ac:dyDescent="0.25">
      <c r="A29" s="8" t="s">
        <v>13</v>
      </c>
      <c r="B29" s="11">
        <f>3708.34</f>
        <v>3708.34</v>
      </c>
      <c r="C29" s="11">
        <f>45000</f>
        <v>45000</v>
      </c>
      <c r="D29" s="11">
        <f t="shared" si="2"/>
        <v>-41291.660000000003</v>
      </c>
      <c r="E29" s="12">
        <f t="shared" si="3"/>
        <v>8.2407555555555553E-2</v>
      </c>
      <c r="F29" s="25" t="s">
        <v>45</v>
      </c>
    </row>
    <row r="30" spans="1:6" x14ac:dyDescent="0.25">
      <c r="A30" s="8" t="s">
        <v>150</v>
      </c>
      <c r="B30" s="11">
        <f>2070</f>
        <v>2070</v>
      </c>
      <c r="C30" s="11">
        <f>14720</f>
        <v>14720</v>
      </c>
      <c r="D30" s="11">
        <f t="shared" si="2"/>
        <v>-12650</v>
      </c>
      <c r="E30" s="12">
        <f t="shared" si="3"/>
        <v>0.140625</v>
      </c>
      <c r="F30" s="25" t="s">
        <v>45</v>
      </c>
    </row>
    <row r="31" spans="1:6" x14ac:dyDescent="0.25">
      <c r="A31" s="8" t="s">
        <v>114</v>
      </c>
      <c r="B31" s="11">
        <f>2670.44</f>
        <v>2670.44</v>
      </c>
      <c r="C31" s="11">
        <f>20000</f>
        <v>20000</v>
      </c>
      <c r="D31" s="11">
        <f t="shared" si="2"/>
        <v>-17329.560000000001</v>
      </c>
      <c r="E31" s="12">
        <f t="shared" si="3"/>
        <v>0.133522</v>
      </c>
      <c r="F31" s="25" t="s">
        <v>45</v>
      </c>
    </row>
    <row r="32" spans="1:6" x14ac:dyDescent="0.25">
      <c r="A32" s="8" t="s">
        <v>14</v>
      </c>
      <c r="B32" s="11">
        <f>17663.1</f>
        <v>17663.099999999999</v>
      </c>
      <c r="C32" s="11">
        <f>264501.04</f>
        <v>264501.03999999998</v>
      </c>
      <c r="D32" s="11">
        <f t="shared" si="2"/>
        <v>-246837.93999999997</v>
      </c>
      <c r="E32" s="12">
        <f t="shared" si="3"/>
        <v>6.6778943477878203E-2</v>
      </c>
      <c r="F32" s="25" t="s">
        <v>45</v>
      </c>
    </row>
    <row r="33" spans="1:6" x14ac:dyDescent="0.25">
      <c r="A33" s="8" t="s">
        <v>149</v>
      </c>
      <c r="B33" s="11">
        <f>5374.92</f>
        <v>5374.92</v>
      </c>
      <c r="C33" s="11">
        <f>64499</f>
        <v>64499</v>
      </c>
      <c r="D33" s="11">
        <f t="shared" si="2"/>
        <v>-59124.08</v>
      </c>
      <c r="E33" s="12">
        <f t="shared" si="3"/>
        <v>8.3333385013721145E-2</v>
      </c>
      <c r="F33" s="25" t="s">
        <v>45</v>
      </c>
    </row>
    <row r="34" spans="1:6" x14ac:dyDescent="0.25">
      <c r="A34" s="8" t="s">
        <v>113</v>
      </c>
      <c r="B34" s="11">
        <f>12756.55</f>
        <v>12756.55</v>
      </c>
      <c r="C34" s="11">
        <f>91833.33</f>
        <v>91833.33</v>
      </c>
      <c r="D34" s="11">
        <f t="shared" si="2"/>
        <v>-79076.78</v>
      </c>
      <c r="E34" s="12">
        <f t="shared" si="3"/>
        <v>0.13890980540507458</v>
      </c>
      <c r="F34" s="25" t="str">
        <f>VLOOKUP(A34,'BvA Aug 21'!A:F,6,FALSE)</f>
        <v>Salaries</v>
      </c>
    </row>
    <row r="35" spans="1:6" x14ac:dyDescent="0.25">
      <c r="A35" s="8" t="s">
        <v>15</v>
      </c>
      <c r="B35" s="11">
        <f>3193.66</f>
        <v>3193.66</v>
      </c>
      <c r="C35" s="11">
        <f>55320.65</f>
        <v>55320.65</v>
      </c>
      <c r="D35" s="11">
        <f t="shared" si="2"/>
        <v>-52126.990000000005</v>
      </c>
      <c r="E35" s="12">
        <f t="shared" si="3"/>
        <v>5.772997967305156E-2</v>
      </c>
      <c r="F35" s="25" t="str">
        <f>VLOOKUP(A35,'BvA Aug 21'!A:F,6,FALSE)</f>
        <v>Personnel Taxes &amp; Benefits</v>
      </c>
    </row>
    <row r="36" spans="1:6" x14ac:dyDescent="0.25">
      <c r="A36" s="8" t="s">
        <v>16</v>
      </c>
      <c r="B36" s="11">
        <f>491.43</f>
        <v>491.43</v>
      </c>
      <c r="C36" s="11">
        <f>6705.53</f>
        <v>6705.53</v>
      </c>
      <c r="D36" s="11">
        <f t="shared" si="2"/>
        <v>-6214.0999999999995</v>
      </c>
      <c r="E36" s="12">
        <f t="shared" si="3"/>
        <v>7.3287271848757676E-2</v>
      </c>
      <c r="F36" s="25" t="str">
        <f>VLOOKUP(A36,'BvA Aug 21'!A:F,6,FALSE)</f>
        <v>Personnel Taxes &amp; Benefits</v>
      </c>
    </row>
    <row r="37" spans="1:6" x14ac:dyDescent="0.25">
      <c r="A37" s="8" t="s">
        <v>17</v>
      </c>
      <c r="B37" s="11">
        <f>592.85</f>
        <v>592.85</v>
      </c>
      <c r="C37" s="11">
        <f>9254.15</f>
        <v>9254.15</v>
      </c>
      <c r="D37" s="11">
        <f t="shared" si="2"/>
        <v>-8661.2999999999993</v>
      </c>
      <c r="E37" s="12">
        <f t="shared" si="3"/>
        <v>6.4063150046195491E-2</v>
      </c>
      <c r="F37" s="25" t="str">
        <f>VLOOKUP(A37,'BvA Aug 21'!A:F,6,FALSE)</f>
        <v>Personnel Taxes &amp; Benefits</v>
      </c>
    </row>
    <row r="38" spans="1:6" x14ac:dyDescent="0.25">
      <c r="A38" s="8" t="s">
        <v>18</v>
      </c>
      <c r="B38" s="9"/>
      <c r="C38" s="11">
        <f>1676.38</f>
        <v>1676.38</v>
      </c>
      <c r="D38" s="11">
        <f t="shared" si="2"/>
        <v>-1676.38</v>
      </c>
      <c r="E38" s="12">
        <f t="shared" si="3"/>
        <v>0</v>
      </c>
      <c r="F38" s="25" t="str">
        <f>VLOOKUP(A38,'BvA Aug 21'!A:F,6,FALSE)</f>
        <v>Personnel Taxes &amp; Benefits</v>
      </c>
    </row>
    <row r="39" spans="1:6" x14ac:dyDescent="0.25">
      <c r="A39" s="8" t="s">
        <v>112</v>
      </c>
      <c r="B39" s="11">
        <f>7474.03</f>
        <v>7474.03</v>
      </c>
      <c r="C39" s="11">
        <f>83902.17</f>
        <v>83902.17</v>
      </c>
      <c r="D39" s="11">
        <f t="shared" si="2"/>
        <v>-76428.14</v>
      </c>
      <c r="E39" s="12">
        <f t="shared" si="3"/>
        <v>8.9080294347571698E-2</v>
      </c>
      <c r="F39" s="25" t="str">
        <f>VLOOKUP(A39,'BvA Aug 21'!A:F,6,FALSE)</f>
        <v>Personnel Taxes &amp; Benefits</v>
      </c>
    </row>
    <row r="40" spans="1:6" x14ac:dyDescent="0.25">
      <c r="A40" s="8" t="s">
        <v>148</v>
      </c>
      <c r="B40" s="11">
        <f>10648</f>
        <v>10648</v>
      </c>
      <c r="C40" s="11">
        <f>151008</f>
        <v>151008</v>
      </c>
      <c r="D40" s="11">
        <f t="shared" si="2"/>
        <v>-140360</v>
      </c>
      <c r="E40" s="12">
        <f t="shared" si="3"/>
        <v>7.0512820512820512E-2</v>
      </c>
      <c r="F40" s="25" t="s">
        <v>46</v>
      </c>
    </row>
    <row r="41" spans="1:6" x14ac:dyDescent="0.25">
      <c r="A41" s="8" t="s">
        <v>147</v>
      </c>
      <c r="B41" s="9"/>
      <c r="C41" s="11">
        <f>18000</f>
        <v>18000</v>
      </c>
      <c r="D41" s="11">
        <f t="shared" si="2"/>
        <v>-18000</v>
      </c>
      <c r="E41" s="12">
        <f t="shared" si="3"/>
        <v>0</v>
      </c>
      <c r="F41" s="25" t="s">
        <v>47</v>
      </c>
    </row>
    <row r="42" spans="1:6" x14ac:dyDescent="0.25">
      <c r="A42" s="8" t="s">
        <v>111</v>
      </c>
      <c r="B42" s="9"/>
      <c r="C42" s="11">
        <f>5000</f>
        <v>5000</v>
      </c>
      <c r="D42" s="11">
        <f t="shared" si="2"/>
        <v>-5000</v>
      </c>
      <c r="E42" s="12">
        <f t="shared" si="3"/>
        <v>0</v>
      </c>
      <c r="F42" s="25" t="s">
        <v>47</v>
      </c>
    </row>
    <row r="43" spans="1:6" x14ac:dyDescent="0.25">
      <c r="A43" s="8" t="s">
        <v>146</v>
      </c>
      <c r="B43" s="11">
        <f>3062.17</f>
        <v>3062.17</v>
      </c>
      <c r="C43" s="11">
        <f>35825.24</f>
        <v>35825.24</v>
      </c>
      <c r="D43" s="11">
        <f t="shared" si="2"/>
        <v>-32763.07</v>
      </c>
      <c r="E43" s="12">
        <f t="shared" si="3"/>
        <v>8.5475212447983603E-2</v>
      </c>
      <c r="F43" s="25" t="s">
        <v>47</v>
      </c>
    </row>
    <row r="44" spans="1:6" x14ac:dyDescent="0.25">
      <c r="A44" s="8" t="s">
        <v>19</v>
      </c>
      <c r="B44" s="11">
        <f>8000</f>
        <v>8000</v>
      </c>
      <c r="C44" s="11">
        <f>96000</f>
        <v>96000</v>
      </c>
      <c r="D44" s="11">
        <f t="shared" si="2"/>
        <v>-88000</v>
      </c>
      <c r="E44" s="12">
        <f t="shared" si="3"/>
        <v>8.3333333333333329E-2</v>
      </c>
      <c r="F44" s="25" t="s">
        <v>47</v>
      </c>
    </row>
    <row r="45" spans="1:6" x14ac:dyDescent="0.25">
      <c r="A45" s="8" t="s">
        <v>108</v>
      </c>
      <c r="B45" s="11">
        <f>3200</f>
        <v>3200</v>
      </c>
      <c r="C45" s="11">
        <f>38020</f>
        <v>38020</v>
      </c>
      <c r="D45" s="11">
        <f t="shared" si="2"/>
        <v>-34820</v>
      </c>
      <c r="E45" s="12">
        <f t="shared" si="3"/>
        <v>8.4166228300894264E-2</v>
      </c>
      <c r="F45" s="25" t="s">
        <v>47</v>
      </c>
    </row>
    <row r="46" spans="1:6" x14ac:dyDescent="0.25">
      <c r="A46" s="8" t="s">
        <v>20</v>
      </c>
      <c r="B46" s="9"/>
      <c r="C46" s="11">
        <f>20000</f>
        <v>20000</v>
      </c>
      <c r="D46" s="11">
        <f t="shared" si="2"/>
        <v>-20000</v>
      </c>
      <c r="E46" s="12">
        <f t="shared" si="3"/>
        <v>0</v>
      </c>
      <c r="F46" s="25" t="s">
        <v>47</v>
      </c>
    </row>
    <row r="47" spans="1:6" x14ac:dyDescent="0.25">
      <c r="A47" s="8" t="s">
        <v>107</v>
      </c>
      <c r="B47" s="11">
        <f>1216.66</f>
        <v>1216.6600000000001</v>
      </c>
      <c r="C47" s="11">
        <f>17500</f>
        <v>17500</v>
      </c>
      <c r="D47" s="11">
        <f t="shared" si="2"/>
        <v>-16283.34</v>
      </c>
      <c r="E47" s="12">
        <f t="shared" si="3"/>
        <v>6.9523428571428569E-2</v>
      </c>
      <c r="F47" s="25" t="s">
        <v>47</v>
      </c>
    </row>
    <row r="48" spans="1:6" x14ac:dyDescent="0.25">
      <c r="A48" s="8" t="s">
        <v>145</v>
      </c>
      <c r="B48" s="9"/>
      <c r="C48" s="11">
        <f>11250</f>
        <v>11250</v>
      </c>
      <c r="D48" s="11">
        <f t="shared" si="2"/>
        <v>-11250</v>
      </c>
      <c r="E48" s="12">
        <f t="shared" si="3"/>
        <v>0</v>
      </c>
      <c r="F48" s="25" t="s">
        <v>47</v>
      </c>
    </row>
    <row r="49" spans="1:6" x14ac:dyDescent="0.25">
      <c r="A49" s="8" t="s">
        <v>144</v>
      </c>
      <c r="B49" s="9"/>
      <c r="C49" s="11">
        <f>9500</f>
        <v>9500</v>
      </c>
      <c r="D49" s="11">
        <f t="shared" si="2"/>
        <v>-9500</v>
      </c>
      <c r="E49" s="12">
        <f t="shared" si="3"/>
        <v>0</v>
      </c>
      <c r="F49" s="25" t="s">
        <v>47</v>
      </c>
    </row>
    <row r="50" spans="1:6" x14ac:dyDescent="0.25">
      <c r="A50" s="8" t="s">
        <v>143</v>
      </c>
      <c r="B50" s="9"/>
      <c r="C50" s="11">
        <f>37070</f>
        <v>37070</v>
      </c>
      <c r="D50" s="11">
        <f t="shared" si="2"/>
        <v>-37070</v>
      </c>
      <c r="E50" s="12">
        <f t="shared" si="3"/>
        <v>0</v>
      </c>
      <c r="F50" s="25" t="s">
        <v>47</v>
      </c>
    </row>
    <row r="51" spans="1:6" x14ac:dyDescent="0.25">
      <c r="A51" s="8" t="s">
        <v>142</v>
      </c>
      <c r="B51" s="9"/>
      <c r="C51" s="11">
        <f>5000</f>
        <v>5000</v>
      </c>
      <c r="D51" s="11">
        <f t="shared" si="2"/>
        <v>-5000</v>
      </c>
      <c r="E51" s="12">
        <f t="shared" si="3"/>
        <v>0</v>
      </c>
      <c r="F51" s="25" t="s">
        <v>48</v>
      </c>
    </row>
    <row r="52" spans="1:6" x14ac:dyDescent="0.25">
      <c r="A52" s="8" t="s">
        <v>21</v>
      </c>
      <c r="B52" s="11">
        <f>1292</f>
        <v>1292</v>
      </c>
      <c r="C52" s="11">
        <f>1470</f>
        <v>1470</v>
      </c>
      <c r="D52" s="11">
        <f t="shared" si="2"/>
        <v>-178</v>
      </c>
      <c r="E52" s="12">
        <f t="shared" si="3"/>
        <v>0.87891156462585029</v>
      </c>
      <c r="F52" s="25" t="str">
        <f>VLOOKUP(A52,'BvA Aug 21'!A:F,6,FALSE)</f>
        <v>School Operations</v>
      </c>
    </row>
    <row r="53" spans="1:6" x14ac:dyDescent="0.25">
      <c r="A53" s="8" t="s">
        <v>23</v>
      </c>
      <c r="B53" s="11">
        <f>833.33</f>
        <v>833.33</v>
      </c>
      <c r="C53" s="11">
        <f>11250</f>
        <v>11250</v>
      </c>
      <c r="D53" s="11">
        <f t="shared" si="2"/>
        <v>-10416.67</v>
      </c>
      <c r="E53" s="12">
        <f t="shared" si="3"/>
        <v>7.407377777777778E-2</v>
      </c>
      <c r="F53" s="25" t="str">
        <f>VLOOKUP(A53,'BvA Aug 21'!A:F,6,FALSE)</f>
        <v>School Operations</v>
      </c>
    </row>
    <row r="54" spans="1:6" x14ac:dyDescent="0.25">
      <c r="A54" s="8" t="s">
        <v>24</v>
      </c>
      <c r="B54" s="11">
        <f>12876.92</f>
        <v>12876.92</v>
      </c>
      <c r="C54" s="11">
        <f>61000</f>
        <v>61000</v>
      </c>
      <c r="D54" s="11">
        <f t="shared" si="2"/>
        <v>-48123.08</v>
      </c>
      <c r="E54" s="12">
        <f t="shared" si="3"/>
        <v>0.21109704918032787</v>
      </c>
      <c r="F54" s="25" t="str">
        <f>VLOOKUP(A54,'BvA Aug 21'!A:F,6,FALSE)</f>
        <v>School Operations</v>
      </c>
    </row>
    <row r="55" spans="1:6" x14ac:dyDescent="0.25">
      <c r="A55" s="8" t="s">
        <v>106</v>
      </c>
      <c r="B55" s="11">
        <f>29.96</f>
        <v>29.96</v>
      </c>
      <c r="C55" s="11">
        <f>6345</f>
        <v>6345</v>
      </c>
      <c r="D55" s="11">
        <f t="shared" si="2"/>
        <v>-6315.04</v>
      </c>
      <c r="E55" s="12">
        <f t="shared" si="3"/>
        <v>4.7218282111899136E-3</v>
      </c>
      <c r="F55" s="25" t="str">
        <f>VLOOKUP(A55,'BvA Aug 21'!A:F,6,FALSE)</f>
        <v>School Operations</v>
      </c>
    </row>
    <row r="56" spans="1:6" x14ac:dyDescent="0.25">
      <c r="A56" s="8" t="s">
        <v>141</v>
      </c>
      <c r="B56" s="9"/>
      <c r="C56" s="11">
        <f>7050</f>
        <v>7050</v>
      </c>
      <c r="D56" s="11">
        <f t="shared" si="2"/>
        <v>-7050</v>
      </c>
      <c r="E56" s="12">
        <f t="shared" si="3"/>
        <v>0</v>
      </c>
      <c r="F56" s="25" t="s">
        <v>48</v>
      </c>
    </row>
    <row r="57" spans="1:6" x14ac:dyDescent="0.25">
      <c r="A57" s="8" t="s">
        <v>140</v>
      </c>
      <c r="B57" s="11">
        <f>592.22</f>
        <v>592.22</v>
      </c>
      <c r="C57" s="9"/>
      <c r="D57" s="11">
        <f t="shared" si="2"/>
        <v>592.22</v>
      </c>
      <c r="E57" s="12" t="str">
        <f t="shared" si="3"/>
        <v/>
      </c>
      <c r="F57" s="25" t="s">
        <v>48</v>
      </c>
    </row>
    <row r="58" spans="1:6" x14ac:dyDescent="0.25">
      <c r="A58" s="8" t="s">
        <v>25</v>
      </c>
      <c r="B58" s="11">
        <f>472.08</f>
        <v>472.08</v>
      </c>
      <c r="C58" s="11">
        <f>58000</f>
        <v>58000</v>
      </c>
      <c r="D58" s="11">
        <f t="shared" si="2"/>
        <v>-57527.92</v>
      </c>
      <c r="E58" s="12">
        <f t="shared" si="3"/>
        <v>8.1393103448275852E-3</v>
      </c>
      <c r="F58" s="25" t="str">
        <f>VLOOKUP(A58,'BvA Aug 21'!A:F,6,FALSE)</f>
        <v>School Operations</v>
      </c>
    </row>
    <row r="59" spans="1:6" x14ac:dyDescent="0.25">
      <c r="A59" s="8" t="s">
        <v>26</v>
      </c>
      <c r="B59" s="11">
        <f>591.83</f>
        <v>591.83000000000004</v>
      </c>
      <c r="C59" s="11">
        <f>7680</f>
        <v>7680</v>
      </c>
      <c r="D59" s="11">
        <f t="shared" ref="D59:D81" si="4">(B59)-(C59)</f>
        <v>-7088.17</v>
      </c>
      <c r="E59" s="12">
        <f t="shared" ref="E59:E81" si="5">IF(C59=0,"",(B59)/(C59))</f>
        <v>7.7061197916666671E-2</v>
      </c>
      <c r="F59" s="25" t="str">
        <f>VLOOKUP(A59,'BvA Aug 21'!A:F,6,FALSE)</f>
        <v>School Operations</v>
      </c>
    </row>
    <row r="60" spans="1:6" x14ac:dyDescent="0.25">
      <c r="A60" s="8" t="s">
        <v>27</v>
      </c>
      <c r="B60" s="11">
        <f>607.84</f>
        <v>607.84</v>
      </c>
      <c r="C60" s="11">
        <f>14701</f>
        <v>14701</v>
      </c>
      <c r="D60" s="11">
        <f t="shared" si="4"/>
        <v>-14093.16</v>
      </c>
      <c r="E60" s="12">
        <f t="shared" si="5"/>
        <v>4.134684715325488E-2</v>
      </c>
      <c r="F60" s="25" t="str">
        <f>VLOOKUP(A60,'BvA Aug 21'!A:F,6,FALSE)</f>
        <v>School Operations</v>
      </c>
    </row>
    <row r="61" spans="1:6" x14ac:dyDescent="0.25">
      <c r="A61" s="8" t="s">
        <v>28</v>
      </c>
      <c r="B61" s="11">
        <f>421.38</f>
        <v>421.38</v>
      </c>
      <c r="C61" s="11">
        <f>27591</f>
        <v>27591</v>
      </c>
      <c r="D61" s="11">
        <f t="shared" si="4"/>
        <v>-27169.62</v>
      </c>
      <c r="E61" s="12">
        <f t="shared" si="5"/>
        <v>1.5272371425464825E-2</v>
      </c>
      <c r="F61" s="25" t="str">
        <f>VLOOKUP(A61,'BvA Aug 21'!A:F,6,FALSE)</f>
        <v>School Operations</v>
      </c>
    </row>
    <row r="62" spans="1:6" x14ac:dyDescent="0.25">
      <c r="A62" s="8" t="s">
        <v>105</v>
      </c>
      <c r="B62" s="9"/>
      <c r="C62" s="11">
        <f>7030</f>
        <v>7030</v>
      </c>
      <c r="D62" s="11">
        <f t="shared" si="4"/>
        <v>-7030</v>
      </c>
      <c r="E62" s="12">
        <f t="shared" si="5"/>
        <v>0</v>
      </c>
      <c r="F62" s="25" t="str">
        <f>VLOOKUP(A62,'BvA Aug 21'!A:F,6,FALSE)</f>
        <v>School Operations</v>
      </c>
    </row>
    <row r="63" spans="1:6" x14ac:dyDescent="0.25">
      <c r="A63" s="8" t="s">
        <v>139</v>
      </c>
      <c r="B63" s="9"/>
      <c r="C63" s="11">
        <f>8930</f>
        <v>8930</v>
      </c>
      <c r="D63" s="11">
        <f t="shared" si="4"/>
        <v>-8930</v>
      </c>
      <c r="E63" s="12">
        <f t="shared" si="5"/>
        <v>0</v>
      </c>
      <c r="F63" s="25" t="s">
        <v>48</v>
      </c>
    </row>
    <row r="64" spans="1:6" x14ac:dyDescent="0.25">
      <c r="A64" s="8" t="s">
        <v>138</v>
      </c>
      <c r="B64" s="9"/>
      <c r="C64" s="11">
        <f>2350</f>
        <v>2350</v>
      </c>
      <c r="D64" s="11">
        <f t="shared" si="4"/>
        <v>-2350</v>
      </c>
      <c r="E64" s="12">
        <f t="shared" si="5"/>
        <v>0</v>
      </c>
      <c r="F64" s="25" t="s">
        <v>48</v>
      </c>
    </row>
    <row r="65" spans="1:6" x14ac:dyDescent="0.25">
      <c r="A65" s="8" t="s">
        <v>29</v>
      </c>
      <c r="B65" s="11">
        <f>2829.99</f>
        <v>2829.99</v>
      </c>
      <c r="C65" s="11">
        <f>7000</f>
        <v>7000</v>
      </c>
      <c r="D65" s="11">
        <f t="shared" si="4"/>
        <v>-4170.01</v>
      </c>
      <c r="E65" s="12">
        <f t="shared" si="5"/>
        <v>0.40428428571428571</v>
      </c>
      <c r="F65" s="25" t="str">
        <f>VLOOKUP(A65,'BvA Aug 21'!A:F,6,FALSE)</f>
        <v>School Operations</v>
      </c>
    </row>
    <row r="66" spans="1:6" x14ac:dyDescent="0.25">
      <c r="A66" s="8" t="s">
        <v>30</v>
      </c>
      <c r="B66" s="9"/>
      <c r="C66" s="11">
        <f>4950</f>
        <v>4950</v>
      </c>
      <c r="D66" s="11">
        <f t="shared" si="4"/>
        <v>-4950</v>
      </c>
      <c r="E66" s="12">
        <f t="shared" si="5"/>
        <v>0</v>
      </c>
      <c r="F66" s="25" t="str">
        <f>VLOOKUP(A66,'BvA Aug 21'!A:F,6,FALSE)</f>
        <v>School Operations</v>
      </c>
    </row>
    <row r="67" spans="1:6" x14ac:dyDescent="0.25">
      <c r="A67" s="8" t="s">
        <v>31</v>
      </c>
      <c r="B67" s="9"/>
      <c r="C67" s="11">
        <f>2000</f>
        <v>2000</v>
      </c>
      <c r="D67" s="11">
        <f t="shared" si="4"/>
        <v>-2000</v>
      </c>
      <c r="E67" s="12">
        <f t="shared" si="5"/>
        <v>0</v>
      </c>
      <c r="F67" s="25" t="str">
        <f>VLOOKUP(A67,'BvA Aug 21'!A:F,6,FALSE)</f>
        <v>School Operations</v>
      </c>
    </row>
    <row r="68" spans="1:6" x14ac:dyDescent="0.25">
      <c r="A68" s="8" t="s">
        <v>32</v>
      </c>
      <c r="B68" s="11">
        <f>125</f>
        <v>125</v>
      </c>
      <c r="C68" s="11">
        <f>3000</f>
        <v>3000</v>
      </c>
      <c r="D68" s="11">
        <f t="shared" si="4"/>
        <v>-2875</v>
      </c>
      <c r="E68" s="12">
        <f t="shared" si="5"/>
        <v>4.1666666666666664E-2</v>
      </c>
      <c r="F68" s="25" t="str">
        <f>VLOOKUP(A68,'BvA Aug 21'!A:F,6,FALSE)</f>
        <v>School Operations</v>
      </c>
    </row>
    <row r="69" spans="1:6" x14ac:dyDescent="0.25">
      <c r="A69" s="8" t="s">
        <v>56</v>
      </c>
      <c r="B69" s="11">
        <f>429</f>
        <v>429</v>
      </c>
      <c r="C69" s="11">
        <f>106278.02</f>
        <v>106278.02</v>
      </c>
      <c r="D69" s="11">
        <f t="shared" si="4"/>
        <v>-105849.02</v>
      </c>
      <c r="E69" s="12">
        <f t="shared" si="5"/>
        <v>4.0365825407737178E-3</v>
      </c>
      <c r="F69" s="25" t="str">
        <f>VLOOKUP(A69,'BvA Aug 21'!A:F,6,FALSE)</f>
        <v>School Operations</v>
      </c>
    </row>
    <row r="70" spans="1:6" x14ac:dyDescent="0.25">
      <c r="A70" s="8" t="s">
        <v>33</v>
      </c>
      <c r="B70" s="9"/>
      <c r="C70" s="11">
        <f>2500</f>
        <v>2500</v>
      </c>
      <c r="D70" s="11">
        <f t="shared" si="4"/>
        <v>-2500</v>
      </c>
      <c r="E70" s="12">
        <f t="shared" si="5"/>
        <v>0</v>
      </c>
      <c r="F70" s="25" t="str">
        <f>VLOOKUP(A70,'BvA Aug 21'!A:F,6,FALSE)</f>
        <v>School Operations</v>
      </c>
    </row>
    <row r="71" spans="1:6" x14ac:dyDescent="0.25">
      <c r="A71" s="8" t="s">
        <v>137</v>
      </c>
      <c r="B71" s="9"/>
      <c r="C71" s="11">
        <f>6250</f>
        <v>6250</v>
      </c>
      <c r="D71" s="11">
        <f t="shared" si="4"/>
        <v>-6250</v>
      </c>
      <c r="E71" s="12">
        <f t="shared" si="5"/>
        <v>0</v>
      </c>
      <c r="F71" s="25" t="s">
        <v>48</v>
      </c>
    </row>
    <row r="72" spans="1:6" x14ac:dyDescent="0.25">
      <c r="A72" s="8" t="s">
        <v>136</v>
      </c>
      <c r="B72" s="9"/>
      <c r="C72" s="11">
        <f>39600</f>
        <v>39600</v>
      </c>
      <c r="D72" s="11">
        <f t="shared" si="4"/>
        <v>-39600</v>
      </c>
      <c r="E72" s="12">
        <f t="shared" si="5"/>
        <v>0</v>
      </c>
      <c r="F72" s="25" t="s">
        <v>48</v>
      </c>
    </row>
    <row r="73" spans="1:6" x14ac:dyDescent="0.25">
      <c r="A73" s="8" t="s">
        <v>135</v>
      </c>
      <c r="B73" s="9"/>
      <c r="C73" s="11">
        <f>44185.32</f>
        <v>44185.32</v>
      </c>
      <c r="D73" s="11">
        <f t="shared" si="4"/>
        <v>-44185.32</v>
      </c>
      <c r="E73" s="12">
        <f t="shared" si="5"/>
        <v>0</v>
      </c>
      <c r="F73" s="25" t="s">
        <v>48</v>
      </c>
    </row>
    <row r="74" spans="1:6" x14ac:dyDescent="0.25">
      <c r="A74" s="8" t="s">
        <v>34</v>
      </c>
      <c r="B74" s="11">
        <f>720.9</f>
        <v>720.9</v>
      </c>
      <c r="C74" s="11">
        <f>12500</f>
        <v>12500</v>
      </c>
      <c r="D74" s="11">
        <f t="shared" si="4"/>
        <v>-11779.1</v>
      </c>
      <c r="E74" s="12">
        <f t="shared" si="5"/>
        <v>5.7672000000000001E-2</v>
      </c>
      <c r="F74" s="25" t="str">
        <f>VLOOKUP(A74,'BvA Aug 21'!A:F,6,FALSE)</f>
        <v>Facility Operations &amp; Maintenance</v>
      </c>
    </row>
    <row r="75" spans="1:6" x14ac:dyDescent="0.25">
      <c r="A75" s="8" t="s">
        <v>55</v>
      </c>
      <c r="B75" s="11">
        <f>348.96</f>
        <v>348.96</v>
      </c>
      <c r="C75" s="9"/>
      <c r="D75" s="11">
        <f t="shared" si="4"/>
        <v>348.96</v>
      </c>
      <c r="E75" s="12" t="str">
        <f t="shared" si="5"/>
        <v/>
      </c>
      <c r="F75" s="25" t="str">
        <f>VLOOKUP(A75,'BvA Aug 21'!A:F,6,FALSE)</f>
        <v>Facility Operations &amp; Maintenance</v>
      </c>
    </row>
    <row r="76" spans="1:6" x14ac:dyDescent="0.25">
      <c r="A76" s="8" t="s">
        <v>35</v>
      </c>
      <c r="B76" s="11">
        <f>13204.14</f>
        <v>13204.14</v>
      </c>
      <c r="C76" s="11">
        <f>154992.94</f>
        <v>154992.94</v>
      </c>
      <c r="D76" s="11">
        <f t="shared" si="4"/>
        <v>-141788.79999999999</v>
      </c>
      <c r="E76" s="12">
        <f t="shared" si="5"/>
        <v>8.5191880352743804E-2</v>
      </c>
      <c r="F76" s="25" t="str">
        <f>VLOOKUP(A76,'BvA Aug 21'!A:F,6,FALSE)</f>
        <v>Facility Operations &amp; Maintenance</v>
      </c>
    </row>
    <row r="77" spans="1:6" x14ac:dyDescent="0.25">
      <c r="A77" s="8" t="s">
        <v>134</v>
      </c>
      <c r="B77" s="9"/>
      <c r="C77" s="11">
        <f>3000</f>
        <v>3000</v>
      </c>
      <c r="D77" s="11">
        <f t="shared" si="4"/>
        <v>-3000</v>
      </c>
      <c r="E77" s="12">
        <f t="shared" si="5"/>
        <v>0</v>
      </c>
      <c r="F77" s="25" t="s">
        <v>49</v>
      </c>
    </row>
    <row r="78" spans="1:6" x14ac:dyDescent="0.25">
      <c r="A78" s="8" t="s">
        <v>133</v>
      </c>
      <c r="B78" s="9"/>
      <c r="C78" s="11">
        <f>2500</f>
        <v>2500</v>
      </c>
      <c r="D78" s="11">
        <f t="shared" si="4"/>
        <v>-2500</v>
      </c>
      <c r="E78" s="12">
        <f t="shared" si="5"/>
        <v>0</v>
      </c>
      <c r="F78" s="25" t="s">
        <v>49</v>
      </c>
    </row>
    <row r="79" spans="1:6" x14ac:dyDescent="0.25">
      <c r="A79" s="8" t="s">
        <v>132</v>
      </c>
      <c r="B79" s="9"/>
      <c r="C79" s="11">
        <f>20250</f>
        <v>20250</v>
      </c>
      <c r="D79" s="11">
        <f t="shared" si="4"/>
        <v>-20250</v>
      </c>
      <c r="E79" s="12">
        <f t="shared" si="5"/>
        <v>0</v>
      </c>
      <c r="F79" s="25" t="s">
        <v>49</v>
      </c>
    </row>
    <row r="80" spans="1:6" x14ac:dyDescent="0.25">
      <c r="A80" s="8" t="s">
        <v>36</v>
      </c>
      <c r="B80" s="13">
        <f>((((((((((((((((((((((((((((((((((((((((((((((((((((B27)+(B28))+(B29))+(B30))+(B31))+(B32))+(B33))+(B34))+(B35))+(B36))+(B37))+(B38))+(B39))+(B40))+(B41))+(B42))+(B43))+(B44))+(B45))+(B46))+(B47))+(B48))+(B49))+(B50))+(B51))+(B52))+(B53))+(B54))+(B55))+(B56))+(B57))+(B58))+(B59))+(B60))+(B61))+(B62))+(B63))+(B64))+(B65))+(B66))+(B67))+(B68))+(B69))+(B70))+(B71))+(B72))+(B73))+(B74))+(B75))+(B76))+(B77))+(B78))+(B79)</f>
        <v>130831.06000000001</v>
      </c>
      <c r="C80" s="13">
        <f>((((((((((((((((((((((((((((((((((((((((((((((((((((C27)+(C28))+(C29))+(C30))+(C31))+(C32))+(C33))+(C34))+(C35))+(C36))+(C37))+(C38))+(C39))+(C40))+(C41))+(C42))+(C43))+(C44))+(C45))+(C46))+(C47))+(C48))+(C49))+(C50))+(C51))+(C52))+(C53))+(C54))+(C55))+(C56))+(C57))+(C58))+(C59))+(C60))+(C61))+(C62))+(C63))+(C64))+(C65))+(C66))+(C67))+(C68))+(C69))+(C70))+(C71))+(C72))+(C73))+(C74))+(C75))+(C76))+(C77))+(C78))+(C79)</f>
        <v>1893988.7700000003</v>
      </c>
      <c r="D80" s="13">
        <f t="shared" si="4"/>
        <v>-1763157.7100000002</v>
      </c>
      <c r="E80" s="14">
        <f t="shared" si="5"/>
        <v>6.9076998803958053E-2</v>
      </c>
    </row>
    <row r="81" spans="1:6" x14ac:dyDescent="0.25">
      <c r="A81" s="8" t="s">
        <v>37</v>
      </c>
      <c r="B81" s="13">
        <f>(B25)-(B80)</f>
        <v>3184.519999999975</v>
      </c>
      <c r="C81" s="13">
        <f>(C25)-(C80)</f>
        <v>-44778.880000000121</v>
      </c>
      <c r="D81" s="13">
        <f t="shared" si="4"/>
        <v>47963.400000000096</v>
      </c>
      <c r="E81" s="14">
        <f t="shared" si="5"/>
        <v>-7.1116562093557642E-2</v>
      </c>
    </row>
    <row r="82" spans="1:6" x14ac:dyDescent="0.25">
      <c r="A82" s="8" t="s">
        <v>131</v>
      </c>
      <c r="B82" s="9"/>
      <c r="C82" s="9"/>
      <c r="D82" s="9"/>
      <c r="E82" s="9"/>
    </row>
    <row r="83" spans="1:6" x14ac:dyDescent="0.25">
      <c r="A83" s="8" t="s">
        <v>130</v>
      </c>
      <c r="B83" s="9"/>
      <c r="C83" s="11">
        <f>94883</f>
        <v>94883</v>
      </c>
      <c r="D83" s="11">
        <f>(B83)-(C83)</f>
        <v>-94883</v>
      </c>
      <c r="E83" s="12">
        <f>IF(C83=0,"",(B83)/(C83))</f>
        <v>0</v>
      </c>
      <c r="F83" s="25" t="s">
        <v>49</v>
      </c>
    </row>
    <row r="84" spans="1:6" x14ac:dyDescent="0.25">
      <c r="A84" s="8" t="s">
        <v>129</v>
      </c>
      <c r="B84" s="13">
        <f>B83</f>
        <v>0</v>
      </c>
      <c r="C84" s="13">
        <f>C83</f>
        <v>94883</v>
      </c>
      <c r="D84" s="13">
        <f>(B84)-(C84)</f>
        <v>-94883</v>
      </c>
      <c r="E84" s="14">
        <f>IF(C84=0,"",(B84)/(C84))</f>
        <v>0</v>
      </c>
    </row>
    <row r="85" spans="1:6" x14ac:dyDescent="0.25">
      <c r="A85" s="8" t="s">
        <v>128</v>
      </c>
      <c r="B85" s="13">
        <f>(0)-(B84)</f>
        <v>0</v>
      </c>
      <c r="C85" s="13">
        <f>(0)-(C84)</f>
        <v>-94883</v>
      </c>
      <c r="D85" s="13">
        <f>(B85)-(C85)</f>
        <v>94883</v>
      </c>
      <c r="E85" s="14">
        <f>IF(C85=0,"",(B85)/(C85))</f>
        <v>0</v>
      </c>
    </row>
    <row r="86" spans="1:6" x14ac:dyDescent="0.25">
      <c r="A86" s="8" t="s">
        <v>38</v>
      </c>
      <c r="B86" s="13">
        <f>(B81)+(B85)</f>
        <v>3184.519999999975</v>
      </c>
      <c r="C86" s="13">
        <f>(C81)+(C85)</f>
        <v>-139661.88000000012</v>
      </c>
      <c r="D86" s="13">
        <f>(B86)-(C86)</f>
        <v>142846.40000000008</v>
      </c>
      <c r="E86" s="14">
        <f>IF(C86=0,"",(B86)/(C86))</f>
        <v>-2.2801640648113661E-2</v>
      </c>
    </row>
    <row r="87" spans="1:6" x14ac:dyDescent="0.25">
      <c r="A87" s="8"/>
      <c r="B87" s="9"/>
      <c r="C87" s="9"/>
      <c r="D87" s="9"/>
      <c r="E87" s="9"/>
    </row>
    <row r="90" spans="1:6" x14ac:dyDescent="0.25">
      <c r="A90" s="77" t="s">
        <v>127</v>
      </c>
      <c r="B90" s="75"/>
      <c r="C90" s="75"/>
      <c r="D90" s="75"/>
      <c r="E90" s="75"/>
    </row>
  </sheetData>
  <mergeCells count="5">
    <mergeCell ref="B5:E5"/>
    <mergeCell ref="A90:E90"/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F6992-E9BE-48FC-9870-05535BB04710}">
  <dimension ref="A1:B56"/>
  <sheetViews>
    <sheetView workbookViewId="0">
      <selection activeCell="B12" sqref="B12"/>
    </sheetView>
  </sheetViews>
  <sheetFormatPr defaultRowHeight="15" x14ac:dyDescent="0.25"/>
  <cols>
    <col min="1" max="1" width="39.125" style="28" customWidth="1"/>
    <col min="2" max="2" width="21.75" style="28" customWidth="1"/>
    <col min="3" max="16384" width="9" style="28"/>
  </cols>
  <sheetData>
    <row r="1" spans="1:2" ht="18" x14ac:dyDescent="0.25">
      <c r="A1" s="74" t="s">
        <v>97</v>
      </c>
      <c r="B1" s="75"/>
    </row>
    <row r="2" spans="1:2" ht="18" x14ac:dyDescent="0.25">
      <c r="A2" s="74" t="s">
        <v>96</v>
      </c>
      <c r="B2" s="75"/>
    </row>
    <row r="3" spans="1:2" x14ac:dyDescent="0.25">
      <c r="A3" s="76" t="s">
        <v>172</v>
      </c>
      <c r="B3" s="75"/>
    </row>
    <row r="5" spans="1:2" x14ac:dyDescent="0.25">
      <c r="A5" s="27"/>
      <c r="B5" s="26" t="s">
        <v>0</v>
      </c>
    </row>
    <row r="6" spans="1:2" x14ac:dyDescent="0.25">
      <c r="A6" s="8" t="s">
        <v>94</v>
      </c>
      <c r="B6" s="9"/>
    </row>
    <row r="7" spans="1:2" x14ac:dyDescent="0.25">
      <c r="A7" s="8" t="s">
        <v>93</v>
      </c>
      <c r="B7" s="9"/>
    </row>
    <row r="8" spans="1:2" x14ac:dyDescent="0.25">
      <c r="A8" s="8" t="s">
        <v>92</v>
      </c>
      <c r="B8" s="9"/>
    </row>
    <row r="9" spans="1:2" x14ac:dyDescent="0.25">
      <c r="A9" s="8" t="s">
        <v>103</v>
      </c>
      <c r="B9" s="11">
        <f>195897.68</f>
        <v>195897.68</v>
      </c>
    </row>
    <row r="10" spans="1:2" x14ac:dyDescent="0.25">
      <c r="A10" s="8" t="s">
        <v>102</v>
      </c>
      <c r="B10" s="11">
        <f>1863.93</f>
        <v>1863.93</v>
      </c>
    </row>
    <row r="11" spans="1:2" x14ac:dyDescent="0.25">
      <c r="A11" s="8" t="s">
        <v>101</v>
      </c>
      <c r="B11" s="11">
        <f>1095.34</f>
        <v>1095.3399999999999</v>
      </c>
    </row>
    <row r="12" spans="1:2" x14ac:dyDescent="0.25">
      <c r="A12" s="8" t="s">
        <v>91</v>
      </c>
      <c r="B12" s="13">
        <f>((B9)+(B10))+(B11)</f>
        <v>198856.94999999998</v>
      </c>
    </row>
    <row r="13" spans="1:2" x14ac:dyDescent="0.25">
      <c r="A13" s="8" t="s">
        <v>90</v>
      </c>
      <c r="B13" s="9"/>
    </row>
    <row r="14" spans="1:2" x14ac:dyDescent="0.25">
      <c r="A14" s="8" t="s">
        <v>89</v>
      </c>
      <c r="B14" s="11">
        <f>204343.69</f>
        <v>204343.69</v>
      </c>
    </row>
    <row r="15" spans="1:2" x14ac:dyDescent="0.25">
      <c r="A15" s="8" t="s">
        <v>88</v>
      </c>
      <c r="B15" s="13">
        <f>B14</f>
        <v>204343.69</v>
      </c>
    </row>
    <row r="16" spans="1:2" x14ac:dyDescent="0.25">
      <c r="A16" s="8" t="s">
        <v>87</v>
      </c>
      <c r="B16" s="9"/>
    </row>
    <row r="17" spans="1:2" x14ac:dyDescent="0.25">
      <c r="A17" s="8" t="s">
        <v>86</v>
      </c>
      <c r="B17" s="11">
        <f>16764.63</f>
        <v>16764.63</v>
      </c>
    </row>
    <row r="18" spans="1:2" x14ac:dyDescent="0.25">
      <c r="A18" s="8" t="s">
        <v>85</v>
      </c>
      <c r="B18" s="13">
        <f>B17</f>
        <v>16764.63</v>
      </c>
    </row>
    <row r="19" spans="1:2" x14ac:dyDescent="0.25">
      <c r="A19" s="8" t="s">
        <v>84</v>
      </c>
      <c r="B19" s="13">
        <f>((B12)+(B15))+(B18)</f>
        <v>419965.27</v>
      </c>
    </row>
    <row r="20" spans="1:2" x14ac:dyDescent="0.25">
      <c r="A20" s="8" t="s">
        <v>83</v>
      </c>
      <c r="B20" s="9"/>
    </row>
    <row r="21" spans="1:2" x14ac:dyDescent="0.25">
      <c r="A21" s="8" t="s">
        <v>82</v>
      </c>
      <c r="B21" s="11">
        <f>41233</f>
        <v>41233</v>
      </c>
    </row>
    <row r="22" spans="1:2" x14ac:dyDescent="0.25">
      <c r="A22" s="8" t="s">
        <v>81</v>
      </c>
      <c r="B22" s="11">
        <f>384664.11</f>
        <v>384664.11</v>
      </c>
    </row>
    <row r="23" spans="1:2" x14ac:dyDescent="0.25">
      <c r="A23" s="8" t="s">
        <v>80</v>
      </c>
      <c r="B23" s="11">
        <f>68838.42</f>
        <v>68838.42</v>
      </c>
    </row>
    <row r="24" spans="1:2" x14ac:dyDescent="0.25">
      <c r="A24" s="8" t="s">
        <v>125</v>
      </c>
      <c r="B24" s="11">
        <f>9175.94</f>
        <v>9175.94</v>
      </c>
    </row>
    <row r="25" spans="1:2" x14ac:dyDescent="0.25">
      <c r="A25" s="8" t="s">
        <v>79</v>
      </c>
      <c r="B25" s="13">
        <f>(((B21)+(B22))+(B23))+(B24)</f>
        <v>503911.47</v>
      </c>
    </row>
    <row r="26" spans="1:2" x14ac:dyDescent="0.25">
      <c r="A26" s="8" t="s">
        <v>78</v>
      </c>
      <c r="B26" s="13">
        <f>(B19)+(B25)</f>
        <v>923876.74</v>
      </c>
    </row>
    <row r="27" spans="1:2" x14ac:dyDescent="0.25">
      <c r="A27" s="8" t="s">
        <v>77</v>
      </c>
      <c r="B27" s="9"/>
    </row>
    <row r="28" spans="1:2" x14ac:dyDescent="0.25">
      <c r="A28" s="8" t="s">
        <v>76</v>
      </c>
      <c r="B28" s="9"/>
    </row>
    <row r="29" spans="1:2" x14ac:dyDescent="0.25">
      <c r="A29" s="8" t="s">
        <v>75</v>
      </c>
      <c r="B29" s="9"/>
    </row>
    <row r="30" spans="1:2" x14ac:dyDescent="0.25">
      <c r="A30" s="8" t="s">
        <v>74</v>
      </c>
      <c r="B30" s="9"/>
    </row>
    <row r="31" spans="1:2" x14ac:dyDescent="0.25">
      <c r="A31" s="8" t="s">
        <v>73</v>
      </c>
      <c r="B31" s="11">
        <f>20519.94</f>
        <v>20519.939999999999</v>
      </c>
    </row>
    <row r="32" spans="1:2" x14ac:dyDescent="0.25">
      <c r="A32" s="8" t="s">
        <v>72</v>
      </c>
      <c r="B32" s="13">
        <f>B31</f>
        <v>20519.939999999999</v>
      </c>
    </row>
    <row r="33" spans="1:2" x14ac:dyDescent="0.25">
      <c r="A33" s="8" t="s">
        <v>71</v>
      </c>
      <c r="B33" s="9"/>
    </row>
    <row r="34" spans="1:2" x14ac:dyDescent="0.25">
      <c r="A34" s="8" t="s">
        <v>100</v>
      </c>
      <c r="B34" s="11">
        <f>37886.27</f>
        <v>37886.269999999997</v>
      </c>
    </row>
    <row r="35" spans="1:2" x14ac:dyDescent="0.25">
      <c r="A35" s="8" t="s">
        <v>124</v>
      </c>
      <c r="B35" s="11">
        <f>11611.55</f>
        <v>11611.55</v>
      </c>
    </row>
    <row r="36" spans="1:2" x14ac:dyDescent="0.25">
      <c r="A36" s="8" t="s">
        <v>123</v>
      </c>
      <c r="B36" s="11">
        <f>-14166</f>
        <v>-14166</v>
      </c>
    </row>
    <row r="37" spans="1:2" x14ac:dyDescent="0.25">
      <c r="A37" s="8" t="s">
        <v>171</v>
      </c>
      <c r="B37" s="11">
        <f>160</f>
        <v>160</v>
      </c>
    </row>
    <row r="38" spans="1:2" x14ac:dyDescent="0.25">
      <c r="A38" s="8" t="s">
        <v>122</v>
      </c>
      <c r="B38" s="11">
        <f>134.01</f>
        <v>134.01</v>
      </c>
    </row>
    <row r="39" spans="1:2" x14ac:dyDescent="0.25">
      <c r="A39" s="8" t="s">
        <v>70</v>
      </c>
      <c r="B39" s="11">
        <f>7340.79</f>
        <v>7340.79</v>
      </c>
    </row>
    <row r="40" spans="1:2" x14ac:dyDescent="0.25">
      <c r="A40" s="8" t="s">
        <v>99</v>
      </c>
      <c r="B40" s="11">
        <f>61526.31</f>
        <v>61526.31</v>
      </c>
    </row>
    <row r="41" spans="1:2" x14ac:dyDescent="0.25">
      <c r="A41" s="8" t="s">
        <v>69</v>
      </c>
      <c r="B41" s="13">
        <f>((((((B34)+(B35))+(B36))+(B37))+(B38))+(B39))+(B40)</f>
        <v>104492.93</v>
      </c>
    </row>
    <row r="42" spans="1:2" x14ac:dyDescent="0.25">
      <c r="A42" s="8" t="s">
        <v>68</v>
      </c>
      <c r="B42" s="13">
        <f>(B32)+(B41)</f>
        <v>125012.87</v>
      </c>
    </row>
    <row r="43" spans="1:2" x14ac:dyDescent="0.25">
      <c r="A43" s="8" t="s">
        <v>67</v>
      </c>
      <c r="B43" s="9"/>
    </row>
    <row r="44" spans="1:2" x14ac:dyDescent="0.25">
      <c r="A44" s="8" t="s">
        <v>66</v>
      </c>
      <c r="B44" s="11">
        <f>375149.81</f>
        <v>375149.81</v>
      </c>
    </row>
    <row r="45" spans="1:2" x14ac:dyDescent="0.25">
      <c r="A45" s="8" t="s">
        <v>65</v>
      </c>
      <c r="B45" s="13">
        <f>B44</f>
        <v>375149.81</v>
      </c>
    </row>
    <row r="46" spans="1:2" x14ac:dyDescent="0.25">
      <c r="A46" s="8" t="s">
        <v>64</v>
      </c>
      <c r="B46" s="13">
        <f>(B42)+(B45)</f>
        <v>500162.68</v>
      </c>
    </row>
    <row r="47" spans="1:2" x14ac:dyDescent="0.25">
      <c r="A47" s="8" t="s">
        <v>63</v>
      </c>
      <c r="B47" s="9"/>
    </row>
    <row r="48" spans="1:2" x14ac:dyDescent="0.25">
      <c r="A48" s="8" t="s">
        <v>62</v>
      </c>
      <c r="B48" s="11">
        <f>448457.24</f>
        <v>448457.24</v>
      </c>
    </row>
    <row r="49" spans="1:2" x14ac:dyDescent="0.25">
      <c r="A49" s="8" t="s">
        <v>61</v>
      </c>
      <c r="B49" s="11">
        <f>4000</f>
        <v>4000</v>
      </c>
    </row>
    <row r="50" spans="1:2" x14ac:dyDescent="0.25">
      <c r="A50" s="8" t="s">
        <v>60</v>
      </c>
      <c r="B50" s="11">
        <f>-28743.18</f>
        <v>-28743.18</v>
      </c>
    </row>
    <row r="51" spans="1:2" x14ac:dyDescent="0.25">
      <c r="A51" s="8" t="s">
        <v>59</v>
      </c>
      <c r="B51" s="13">
        <f>((B48)+(B49))+(B50)</f>
        <v>423714.06</v>
      </c>
    </row>
    <row r="52" spans="1:2" x14ac:dyDescent="0.25">
      <c r="A52" s="8" t="s">
        <v>58</v>
      </c>
      <c r="B52" s="13">
        <f>(B46)+(B51)</f>
        <v>923876.74</v>
      </c>
    </row>
    <row r="53" spans="1:2" x14ac:dyDescent="0.25">
      <c r="A53" s="8"/>
      <c r="B53" s="9"/>
    </row>
    <row r="56" spans="1:2" x14ac:dyDescent="0.25">
      <c r="A56" s="77" t="s">
        <v>170</v>
      </c>
      <c r="B56" s="75"/>
    </row>
  </sheetData>
  <mergeCells count="4">
    <mergeCell ref="A56:B56"/>
    <mergeCell ref="A1:B1"/>
    <mergeCell ref="A2:B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BC15F-B0D4-4984-A1D4-4B913818D03C}">
  <dimension ref="A1:G92"/>
  <sheetViews>
    <sheetView workbookViewId="0">
      <selection activeCell="B5" sqref="B5:E5"/>
    </sheetView>
  </sheetViews>
  <sheetFormatPr defaultRowHeight="15" x14ac:dyDescent="0.25"/>
  <cols>
    <col min="1" max="1" width="38.375" style="28" customWidth="1"/>
    <col min="2" max="2" width="9.75" style="28" customWidth="1"/>
    <col min="3" max="3" width="10.5" style="28" customWidth="1"/>
    <col min="4" max="4" width="12" style="28" customWidth="1"/>
    <col min="5" max="5" width="9" style="28" customWidth="1"/>
    <col min="6" max="16384" width="9" style="28"/>
  </cols>
  <sheetData>
    <row r="1" spans="1:6" ht="18" x14ac:dyDescent="0.25">
      <c r="A1" s="74" t="s">
        <v>97</v>
      </c>
      <c r="B1" s="75"/>
      <c r="C1" s="75"/>
      <c r="D1" s="75"/>
      <c r="E1" s="75"/>
    </row>
    <row r="2" spans="1:6" ht="18" x14ac:dyDescent="0.25">
      <c r="A2" s="74" t="s">
        <v>165</v>
      </c>
      <c r="B2" s="75"/>
      <c r="C2" s="75"/>
      <c r="D2" s="75"/>
      <c r="E2" s="75"/>
    </row>
    <row r="3" spans="1:6" x14ac:dyDescent="0.25">
      <c r="A3" s="76" t="s">
        <v>169</v>
      </c>
      <c r="B3" s="75"/>
      <c r="C3" s="75"/>
      <c r="D3" s="75"/>
      <c r="E3" s="75"/>
    </row>
    <row r="5" spans="1:6" x14ac:dyDescent="0.25">
      <c r="A5" s="27"/>
      <c r="B5" s="72" t="s">
        <v>0</v>
      </c>
      <c r="C5" s="73"/>
      <c r="D5" s="73"/>
      <c r="E5" s="73"/>
    </row>
    <row r="6" spans="1:6" ht="24.75" x14ac:dyDescent="0.25">
      <c r="A6" s="27"/>
      <c r="B6" s="26" t="s">
        <v>1</v>
      </c>
      <c r="C6" s="26" t="s">
        <v>2</v>
      </c>
      <c r="D6" s="26" t="s">
        <v>3</v>
      </c>
      <c r="E6" s="26" t="s">
        <v>4</v>
      </c>
    </row>
    <row r="7" spans="1:6" x14ac:dyDescent="0.25">
      <c r="A7" s="8" t="s">
        <v>5</v>
      </c>
      <c r="B7" s="9"/>
      <c r="C7" s="9"/>
      <c r="D7" s="9"/>
      <c r="E7" s="9"/>
    </row>
    <row r="8" spans="1:6" x14ac:dyDescent="0.25">
      <c r="A8" s="8" t="s">
        <v>6</v>
      </c>
      <c r="B8" s="11">
        <f>401</f>
        <v>401</v>
      </c>
      <c r="C8" s="11">
        <f>25000</f>
        <v>25000</v>
      </c>
      <c r="D8" s="11">
        <f t="shared" ref="D8:D26" si="0">(B8)-(C8)</f>
        <v>-24599</v>
      </c>
      <c r="E8" s="12">
        <f t="shared" ref="E8:E26" si="1">IF(C8=0,"",(B8)/(C8))</f>
        <v>1.6039999999999999E-2</v>
      </c>
      <c r="F8" s="28" t="str">
        <f>VLOOKUP(A8,'BvA Sep 21'!A:F,6,FALSE)</f>
        <v>Local Support</v>
      </c>
    </row>
    <row r="9" spans="1:6" x14ac:dyDescent="0.25">
      <c r="A9" s="8" t="s">
        <v>7</v>
      </c>
      <c r="B9" s="9"/>
      <c r="C9" s="11">
        <f>7050</f>
        <v>7050</v>
      </c>
      <c r="D9" s="11">
        <f t="shared" si="0"/>
        <v>-7050</v>
      </c>
      <c r="E9" s="12">
        <f t="shared" si="1"/>
        <v>0</v>
      </c>
      <c r="F9" s="28" t="str">
        <f>VLOOKUP(A9,'BvA Sep 21'!A:F,6,FALSE)</f>
        <v>Local Support</v>
      </c>
    </row>
    <row r="10" spans="1:6" x14ac:dyDescent="0.25">
      <c r="A10" s="8" t="s">
        <v>118</v>
      </c>
      <c r="B10" s="11">
        <f>0.03</f>
        <v>0.03</v>
      </c>
      <c r="C10" s="9"/>
      <c r="D10" s="11">
        <f t="shared" si="0"/>
        <v>0.03</v>
      </c>
      <c r="E10" s="12" t="str">
        <f t="shared" si="1"/>
        <v/>
      </c>
      <c r="F10" s="28" t="s">
        <v>44</v>
      </c>
    </row>
    <row r="11" spans="1:6" x14ac:dyDescent="0.25">
      <c r="A11" s="8" t="s">
        <v>8</v>
      </c>
      <c r="B11" s="11">
        <f>5000</f>
        <v>5000</v>
      </c>
      <c r="C11" s="11">
        <f>241000</f>
        <v>241000</v>
      </c>
      <c r="D11" s="11">
        <f t="shared" si="0"/>
        <v>-236000</v>
      </c>
      <c r="E11" s="12">
        <f t="shared" si="1"/>
        <v>2.0746887966804978E-2</v>
      </c>
      <c r="F11" s="28" t="str">
        <f>VLOOKUP(A11,'BvA Sep 21'!A:F,6,FALSE)</f>
        <v>Grants &amp; Other Sources</v>
      </c>
    </row>
    <row r="12" spans="1:6" x14ac:dyDescent="0.25">
      <c r="A12" s="8" t="s">
        <v>163</v>
      </c>
      <c r="B12" s="11">
        <f>167969.25</f>
        <v>167969.25</v>
      </c>
      <c r="C12" s="11">
        <f>989953.75</f>
        <v>989953.75</v>
      </c>
      <c r="D12" s="11">
        <f t="shared" si="0"/>
        <v>-821984.5</v>
      </c>
      <c r="E12" s="12">
        <f t="shared" si="1"/>
        <v>0.16967383577263079</v>
      </c>
      <c r="F12" s="28" t="str">
        <f>VLOOKUP(A12,'BvA Sep 21'!A:F,6,FALSE)</f>
        <v>State Revenue - General</v>
      </c>
    </row>
    <row r="13" spans="1:6" x14ac:dyDescent="0.25">
      <c r="A13" s="8" t="s">
        <v>162</v>
      </c>
      <c r="B13" s="11">
        <f>4080.14</f>
        <v>4080.14</v>
      </c>
      <c r="C13" s="11">
        <f>24001.51</f>
        <v>24001.51</v>
      </c>
      <c r="D13" s="11">
        <f t="shared" si="0"/>
        <v>-19921.37</v>
      </c>
      <c r="E13" s="12">
        <f t="shared" si="1"/>
        <v>0.16999513780591305</v>
      </c>
      <c r="F13" s="28" t="str">
        <f>VLOOKUP(A13,'BvA Sep 21'!A:F,6,FALSE)</f>
        <v>State Revenue - Special Purpose</v>
      </c>
    </row>
    <row r="14" spans="1:6" x14ac:dyDescent="0.25">
      <c r="A14" s="8" t="s">
        <v>161</v>
      </c>
      <c r="B14" s="11">
        <f>20878.51</f>
        <v>20878.509999999998</v>
      </c>
      <c r="C14" s="11">
        <f>122818.22</f>
        <v>122818.22</v>
      </c>
      <c r="D14" s="11">
        <f t="shared" si="0"/>
        <v>-101939.71</v>
      </c>
      <c r="E14" s="12">
        <f t="shared" si="1"/>
        <v>0.16999521732199016</v>
      </c>
      <c r="F14" s="28" t="str">
        <f>VLOOKUP(A14,'BvA Sep 21'!A:F,6,FALSE)</f>
        <v>State Revenue - Special Purpose</v>
      </c>
    </row>
    <row r="15" spans="1:6" x14ac:dyDescent="0.25">
      <c r="A15" s="8" t="s">
        <v>160</v>
      </c>
      <c r="B15" s="9"/>
      <c r="C15" s="11">
        <f>29741.78</f>
        <v>29741.78</v>
      </c>
      <c r="D15" s="11">
        <f t="shared" si="0"/>
        <v>-29741.78</v>
      </c>
      <c r="E15" s="12">
        <f t="shared" si="1"/>
        <v>0</v>
      </c>
      <c r="F15" s="28" t="str">
        <f>VLOOKUP(A15,'BvA Sep 21'!A:F,6,FALSE)</f>
        <v>State Revenue - Special Purpose</v>
      </c>
    </row>
    <row r="16" spans="1:6" x14ac:dyDescent="0.25">
      <c r="A16" s="8" t="s">
        <v>159</v>
      </c>
      <c r="B16" s="9"/>
      <c r="C16" s="11">
        <f>6342.8</f>
        <v>6342.8</v>
      </c>
      <c r="D16" s="11">
        <f t="shared" si="0"/>
        <v>-6342.8</v>
      </c>
      <c r="E16" s="12">
        <f t="shared" si="1"/>
        <v>0</v>
      </c>
      <c r="F16" s="28" t="str">
        <f>VLOOKUP(A16,'BvA Sep 21'!A:F,6,FALSE)</f>
        <v>State Revenue - Special Purpose</v>
      </c>
    </row>
    <row r="17" spans="1:7" x14ac:dyDescent="0.25">
      <c r="A17" s="8" t="s">
        <v>158</v>
      </c>
      <c r="B17" s="9"/>
      <c r="C17" s="11">
        <f>2641.54</f>
        <v>2641.54</v>
      </c>
      <c r="D17" s="11">
        <f t="shared" si="0"/>
        <v>-2641.54</v>
      </c>
      <c r="E17" s="12">
        <f t="shared" si="1"/>
        <v>0</v>
      </c>
      <c r="F17" s="28" t="str">
        <f>VLOOKUP(A17,'BvA Sep 21'!A:F,6,FALSE)</f>
        <v>State Revenue - Special Purpose</v>
      </c>
    </row>
    <row r="18" spans="1:7" x14ac:dyDescent="0.25">
      <c r="A18" s="8" t="s">
        <v>157</v>
      </c>
      <c r="B18" s="9"/>
      <c r="C18" s="11">
        <f>18674.92</f>
        <v>18674.919999999998</v>
      </c>
      <c r="D18" s="11">
        <f t="shared" si="0"/>
        <v>-18674.919999999998</v>
      </c>
      <c r="E18" s="12">
        <f t="shared" si="1"/>
        <v>0</v>
      </c>
      <c r="F18" s="28" t="str">
        <f>VLOOKUP(A18,'BvA Sep 21'!A:F,6,FALSE)</f>
        <v>State Revenue - Special Purpose</v>
      </c>
    </row>
    <row r="19" spans="1:7" x14ac:dyDescent="0.25">
      <c r="A19" s="8" t="s">
        <v>156</v>
      </c>
      <c r="B19" s="9"/>
      <c r="C19" s="11">
        <f>16345</f>
        <v>16345</v>
      </c>
      <c r="D19" s="11">
        <f t="shared" si="0"/>
        <v>-16345</v>
      </c>
      <c r="E19" s="12">
        <f t="shared" si="1"/>
        <v>0</v>
      </c>
      <c r="F19" s="28" t="str">
        <f>VLOOKUP(A19,'BvA Sep 21'!A:F,6,FALSE)</f>
        <v>Federal Revenue</v>
      </c>
    </row>
    <row r="20" spans="1:7" x14ac:dyDescent="0.25">
      <c r="A20" s="8" t="s">
        <v>155</v>
      </c>
      <c r="B20" s="9"/>
      <c r="C20" s="11">
        <f>1316</f>
        <v>1316</v>
      </c>
      <c r="D20" s="11">
        <f t="shared" si="0"/>
        <v>-1316</v>
      </c>
      <c r="E20" s="12">
        <f t="shared" si="1"/>
        <v>0</v>
      </c>
      <c r="F20" s="28" t="str">
        <f>VLOOKUP(A20,'BvA Sep 21'!A:F,6,FALSE)</f>
        <v>Federal Revenue</v>
      </c>
    </row>
    <row r="21" spans="1:7" x14ac:dyDescent="0.25">
      <c r="A21" s="8" t="s">
        <v>154</v>
      </c>
      <c r="B21" s="9"/>
      <c r="C21" s="11">
        <f>11985</f>
        <v>11985</v>
      </c>
      <c r="D21" s="11">
        <f t="shared" si="0"/>
        <v>-11985</v>
      </c>
      <c r="E21" s="12">
        <f t="shared" si="1"/>
        <v>0</v>
      </c>
      <c r="F21" s="28" t="str">
        <f>VLOOKUP(A21,'BvA Sep 21'!A:F,6,FALSE)</f>
        <v>Federal Revenue</v>
      </c>
    </row>
    <row r="22" spans="1:7" x14ac:dyDescent="0.25">
      <c r="A22" s="8" t="s">
        <v>153</v>
      </c>
      <c r="B22" s="9"/>
      <c r="C22" s="11">
        <f>92315.52</f>
        <v>92315.520000000004</v>
      </c>
      <c r="D22" s="11">
        <f t="shared" si="0"/>
        <v>-92315.520000000004</v>
      </c>
      <c r="E22" s="12">
        <f t="shared" si="1"/>
        <v>0</v>
      </c>
      <c r="F22" s="28" t="str">
        <f>VLOOKUP(A22,'BvA Sep 21'!A:F,6,FALSE)</f>
        <v>Federal Revenue</v>
      </c>
    </row>
    <row r="23" spans="1:7" x14ac:dyDescent="0.25">
      <c r="A23" s="8" t="s">
        <v>152</v>
      </c>
      <c r="B23" s="9"/>
      <c r="C23" s="11">
        <f>105720</f>
        <v>105720</v>
      </c>
      <c r="D23" s="11">
        <f t="shared" si="0"/>
        <v>-105720</v>
      </c>
      <c r="E23" s="12">
        <f t="shared" si="1"/>
        <v>0</v>
      </c>
      <c r="F23" s="28" t="str">
        <f>VLOOKUP(A23,'BvA Sep 21'!A:F,6,FALSE)</f>
        <v>Federal Revenue</v>
      </c>
    </row>
    <row r="24" spans="1:7" x14ac:dyDescent="0.25">
      <c r="A24" s="8" t="s">
        <v>9</v>
      </c>
      <c r="B24" s="11">
        <f>38187.65</f>
        <v>38187.65</v>
      </c>
      <c r="C24" s="11">
        <f>154303.85</f>
        <v>154303.85</v>
      </c>
      <c r="D24" s="11">
        <f t="shared" si="0"/>
        <v>-116116.20000000001</v>
      </c>
      <c r="E24" s="12">
        <f t="shared" si="1"/>
        <v>0.24748345553270382</v>
      </c>
      <c r="F24" s="28" t="str">
        <f>VLOOKUP(A24,'BvA Sep 21'!A:F,6,FALSE)</f>
        <v>Federal Revenue</v>
      </c>
    </row>
    <row r="25" spans="1:7" x14ac:dyDescent="0.25">
      <c r="A25" s="8" t="s">
        <v>10</v>
      </c>
      <c r="B25" s="13">
        <f>((((((((((((((((B8)+(B9))+(B10))+(B11))+(B12))+(B13))+(B14))+(B15))+(B16))+(B17))+(B18))+(B19))+(B20))+(B21))+(B22))+(B23))+(B24)</f>
        <v>236516.58000000002</v>
      </c>
      <c r="C25" s="13">
        <f>((((((((((((((((C8)+(C9))+(C10))+(C11))+(C12))+(C13))+(C14))+(C15))+(C16))+(C17))+(C18))+(C19))+(C20))+(C21))+(C22))+(C23))+(C24)</f>
        <v>1849209.8900000001</v>
      </c>
      <c r="D25" s="13">
        <f t="shared" si="0"/>
        <v>-1612693.31</v>
      </c>
      <c r="E25" s="14">
        <f t="shared" si="1"/>
        <v>0.12790142497020715</v>
      </c>
      <c r="F25" s="28">
        <f>VLOOKUP(A25,'BvA Sep 21'!A:F,6,FALSE)</f>
        <v>0</v>
      </c>
    </row>
    <row r="26" spans="1:7" x14ac:dyDescent="0.25">
      <c r="A26" s="8" t="s">
        <v>11</v>
      </c>
      <c r="B26" s="13">
        <f>(B25)-(0)</f>
        <v>236516.58000000002</v>
      </c>
      <c r="C26" s="13">
        <f>(C25)-(0)</f>
        <v>1849209.8900000001</v>
      </c>
      <c r="D26" s="13">
        <f t="shared" si="0"/>
        <v>-1612693.31</v>
      </c>
      <c r="E26" s="14">
        <f t="shared" si="1"/>
        <v>0.12790142497020715</v>
      </c>
      <c r="F26" s="28">
        <f>VLOOKUP(A26,'BvA Sep 21'!A:F,6,FALSE)</f>
        <v>0</v>
      </c>
    </row>
    <row r="27" spans="1:7" x14ac:dyDescent="0.25">
      <c r="A27" s="8" t="s">
        <v>12</v>
      </c>
      <c r="B27" s="9"/>
      <c r="C27" s="9"/>
      <c r="D27" s="9"/>
      <c r="E27" s="9"/>
      <c r="F27" s="28">
        <f>VLOOKUP(A27,'BvA Sep 21'!A:F,6,FALSE)</f>
        <v>0</v>
      </c>
    </row>
    <row r="28" spans="1:7" x14ac:dyDescent="0.25">
      <c r="A28" s="8" t="s">
        <v>151</v>
      </c>
      <c r="B28" s="11">
        <f>13333.35</f>
        <v>13333.35</v>
      </c>
      <c r="C28" s="11">
        <f>90000</f>
        <v>90000</v>
      </c>
      <c r="D28" s="11">
        <f t="shared" ref="D28:D59" si="2">(B28)-(C28)</f>
        <v>-76666.649999999994</v>
      </c>
      <c r="E28" s="12">
        <f t="shared" ref="E28:E59" si="3">IF(C28=0,"",(B28)/(C28))</f>
        <v>0.14814833333333333</v>
      </c>
      <c r="F28" s="28" t="str">
        <f>VLOOKUP(A28,'BvA Sep 21'!A:F,6,FALSE)</f>
        <v>Salaries</v>
      </c>
    </row>
    <row r="29" spans="1:7" x14ac:dyDescent="0.25">
      <c r="A29" s="8" t="s">
        <v>116</v>
      </c>
      <c r="B29" s="11">
        <f>13333.35</f>
        <v>13333.35</v>
      </c>
      <c r="C29" s="11">
        <f>80000</f>
        <v>80000</v>
      </c>
      <c r="D29" s="11">
        <f t="shared" si="2"/>
        <v>-66666.649999999994</v>
      </c>
      <c r="E29" s="12">
        <f t="shared" si="3"/>
        <v>0.16666687499999999</v>
      </c>
      <c r="F29" s="28" t="str">
        <f>VLOOKUP(A29,'BvA Sep 21'!A:F,6,FALSE)</f>
        <v>Salaries</v>
      </c>
    </row>
    <row r="30" spans="1:7" x14ac:dyDescent="0.25">
      <c r="A30" s="8" t="s">
        <v>13</v>
      </c>
      <c r="B30" s="11">
        <f>7416.68</f>
        <v>7416.68</v>
      </c>
      <c r="C30" s="11">
        <f>45000</f>
        <v>45000</v>
      </c>
      <c r="D30" s="11">
        <f t="shared" si="2"/>
        <v>-37583.32</v>
      </c>
      <c r="E30" s="12">
        <f t="shared" si="3"/>
        <v>0.16481511111111111</v>
      </c>
      <c r="F30" s="28" t="str">
        <f>VLOOKUP(A30,'BvA Sep 21'!A:F,6,FALSE)</f>
        <v>Salaries</v>
      </c>
    </row>
    <row r="31" spans="1:7" x14ac:dyDescent="0.25">
      <c r="A31" s="8" t="s">
        <v>150</v>
      </c>
      <c r="B31" s="11">
        <f>3844</f>
        <v>3844</v>
      </c>
      <c r="C31" s="11">
        <f>14720</f>
        <v>14720</v>
      </c>
      <c r="D31" s="11">
        <f t="shared" si="2"/>
        <v>-10876</v>
      </c>
      <c r="E31" s="12">
        <f t="shared" si="3"/>
        <v>0.26114130434782606</v>
      </c>
      <c r="F31" s="28" t="str">
        <f>VLOOKUP(A31,'BvA Sep 21'!A:F,6,FALSE)</f>
        <v>Salaries</v>
      </c>
      <c r="G31" s="28" t="s">
        <v>173</v>
      </c>
    </row>
    <row r="32" spans="1:7" x14ac:dyDescent="0.25">
      <c r="A32" s="8" t="s">
        <v>114</v>
      </c>
      <c r="B32" s="11">
        <f>5641.9</f>
        <v>5641.9</v>
      </c>
      <c r="C32" s="11">
        <f>20000</f>
        <v>20000</v>
      </c>
      <c r="D32" s="11">
        <f t="shared" si="2"/>
        <v>-14358.1</v>
      </c>
      <c r="E32" s="12">
        <f t="shared" si="3"/>
        <v>0.28209499999999998</v>
      </c>
      <c r="F32" s="28" t="str">
        <f>VLOOKUP(A32,'BvA Sep 21'!A:F,6,FALSE)</f>
        <v>Salaries</v>
      </c>
      <c r="G32" s="28" t="s">
        <v>174</v>
      </c>
    </row>
    <row r="33" spans="1:7" x14ac:dyDescent="0.25">
      <c r="A33" s="8" t="s">
        <v>14</v>
      </c>
      <c r="B33" s="11">
        <f>35326.19</f>
        <v>35326.19</v>
      </c>
      <c r="C33" s="11">
        <f>264501.04</f>
        <v>264501.03999999998</v>
      </c>
      <c r="D33" s="11">
        <f t="shared" si="2"/>
        <v>-229174.84999999998</v>
      </c>
      <c r="E33" s="12">
        <f t="shared" si="3"/>
        <v>0.13355784914872171</v>
      </c>
      <c r="F33" s="28" t="str">
        <f>VLOOKUP(A33,'BvA Sep 21'!A:F,6,FALSE)</f>
        <v>Salaries</v>
      </c>
    </row>
    <row r="34" spans="1:7" x14ac:dyDescent="0.25">
      <c r="A34" s="8" t="s">
        <v>149</v>
      </c>
      <c r="B34" s="11">
        <f>10749.86</f>
        <v>10749.86</v>
      </c>
      <c r="C34" s="11">
        <f>64499</f>
        <v>64499</v>
      </c>
      <c r="D34" s="11">
        <f t="shared" si="2"/>
        <v>-53749.14</v>
      </c>
      <c r="E34" s="12">
        <f t="shared" si="3"/>
        <v>0.16666708010976916</v>
      </c>
      <c r="F34" s="28" t="str">
        <f>VLOOKUP(A34,'BvA Sep 21'!A:F,6,FALSE)</f>
        <v>Salaries</v>
      </c>
    </row>
    <row r="35" spans="1:7" x14ac:dyDescent="0.25">
      <c r="A35" s="8" t="s">
        <v>113</v>
      </c>
      <c r="B35" s="11">
        <f>22752.32</f>
        <v>22752.32</v>
      </c>
      <c r="C35" s="11">
        <f>91833.33</f>
        <v>91833.33</v>
      </c>
      <c r="D35" s="11">
        <f t="shared" si="2"/>
        <v>-69081.010000000009</v>
      </c>
      <c r="E35" s="12">
        <f t="shared" si="3"/>
        <v>0.24775666961004245</v>
      </c>
      <c r="F35" s="28" t="str">
        <f>VLOOKUP(A35,'BvA Sep 21'!A:F,6,FALSE)</f>
        <v>Salaries</v>
      </c>
      <c r="G35" s="32" t="s">
        <v>175</v>
      </c>
    </row>
    <row r="36" spans="1:7" x14ac:dyDescent="0.25">
      <c r="A36" s="8" t="s">
        <v>15</v>
      </c>
      <c r="B36" s="11">
        <f>6316.07</f>
        <v>6316.07</v>
      </c>
      <c r="C36" s="11">
        <f>55320.65</f>
        <v>55320.65</v>
      </c>
      <c r="D36" s="11">
        <f t="shared" si="2"/>
        <v>-49004.58</v>
      </c>
      <c r="E36" s="12">
        <f t="shared" si="3"/>
        <v>0.11417201352478684</v>
      </c>
      <c r="F36" s="28" t="str">
        <f>VLOOKUP(A36,'BvA Sep 21'!A:F,6,FALSE)</f>
        <v>Personnel Taxes &amp; Benefits</v>
      </c>
    </row>
    <row r="37" spans="1:7" x14ac:dyDescent="0.25">
      <c r="A37" s="8" t="s">
        <v>16</v>
      </c>
      <c r="B37" s="11">
        <f>955.37</f>
        <v>955.37</v>
      </c>
      <c r="C37" s="11">
        <f>6705.53</f>
        <v>6705.53</v>
      </c>
      <c r="D37" s="11">
        <f t="shared" si="2"/>
        <v>-5750.16</v>
      </c>
      <c r="E37" s="12">
        <f t="shared" si="3"/>
        <v>0.14247494232372385</v>
      </c>
      <c r="F37" s="28" t="str">
        <f>VLOOKUP(A37,'BvA Sep 21'!A:F,6,FALSE)</f>
        <v>Personnel Taxes &amp; Benefits</v>
      </c>
    </row>
    <row r="38" spans="1:7" x14ac:dyDescent="0.25">
      <c r="A38" s="8" t="s">
        <v>17</v>
      </c>
      <c r="B38" s="11">
        <f>1158.35</f>
        <v>1158.3499999999999</v>
      </c>
      <c r="C38" s="11">
        <f>9254.15</f>
        <v>9254.15</v>
      </c>
      <c r="D38" s="11">
        <f t="shared" si="2"/>
        <v>-8095.7999999999993</v>
      </c>
      <c r="E38" s="12">
        <f t="shared" si="3"/>
        <v>0.12517086928567184</v>
      </c>
      <c r="F38" s="28" t="str">
        <f>VLOOKUP(A38,'BvA Sep 21'!A:F,6,FALSE)</f>
        <v>Personnel Taxes &amp; Benefits</v>
      </c>
    </row>
    <row r="39" spans="1:7" x14ac:dyDescent="0.25">
      <c r="A39" s="8" t="s">
        <v>18</v>
      </c>
      <c r="B39" s="9"/>
      <c r="C39" s="11">
        <f>1676.38</f>
        <v>1676.38</v>
      </c>
      <c r="D39" s="11">
        <f t="shared" si="2"/>
        <v>-1676.38</v>
      </c>
      <c r="E39" s="12">
        <f t="shared" si="3"/>
        <v>0</v>
      </c>
      <c r="F39" s="28" t="str">
        <f>VLOOKUP(A39,'BvA Sep 21'!A:F,6,FALSE)</f>
        <v>Personnel Taxes &amp; Benefits</v>
      </c>
    </row>
    <row r="40" spans="1:7" x14ac:dyDescent="0.25">
      <c r="A40" s="8" t="s">
        <v>112</v>
      </c>
      <c r="B40" s="11">
        <f>14763.4</f>
        <v>14763.4</v>
      </c>
      <c r="C40" s="11">
        <f>83902.17</f>
        <v>83902.17</v>
      </c>
      <c r="D40" s="11">
        <f t="shared" si="2"/>
        <v>-69138.77</v>
      </c>
      <c r="E40" s="12">
        <f t="shared" si="3"/>
        <v>0.17595969210331508</v>
      </c>
      <c r="F40" s="28" t="str">
        <f>VLOOKUP(A40,'BvA Sep 21'!A:F,6,FALSE)</f>
        <v>Personnel Taxes &amp; Benefits</v>
      </c>
    </row>
    <row r="41" spans="1:7" x14ac:dyDescent="0.25">
      <c r="A41" s="8" t="s">
        <v>148</v>
      </c>
      <c r="B41" s="11">
        <f>24200</f>
        <v>24200</v>
      </c>
      <c r="C41" s="11">
        <f>151008</f>
        <v>151008</v>
      </c>
      <c r="D41" s="11">
        <f t="shared" si="2"/>
        <v>-126808</v>
      </c>
      <c r="E41" s="12">
        <f t="shared" si="3"/>
        <v>0.16025641025641027</v>
      </c>
      <c r="F41" s="28" t="str">
        <f>VLOOKUP(A41,'BvA Sep 21'!A:F,6,FALSE)</f>
        <v>Personnel Taxes &amp; Benefits</v>
      </c>
    </row>
    <row r="42" spans="1:7" x14ac:dyDescent="0.25">
      <c r="A42" s="8" t="s">
        <v>147</v>
      </c>
      <c r="B42" s="9"/>
      <c r="C42" s="11">
        <f>18000</f>
        <v>18000</v>
      </c>
      <c r="D42" s="11">
        <f t="shared" si="2"/>
        <v>-18000</v>
      </c>
      <c r="E42" s="12">
        <f t="shared" si="3"/>
        <v>0</v>
      </c>
      <c r="F42" s="28" t="str">
        <f>VLOOKUP(A42,'BvA Sep 21'!A:F,6,FALSE)</f>
        <v>Contracted Services</v>
      </c>
    </row>
    <row r="43" spans="1:7" x14ac:dyDescent="0.25">
      <c r="A43" s="8" t="s">
        <v>111</v>
      </c>
      <c r="B43" s="9"/>
      <c r="C43" s="11">
        <f>5000</f>
        <v>5000</v>
      </c>
      <c r="D43" s="11">
        <f t="shared" si="2"/>
        <v>-5000</v>
      </c>
      <c r="E43" s="12">
        <f t="shared" si="3"/>
        <v>0</v>
      </c>
      <c r="F43" s="28" t="str">
        <f>VLOOKUP(A43,'BvA Sep 21'!A:F,6,FALSE)</f>
        <v>Contracted Services</v>
      </c>
    </row>
    <row r="44" spans="1:7" x14ac:dyDescent="0.25">
      <c r="A44" s="8" t="s">
        <v>146</v>
      </c>
      <c r="B44" s="11">
        <f>5787.84</f>
        <v>5787.84</v>
      </c>
      <c r="C44" s="11">
        <f>35825.24</f>
        <v>35825.24</v>
      </c>
      <c r="D44" s="11">
        <f t="shared" si="2"/>
        <v>-30037.399999999998</v>
      </c>
      <c r="E44" s="12">
        <f t="shared" si="3"/>
        <v>0.16155760575504868</v>
      </c>
      <c r="F44" s="28" t="str">
        <f>VLOOKUP(A44,'BvA Sep 21'!A:F,6,FALSE)</f>
        <v>Contracted Services</v>
      </c>
    </row>
    <row r="45" spans="1:7" x14ac:dyDescent="0.25">
      <c r="A45" s="8" t="s">
        <v>19</v>
      </c>
      <c r="B45" s="11">
        <f>16000</f>
        <v>16000</v>
      </c>
      <c r="C45" s="11">
        <f>96000</f>
        <v>96000</v>
      </c>
      <c r="D45" s="11">
        <f t="shared" si="2"/>
        <v>-80000</v>
      </c>
      <c r="E45" s="12">
        <f t="shared" si="3"/>
        <v>0.16666666666666666</v>
      </c>
      <c r="F45" s="28" t="str">
        <f>VLOOKUP(A45,'BvA Sep 21'!A:F,6,FALSE)</f>
        <v>Contracted Services</v>
      </c>
    </row>
    <row r="46" spans="1:7" x14ac:dyDescent="0.25">
      <c r="A46" s="8" t="s">
        <v>108</v>
      </c>
      <c r="B46" s="11">
        <f>6066.4</f>
        <v>6066.4</v>
      </c>
      <c r="C46" s="11">
        <f>38020</f>
        <v>38020</v>
      </c>
      <c r="D46" s="11">
        <f t="shared" si="2"/>
        <v>-31953.599999999999</v>
      </c>
      <c r="E46" s="12">
        <f t="shared" si="3"/>
        <v>0.1595581273014203</v>
      </c>
      <c r="F46" s="28" t="str">
        <f>VLOOKUP(A46,'BvA Sep 21'!A:F,6,FALSE)</f>
        <v>Contracted Services</v>
      </c>
    </row>
    <row r="47" spans="1:7" x14ac:dyDescent="0.25">
      <c r="A47" s="8" t="s">
        <v>20</v>
      </c>
      <c r="B47" s="11">
        <f>3625</f>
        <v>3625</v>
      </c>
      <c r="C47" s="11">
        <f>20000</f>
        <v>20000</v>
      </c>
      <c r="D47" s="11">
        <f t="shared" si="2"/>
        <v>-16375</v>
      </c>
      <c r="E47" s="12">
        <f t="shared" si="3"/>
        <v>0.18124999999999999</v>
      </c>
      <c r="F47" s="28" t="str">
        <f>VLOOKUP(A47,'BvA Sep 21'!A:F,6,FALSE)</f>
        <v>Contracted Services</v>
      </c>
    </row>
    <row r="48" spans="1:7" x14ac:dyDescent="0.25">
      <c r="A48" s="8" t="s">
        <v>107</v>
      </c>
      <c r="B48" s="11">
        <f>2433.32</f>
        <v>2433.3200000000002</v>
      </c>
      <c r="C48" s="11">
        <f>17500</f>
        <v>17500</v>
      </c>
      <c r="D48" s="11">
        <f t="shared" si="2"/>
        <v>-15066.68</v>
      </c>
      <c r="E48" s="12">
        <f t="shared" si="3"/>
        <v>0.13904685714285714</v>
      </c>
      <c r="F48" s="28" t="str">
        <f>VLOOKUP(A48,'BvA Sep 21'!A:F,6,FALSE)</f>
        <v>Contracted Services</v>
      </c>
    </row>
    <row r="49" spans="1:6" x14ac:dyDescent="0.25">
      <c r="A49" s="8" t="s">
        <v>145</v>
      </c>
      <c r="B49" s="9"/>
      <c r="C49" s="11">
        <f>11250</f>
        <v>11250</v>
      </c>
      <c r="D49" s="11">
        <f t="shared" si="2"/>
        <v>-11250</v>
      </c>
      <c r="E49" s="12">
        <f t="shared" si="3"/>
        <v>0</v>
      </c>
      <c r="F49" s="28" t="str">
        <f>VLOOKUP(A49,'BvA Sep 21'!A:F,6,FALSE)</f>
        <v>Contracted Services</v>
      </c>
    </row>
    <row r="50" spans="1:6" x14ac:dyDescent="0.25">
      <c r="A50" s="8" t="s">
        <v>144</v>
      </c>
      <c r="B50" s="9"/>
      <c r="C50" s="11">
        <f>9500</f>
        <v>9500</v>
      </c>
      <c r="D50" s="11">
        <f t="shared" si="2"/>
        <v>-9500</v>
      </c>
      <c r="E50" s="12">
        <f t="shared" si="3"/>
        <v>0</v>
      </c>
      <c r="F50" s="28" t="str">
        <f>VLOOKUP(A50,'BvA Sep 21'!A:F,6,FALSE)</f>
        <v>Contracted Services</v>
      </c>
    </row>
    <row r="51" spans="1:6" x14ac:dyDescent="0.25">
      <c r="A51" s="8" t="s">
        <v>143</v>
      </c>
      <c r="B51" s="11">
        <f>6622</f>
        <v>6622</v>
      </c>
      <c r="C51" s="11">
        <f>37070</f>
        <v>37070</v>
      </c>
      <c r="D51" s="11">
        <f t="shared" si="2"/>
        <v>-30448</v>
      </c>
      <c r="E51" s="12">
        <f t="shared" si="3"/>
        <v>0.17863501483679525</v>
      </c>
      <c r="F51" s="28" t="str">
        <f>VLOOKUP(A51,'BvA Sep 21'!A:F,6,FALSE)</f>
        <v>Contracted Services</v>
      </c>
    </row>
    <row r="52" spans="1:6" x14ac:dyDescent="0.25">
      <c r="A52" s="8" t="s">
        <v>142</v>
      </c>
      <c r="B52" s="9"/>
      <c r="C52" s="11">
        <f>5000</f>
        <v>5000</v>
      </c>
      <c r="D52" s="11">
        <f t="shared" si="2"/>
        <v>-5000</v>
      </c>
      <c r="E52" s="12">
        <f t="shared" si="3"/>
        <v>0</v>
      </c>
      <c r="F52" s="28" t="str">
        <f>VLOOKUP(A52,'BvA Sep 21'!A:F,6,FALSE)</f>
        <v>School Operations</v>
      </c>
    </row>
    <row r="53" spans="1:6" x14ac:dyDescent="0.25">
      <c r="A53" s="8" t="s">
        <v>21</v>
      </c>
      <c r="B53" s="11">
        <f>1292</f>
        <v>1292</v>
      </c>
      <c r="C53" s="11">
        <f>1470</f>
        <v>1470</v>
      </c>
      <c r="D53" s="11">
        <f t="shared" si="2"/>
        <v>-178</v>
      </c>
      <c r="E53" s="12">
        <f t="shared" si="3"/>
        <v>0.87891156462585029</v>
      </c>
      <c r="F53" s="28" t="str">
        <f>VLOOKUP(A53,'BvA Sep 21'!A:F,6,FALSE)</f>
        <v>School Operations</v>
      </c>
    </row>
    <row r="54" spans="1:6" x14ac:dyDescent="0.25">
      <c r="A54" s="8" t="s">
        <v>23</v>
      </c>
      <c r="B54" s="11">
        <f>1666.66</f>
        <v>1666.66</v>
      </c>
      <c r="C54" s="11">
        <f>11250</f>
        <v>11250</v>
      </c>
      <c r="D54" s="11">
        <f t="shared" si="2"/>
        <v>-9583.34</v>
      </c>
      <c r="E54" s="12">
        <f t="shared" si="3"/>
        <v>0.14814755555555556</v>
      </c>
      <c r="F54" s="28" t="str">
        <f>VLOOKUP(A54,'BvA Sep 21'!A:F,6,FALSE)</f>
        <v>School Operations</v>
      </c>
    </row>
    <row r="55" spans="1:6" x14ac:dyDescent="0.25">
      <c r="A55" s="8" t="s">
        <v>24</v>
      </c>
      <c r="B55" s="11">
        <f>13212.13</f>
        <v>13212.13</v>
      </c>
      <c r="C55" s="11">
        <f>61000</f>
        <v>61000</v>
      </c>
      <c r="D55" s="11">
        <f t="shared" si="2"/>
        <v>-47787.87</v>
      </c>
      <c r="E55" s="12">
        <f t="shared" si="3"/>
        <v>0.2165922950819672</v>
      </c>
      <c r="F55" s="28" t="str">
        <f>VLOOKUP(A55,'BvA Sep 21'!A:F,6,FALSE)</f>
        <v>School Operations</v>
      </c>
    </row>
    <row r="56" spans="1:6" x14ac:dyDescent="0.25">
      <c r="A56" s="8" t="s">
        <v>106</v>
      </c>
      <c r="B56" s="11">
        <f>29.96</f>
        <v>29.96</v>
      </c>
      <c r="C56" s="11">
        <f>6345</f>
        <v>6345</v>
      </c>
      <c r="D56" s="11">
        <f t="shared" si="2"/>
        <v>-6315.04</v>
      </c>
      <c r="E56" s="12">
        <f t="shared" si="3"/>
        <v>4.7218282111899136E-3</v>
      </c>
      <c r="F56" s="28" t="str">
        <f>VLOOKUP(A56,'BvA Sep 21'!A:F,6,FALSE)</f>
        <v>School Operations</v>
      </c>
    </row>
    <row r="57" spans="1:6" x14ac:dyDescent="0.25">
      <c r="A57" s="8" t="s">
        <v>141</v>
      </c>
      <c r="B57" s="9"/>
      <c r="C57" s="11">
        <f>7050</f>
        <v>7050</v>
      </c>
      <c r="D57" s="11">
        <f t="shared" si="2"/>
        <v>-7050</v>
      </c>
      <c r="E57" s="12">
        <f t="shared" si="3"/>
        <v>0</v>
      </c>
      <c r="F57" s="28" t="str">
        <f>VLOOKUP(A57,'BvA Sep 21'!A:F,6,FALSE)</f>
        <v>School Operations</v>
      </c>
    </row>
    <row r="58" spans="1:6" x14ac:dyDescent="0.25">
      <c r="A58" s="8" t="s">
        <v>140</v>
      </c>
      <c r="B58" s="11">
        <f>592.22</f>
        <v>592.22</v>
      </c>
      <c r="C58" s="9"/>
      <c r="D58" s="11">
        <f t="shared" si="2"/>
        <v>592.22</v>
      </c>
      <c r="E58" s="12" t="str">
        <f t="shared" si="3"/>
        <v/>
      </c>
      <c r="F58" s="28" t="str">
        <f>VLOOKUP(A58,'BvA Sep 21'!A:F,6,FALSE)</f>
        <v>School Operations</v>
      </c>
    </row>
    <row r="59" spans="1:6" x14ac:dyDescent="0.25">
      <c r="A59" s="8" t="s">
        <v>25</v>
      </c>
      <c r="B59" s="11">
        <f>3781.76</f>
        <v>3781.76</v>
      </c>
      <c r="C59" s="11">
        <f>58000</f>
        <v>58000</v>
      </c>
      <c r="D59" s="11">
        <f t="shared" si="2"/>
        <v>-54218.239999999998</v>
      </c>
      <c r="E59" s="12">
        <f t="shared" si="3"/>
        <v>6.5202758620689652E-2</v>
      </c>
      <c r="F59" s="28" t="str">
        <f>VLOOKUP(A59,'BvA Sep 21'!A:F,6,FALSE)</f>
        <v>School Operations</v>
      </c>
    </row>
    <row r="60" spans="1:6" x14ac:dyDescent="0.25">
      <c r="A60" s="8" t="s">
        <v>26</v>
      </c>
      <c r="B60" s="11">
        <f>891.83</f>
        <v>891.83</v>
      </c>
      <c r="C60" s="11">
        <f>7680</f>
        <v>7680</v>
      </c>
      <c r="D60" s="11">
        <f t="shared" ref="D60:D83" si="4">(B60)-(C60)</f>
        <v>-6788.17</v>
      </c>
      <c r="E60" s="12">
        <f t="shared" ref="E60:E83" si="5">IF(C60=0,"",(B60)/(C60))</f>
        <v>0.11612369791666667</v>
      </c>
      <c r="F60" s="28" t="str">
        <f>VLOOKUP(A60,'BvA Sep 21'!A:F,6,FALSE)</f>
        <v>School Operations</v>
      </c>
    </row>
    <row r="61" spans="1:6" x14ac:dyDescent="0.25">
      <c r="A61" s="8" t="s">
        <v>27</v>
      </c>
      <c r="B61" s="11">
        <f>607.84</f>
        <v>607.84</v>
      </c>
      <c r="C61" s="11">
        <f>14701</f>
        <v>14701</v>
      </c>
      <c r="D61" s="11">
        <f t="shared" si="4"/>
        <v>-14093.16</v>
      </c>
      <c r="E61" s="12">
        <f t="shared" si="5"/>
        <v>4.134684715325488E-2</v>
      </c>
      <c r="F61" s="28" t="str">
        <f>VLOOKUP(A61,'BvA Sep 21'!A:F,6,FALSE)</f>
        <v>School Operations</v>
      </c>
    </row>
    <row r="62" spans="1:6" x14ac:dyDescent="0.25">
      <c r="A62" s="8" t="s">
        <v>28</v>
      </c>
      <c r="B62" s="11">
        <f>882.46</f>
        <v>882.46</v>
      </c>
      <c r="C62" s="11">
        <f>27591</f>
        <v>27591</v>
      </c>
      <c r="D62" s="11">
        <f t="shared" si="4"/>
        <v>-26708.54</v>
      </c>
      <c r="E62" s="12">
        <f t="shared" si="5"/>
        <v>3.1983617846399193E-2</v>
      </c>
      <c r="F62" s="28" t="str">
        <f>VLOOKUP(A62,'BvA Sep 21'!A:F,6,FALSE)</f>
        <v>School Operations</v>
      </c>
    </row>
    <row r="63" spans="1:6" x14ac:dyDescent="0.25">
      <c r="A63" s="8" t="s">
        <v>105</v>
      </c>
      <c r="B63" s="9"/>
      <c r="C63" s="11">
        <f>7030</f>
        <v>7030</v>
      </c>
      <c r="D63" s="11">
        <f t="shared" si="4"/>
        <v>-7030</v>
      </c>
      <c r="E63" s="12">
        <f t="shared" si="5"/>
        <v>0</v>
      </c>
      <c r="F63" s="28" t="str">
        <f>VLOOKUP(A63,'BvA Sep 21'!A:F,6,FALSE)</f>
        <v>School Operations</v>
      </c>
    </row>
    <row r="64" spans="1:6" x14ac:dyDescent="0.25">
      <c r="A64" s="8" t="s">
        <v>139</v>
      </c>
      <c r="B64" s="9"/>
      <c r="C64" s="11">
        <f>8930</f>
        <v>8930</v>
      </c>
      <c r="D64" s="11">
        <f t="shared" si="4"/>
        <v>-8930</v>
      </c>
      <c r="E64" s="12">
        <f t="shared" si="5"/>
        <v>0</v>
      </c>
      <c r="F64" s="28" t="str">
        <f>VLOOKUP(A64,'BvA Sep 21'!A:F,6,FALSE)</f>
        <v>School Operations</v>
      </c>
    </row>
    <row r="65" spans="1:6" x14ac:dyDescent="0.25">
      <c r="A65" s="8" t="s">
        <v>138</v>
      </c>
      <c r="B65" s="9"/>
      <c r="C65" s="11">
        <f>2350</f>
        <v>2350</v>
      </c>
      <c r="D65" s="11">
        <f t="shared" si="4"/>
        <v>-2350</v>
      </c>
      <c r="E65" s="12">
        <f t="shared" si="5"/>
        <v>0</v>
      </c>
      <c r="F65" s="28" t="str">
        <f>VLOOKUP(A65,'BvA Sep 21'!A:F,6,FALSE)</f>
        <v>School Operations</v>
      </c>
    </row>
    <row r="66" spans="1:6" x14ac:dyDescent="0.25">
      <c r="A66" s="8" t="s">
        <v>168</v>
      </c>
      <c r="B66" s="11">
        <f>47.44</f>
        <v>47.44</v>
      </c>
      <c r="C66" s="9"/>
      <c r="D66" s="11">
        <f t="shared" si="4"/>
        <v>47.44</v>
      </c>
      <c r="E66" s="12" t="str">
        <f t="shared" si="5"/>
        <v/>
      </c>
      <c r="F66" s="28" t="s">
        <v>48</v>
      </c>
    </row>
    <row r="67" spans="1:6" x14ac:dyDescent="0.25">
      <c r="A67" s="8" t="s">
        <v>29</v>
      </c>
      <c r="B67" s="11">
        <f>958.2</f>
        <v>958.2</v>
      </c>
      <c r="C67" s="11">
        <f>7000</f>
        <v>7000</v>
      </c>
      <c r="D67" s="11">
        <f t="shared" si="4"/>
        <v>-6041.8</v>
      </c>
      <c r="E67" s="12">
        <f t="shared" si="5"/>
        <v>0.1368857142857143</v>
      </c>
      <c r="F67" s="28" t="str">
        <f>VLOOKUP(A67,'BvA Sep 21'!A:F,6,FALSE)</f>
        <v>School Operations</v>
      </c>
    </row>
    <row r="68" spans="1:6" x14ac:dyDescent="0.25">
      <c r="A68" s="8" t="s">
        <v>30</v>
      </c>
      <c r="B68" s="11">
        <f>723.71</f>
        <v>723.71</v>
      </c>
      <c r="C68" s="11">
        <f>4950</f>
        <v>4950</v>
      </c>
      <c r="D68" s="11">
        <f t="shared" si="4"/>
        <v>-4226.29</v>
      </c>
      <c r="E68" s="12">
        <f t="shared" si="5"/>
        <v>0.14620404040404042</v>
      </c>
      <c r="F68" s="28" t="str">
        <f>VLOOKUP(A68,'BvA Sep 21'!A:F,6,FALSE)</f>
        <v>School Operations</v>
      </c>
    </row>
    <row r="69" spans="1:6" x14ac:dyDescent="0.25">
      <c r="A69" s="8" t="s">
        <v>31</v>
      </c>
      <c r="B69" s="9"/>
      <c r="C69" s="11">
        <f>2000</f>
        <v>2000</v>
      </c>
      <c r="D69" s="11">
        <f t="shared" si="4"/>
        <v>-2000</v>
      </c>
      <c r="E69" s="12">
        <f t="shared" si="5"/>
        <v>0</v>
      </c>
      <c r="F69" s="28" t="str">
        <f>VLOOKUP(A69,'BvA Sep 21'!A:F,6,FALSE)</f>
        <v>School Operations</v>
      </c>
    </row>
    <row r="70" spans="1:6" x14ac:dyDescent="0.25">
      <c r="A70" s="8" t="s">
        <v>32</v>
      </c>
      <c r="B70" s="11">
        <f>125</f>
        <v>125</v>
      </c>
      <c r="C70" s="11">
        <f>3000</f>
        <v>3000</v>
      </c>
      <c r="D70" s="11">
        <f t="shared" si="4"/>
        <v>-2875</v>
      </c>
      <c r="E70" s="12">
        <f t="shared" si="5"/>
        <v>4.1666666666666664E-2</v>
      </c>
      <c r="F70" s="28" t="str">
        <f>VLOOKUP(A70,'BvA Sep 21'!A:F,6,FALSE)</f>
        <v>School Operations</v>
      </c>
    </row>
    <row r="71" spans="1:6" x14ac:dyDescent="0.25">
      <c r="A71" s="8" t="s">
        <v>56</v>
      </c>
      <c r="B71" s="11">
        <f>9339.54</f>
        <v>9339.5400000000009</v>
      </c>
      <c r="C71" s="11">
        <f>106278.02</f>
        <v>106278.02</v>
      </c>
      <c r="D71" s="11">
        <f t="shared" si="4"/>
        <v>-96938.48000000001</v>
      </c>
      <c r="E71" s="12">
        <f t="shared" si="5"/>
        <v>8.7878377862139326E-2</v>
      </c>
      <c r="F71" s="28" t="str">
        <f>VLOOKUP(A71,'BvA Sep 21'!A:F,6,FALSE)</f>
        <v>School Operations</v>
      </c>
    </row>
    <row r="72" spans="1:6" x14ac:dyDescent="0.25">
      <c r="A72" s="8" t="s">
        <v>33</v>
      </c>
      <c r="B72" s="9"/>
      <c r="C72" s="11">
        <f>2500</f>
        <v>2500</v>
      </c>
      <c r="D72" s="11">
        <f t="shared" si="4"/>
        <v>-2500</v>
      </c>
      <c r="E72" s="12">
        <f t="shared" si="5"/>
        <v>0</v>
      </c>
      <c r="F72" s="28" t="str">
        <f>VLOOKUP(A72,'BvA Sep 21'!A:F,6,FALSE)</f>
        <v>School Operations</v>
      </c>
    </row>
    <row r="73" spans="1:6" x14ac:dyDescent="0.25">
      <c r="A73" s="8" t="s">
        <v>137</v>
      </c>
      <c r="B73" s="9"/>
      <c r="C73" s="11">
        <f>6250</f>
        <v>6250</v>
      </c>
      <c r="D73" s="11">
        <f t="shared" si="4"/>
        <v>-6250</v>
      </c>
      <c r="E73" s="12">
        <f t="shared" si="5"/>
        <v>0</v>
      </c>
      <c r="F73" s="28" t="str">
        <f>VLOOKUP(A73,'BvA Sep 21'!A:F,6,FALSE)</f>
        <v>School Operations</v>
      </c>
    </row>
    <row r="74" spans="1:6" x14ac:dyDescent="0.25">
      <c r="A74" s="8" t="s">
        <v>136</v>
      </c>
      <c r="B74" s="9"/>
      <c r="C74" s="11">
        <f>39600</f>
        <v>39600</v>
      </c>
      <c r="D74" s="11">
        <f t="shared" si="4"/>
        <v>-39600</v>
      </c>
      <c r="E74" s="12">
        <f t="shared" si="5"/>
        <v>0</v>
      </c>
      <c r="F74" s="28" t="str">
        <f>VLOOKUP(A74,'BvA Sep 21'!A:F,6,FALSE)</f>
        <v>School Operations</v>
      </c>
    </row>
    <row r="75" spans="1:6" x14ac:dyDescent="0.25">
      <c r="A75" s="8" t="s">
        <v>135</v>
      </c>
      <c r="B75" s="11">
        <f>525.67</f>
        <v>525.66999999999996</v>
      </c>
      <c r="C75" s="11">
        <f>44185.32</f>
        <v>44185.32</v>
      </c>
      <c r="D75" s="11">
        <f t="shared" si="4"/>
        <v>-43659.65</v>
      </c>
      <c r="E75" s="12">
        <f t="shared" si="5"/>
        <v>1.1896937715965393E-2</v>
      </c>
      <c r="F75" s="28" t="str">
        <f>VLOOKUP(A75,'BvA Sep 21'!A:F,6,FALSE)</f>
        <v>School Operations</v>
      </c>
    </row>
    <row r="76" spans="1:6" x14ac:dyDescent="0.25">
      <c r="A76" s="8" t="s">
        <v>34</v>
      </c>
      <c r="B76" s="11">
        <f>1592.49</f>
        <v>1592.49</v>
      </c>
      <c r="C76" s="11">
        <f>12500</f>
        <v>12500</v>
      </c>
      <c r="D76" s="11">
        <f t="shared" si="4"/>
        <v>-10907.51</v>
      </c>
      <c r="E76" s="12">
        <f t="shared" si="5"/>
        <v>0.12739919999999999</v>
      </c>
      <c r="F76" s="28" t="str">
        <f>VLOOKUP(A76,'BvA Sep 21'!A:F,6,FALSE)</f>
        <v>Facility Operations &amp; Maintenance</v>
      </c>
    </row>
    <row r="77" spans="1:6" x14ac:dyDescent="0.25">
      <c r="A77" s="8" t="s">
        <v>55</v>
      </c>
      <c r="B77" s="11">
        <f>355.15</f>
        <v>355.15</v>
      </c>
      <c r="C77" s="9"/>
      <c r="D77" s="11">
        <f t="shared" si="4"/>
        <v>355.15</v>
      </c>
      <c r="E77" s="12" t="str">
        <f t="shared" si="5"/>
        <v/>
      </c>
      <c r="F77" s="28" t="str">
        <f>VLOOKUP(A77,'BvA Sep 21'!A:F,6,FALSE)</f>
        <v>Facility Operations &amp; Maintenance</v>
      </c>
    </row>
    <row r="78" spans="1:6" x14ac:dyDescent="0.25">
      <c r="A78" s="8" t="s">
        <v>35</v>
      </c>
      <c r="B78" s="11">
        <f>28310.3</f>
        <v>28310.3</v>
      </c>
      <c r="C78" s="11">
        <f>154992.94</f>
        <v>154992.94</v>
      </c>
      <c r="D78" s="11">
        <f t="shared" si="4"/>
        <v>-126682.64</v>
      </c>
      <c r="E78" s="12">
        <f t="shared" si="5"/>
        <v>0.18265541643380659</v>
      </c>
      <c r="F78" s="28" t="str">
        <f>VLOOKUP(A78,'BvA Sep 21'!A:F,6,FALSE)</f>
        <v>Facility Operations &amp; Maintenance</v>
      </c>
    </row>
    <row r="79" spans="1:6" x14ac:dyDescent="0.25">
      <c r="A79" s="8" t="s">
        <v>134</v>
      </c>
      <c r="B79" s="9"/>
      <c r="C79" s="11">
        <f>3000</f>
        <v>3000</v>
      </c>
      <c r="D79" s="11">
        <f t="shared" si="4"/>
        <v>-3000</v>
      </c>
      <c r="E79" s="12">
        <f t="shared" si="5"/>
        <v>0</v>
      </c>
      <c r="F79" s="28" t="str">
        <f>VLOOKUP(A79,'BvA Sep 21'!A:F,6,FALSE)</f>
        <v>Facility Operations &amp; Maintenance</v>
      </c>
    </row>
    <row r="80" spans="1:6" x14ac:dyDescent="0.25">
      <c r="A80" s="8" t="s">
        <v>133</v>
      </c>
      <c r="B80" s="9"/>
      <c r="C80" s="11">
        <f>2500</f>
        <v>2500</v>
      </c>
      <c r="D80" s="11">
        <f t="shared" si="4"/>
        <v>-2500</v>
      </c>
      <c r="E80" s="12">
        <f t="shared" si="5"/>
        <v>0</v>
      </c>
      <c r="F80" s="28" t="str">
        <f>VLOOKUP(A80,'BvA Sep 21'!A:F,6,FALSE)</f>
        <v>Facility Operations &amp; Maintenance</v>
      </c>
    </row>
    <row r="81" spans="1:6" x14ac:dyDescent="0.25">
      <c r="A81" s="8" t="s">
        <v>132</v>
      </c>
      <c r="B81" s="9"/>
      <c r="C81" s="11">
        <f>20250</f>
        <v>20250</v>
      </c>
      <c r="D81" s="11">
        <f t="shared" si="4"/>
        <v>-20250</v>
      </c>
      <c r="E81" s="12">
        <f t="shared" si="5"/>
        <v>0</v>
      </c>
      <c r="F81" s="28" t="str">
        <f>VLOOKUP(A81,'BvA Sep 21'!A:F,6,FALSE)</f>
        <v>Facility Operations &amp; Maintenance</v>
      </c>
    </row>
    <row r="82" spans="1:6" x14ac:dyDescent="0.25">
      <c r="A82" s="8" t="s">
        <v>36</v>
      </c>
      <c r="B82" s="13">
        <f>(((((((((((((((((((((((((((((((((((((((((((((((((((((B28)+(B29))+(B30))+(B31))+(B32))+(B33))+(B34))+(B35))+(B36))+(B37))+(B38))+(B39))+(B40))+(B41))+(B42))+(B43))+(B44))+(B45))+(B46))+(B47))+(B48))+(B49))+(B50))+(B51))+(B52))+(B53))+(B54))+(B55))+(B56))+(B57))+(B58))+(B59))+(B60))+(B61))+(B62))+(B63))+(B64))+(B65))+(B66))+(B67))+(B68))+(B69))+(B70))+(B71))+(B72))+(B73))+(B74))+(B75))+(B76))+(B77))+(B78))+(B79))+(B80))+(B81)</f>
        <v>265259.76</v>
      </c>
      <c r="C82" s="13">
        <f>(((((((((((((((((((((((((((((((((((((((((((((((((((((C28)+(C29))+(C30))+(C31))+(C32))+(C33))+(C34))+(C35))+(C36))+(C37))+(C38))+(C39))+(C40))+(C41))+(C42))+(C43))+(C44))+(C45))+(C46))+(C47))+(C48))+(C49))+(C50))+(C51))+(C52))+(C53))+(C54))+(C55))+(C56))+(C57))+(C58))+(C59))+(C60))+(C61))+(C62))+(C63))+(C64))+(C65))+(C66))+(C67))+(C68))+(C69))+(C70))+(C71))+(C72))+(C73))+(C74))+(C75))+(C76))+(C77))+(C78))+(C79))+(C80))+(C81)</f>
        <v>1893988.7700000003</v>
      </c>
      <c r="D82" s="13">
        <f t="shared" si="4"/>
        <v>-1628729.0100000002</v>
      </c>
      <c r="E82" s="14">
        <f t="shared" si="5"/>
        <v>0.14005350200677272</v>
      </c>
      <c r="F82" s="28">
        <f>VLOOKUP(A82,'BvA Sep 21'!A:F,6,FALSE)</f>
        <v>0</v>
      </c>
    </row>
    <row r="83" spans="1:6" x14ac:dyDescent="0.25">
      <c r="A83" s="8" t="s">
        <v>37</v>
      </c>
      <c r="B83" s="13">
        <f>(B26)-(B82)</f>
        <v>-28743.179999999993</v>
      </c>
      <c r="C83" s="13">
        <f>(C26)-(C82)</f>
        <v>-44778.880000000121</v>
      </c>
      <c r="D83" s="13">
        <f t="shared" si="4"/>
        <v>16035.700000000128</v>
      </c>
      <c r="E83" s="14">
        <f t="shared" si="5"/>
        <v>0.6418914452527601</v>
      </c>
      <c r="F83" s="28">
        <f>VLOOKUP(A83,'BvA Sep 21'!A:F,6,FALSE)</f>
        <v>0</v>
      </c>
    </row>
    <row r="84" spans="1:6" x14ac:dyDescent="0.25">
      <c r="A84" s="8" t="s">
        <v>131</v>
      </c>
      <c r="B84" s="9"/>
      <c r="C84" s="9"/>
      <c r="D84" s="9"/>
      <c r="E84" s="9"/>
      <c r="F84" s="28">
        <f>VLOOKUP(A84,'BvA Sep 21'!A:F,6,FALSE)</f>
        <v>0</v>
      </c>
    </row>
    <row r="85" spans="1:6" x14ac:dyDescent="0.25">
      <c r="A85" s="8" t="s">
        <v>130</v>
      </c>
      <c r="B85" s="9"/>
      <c r="C85" s="11">
        <f>94883</f>
        <v>94883</v>
      </c>
      <c r="D85" s="11">
        <f>(B85)-(C85)</f>
        <v>-94883</v>
      </c>
      <c r="E85" s="12">
        <f>IF(C85=0,"",(B85)/(C85))</f>
        <v>0</v>
      </c>
      <c r="F85" s="28" t="str">
        <f>VLOOKUP(A85,'BvA Sep 21'!A:F,6,FALSE)</f>
        <v>Facility Operations &amp; Maintenance</v>
      </c>
    </row>
    <row r="86" spans="1:6" x14ac:dyDescent="0.25">
      <c r="A86" s="8" t="s">
        <v>129</v>
      </c>
      <c r="B86" s="13">
        <f>B85</f>
        <v>0</v>
      </c>
      <c r="C86" s="13">
        <f>C85</f>
        <v>94883</v>
      </c>
      <c r="D86" s="13">
        <f>(B86)-(C86)</f>
        <v>-94883</v>
      </c>
      <c r="E86" s="14">
        <f>IF(C86=0,"",(B86)/(C86))</f>
        <v>0</v>
      </c>
      <c r="F86" s="28">
        <f>VLOOKUP(A86,'BvA Sep 21'!A:F,6,FALSE)</f>
        <v>0</v>
      </c>
    </row>
    <row r="87" spans="1:6" x14ac:dyDescent="0.25">
      <c r="A87" s="8" t="s">
        <v>128</v>
      </c>
      <c r="B87" s="13">
        <f>(0)-(B86)</f>
        <v>0</v>
      </c>
      <c r="C87" s="13">
        <f>(0)-(C86)</f>
        <v>-94883</v>
      </c>
      <c r="D87" s="13">
        <f>(B87)-(C87)</f>
        <v>94883</v>
      </c>
      <c r="E87" s="14">
        <f>IF(C87=0,"",(B87)/(C87))</f>
        <v>0</v>
      </c>
      <c r="F87" s="28">
        <f>VLOOKUP(A87,'BvA Sep 21'!A:F,6,FALSE)</f>
        <v>0</v>
      </c>
    </row>
    <row r="88" spans="1:6" x14ac:dyDescent="0.25">
      <c r="A88" s="8" t="s">
        <v>38</v>
      </c>
      <c r="B88" s="13">
        <f>(B83)+(B87)</f>
        <v>-28743.179999999993</v>
      </c>
      <c r="C88" s="13">
        <f>(C83)+(C87)</f>
        <v>-139661.88000000012</v>
      </c>
      <c r="D88" s="13">
        <f>(B88)-(C88)</f>
        <v>110918.70000000013</v>
      </c>
      <c r="E88" s="14">
        <f>IF(C88=0,"",(B88)/(C88))</f>
        <v>0.20580547820206893</v>
      </c>
      <c r="F88" s="28">
        <f>VLOOKUP(A88,'BvA Sep 21'!A:F,6,FALSE)</f>
        <v>0</v>
      </c>
    </row>
    <row r="89" spans="1:6" x14ac:dyDescent="0.25">
      <c r="A89" s="8"/>
      <c r="B89" s="9"/>
      <c r="C89" s="9"/>
      <c r="D89" s="9"/>
      <c r="E89" s="9"/>
    </row>
    <row r="92" spans="1:6" x14ac:dyDescent="0.25">
      <c r="A92" s="77" t="s">
        <v>167</v>
      </c>
      <c r="B92" s="75"/>
      <c r="C92" s="75"/>
      <c r="D92" s="75"/>
      <c r="E92" s="75"/>
    </row>
  </sheetData>
  <mergeCells count="5">
    <mergeCell ref="B5:E5"/>
    <mergeCell ref="A92:E92"/>
    <mergeCell ref="A1:E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C6AE8-28C9-4AE7-BCF4-31A4613BD666}">
  <dimension ref="A1:F93"/>
  <sheetViews>
    <sheetView workbookViewId="0">
      <selection activeCell="B16" sqref="B16"/>
    </sheetView>
  </sheetViews>
  <sheetFormatPr defaultRowHeight="15" x14ac:dyDescent="0.25"/>
  <cols>
    <col min="1" max="1" width="39.125" style="31" customWidth="1"/>
    <col min="2" max="2" width="9.75" style="31" customWidth="1"/>
    <col min="3" max="3" width="10.5" style="31" customWidth="1"/>
    <col min="4" max="4" width="12" style="31" customWidth="1"/>
    <col min="5" max="5" width="9" style="31" customWidth="1"/>
    <col min="6" max="16384" width="9" style="31"/>
  </cols>
  <sheetData>
    <row r="1" spans="1:6" ht="18" x14ac:dyDescent="0.25">
      <c r="A1" s="74" t="s">
        <v>97</v>
      </c>
      <c r="B1" s="75"/>
      <c r="C1" s="75"/>
      <c r="D1" s="75"/>
      <c r="E1" s="75"/>
    </row>
    <row r="2" spans="1:6" ht="18" x14ac:dyDescent="0.25">
      <c r="A2" s="74" t="s">
        <v>165</v>
      </c>
      <c r="B2" s="75"/>
      <c r="C2" s="75"/>
      <c r="D2" s="75"/>
      <c r="E2" s="75"/>
    </row>
    <row r="3" spans="1:6" x14ac:dyDescent="0.25">
      <c r="A3" s="76" t="s">
        <v>188</v>
      </c>
      <c r="B3" s="75"/>
      <c r="C3" s="75"/>
      <c r="D3" s="75"/>
      <c r="E3" s="75"/>
    </row>
    <row r="5" spans="1:6" x14ac:dyDescent="0.25">
      <c r="A5" s="30"/>
      <c r="B5" s="72" t="s">
        <v>0</v>
      </c>
      <c r="C5" s="73"/>
      <c r="D5" s="73"/>
      <c r="E5" s="73"/>
    </row>
    <row r="6" spans="1:6" ht="24.75" x14ac:dyDescent="0.25">
      <c r="A6" s="30"/>
      <c r="B6" s="29" t="s">
        <v>1</v>
      </c>
      <c r="C6" s="29" t="s">
        <v>2</v>
      </c>
      <c r="D6" s="29" t="s">
        <v>3</v>
      </c>
      <c r="E6" s="29" t="s">
        <v>4</v>
      </c>
    </row>
    <row r="7" spans="1:6" x14ac:dyDescent="0.25">
      <c r="A7" s="8" t="s">
        <v>5</v>
      </c>
      <c r="B7" s="9"/>
      <c r="C7" s="9"/>
      <c r="D7" s="9"/>
      <c r="E7" s="9"/>
    </row>
    <row r="8" spans="1:6" x14ac:dyDescent="0.25">
      <c r="A8" s="8" t="s">
        <v>6</v>
      </c>
      <c r="B8" s="11">
        <f>520.29</f>
        <v>520.29</v>
      </c>
      <c r="C8" s="11">
        <f>25000</f>
        <v>25000</v>
      </c>
      <c r="D8" s="11">
        <f t="shared" ref="D8:D26" si="0">(B8)-(C8)</f>
        <v>-24479.71</v>
      </c>
      <c r="E8" s="12">
        <f t="shared" ref="E8:E26" si="1">IF(C8=0,"",(B8)/(C8))</f>
        <v>2.08116E-2</v>
      </c>
      <c r="F8" s="31" t="str">
        <f>VLOOKUP(A8,'BvA Oct 21'!A:F,6,FALSE)</f>
        <v>Local Support</v>
      </c>
    </row>
    <row r="9" spans="1:6" x14ac:dyDescent="0.25">
      <c r="A9" s="8" t="s">
        <v>7</v>
      </c>
      <c r="B9" s="9"/>
      <c r="C9" s="11">
        <f>7050</f>
        <v>7050</v>
      </c>
      <c r="D9" s="11">
        <f t="shared" si="0"/>
        <v>-7050</v>
      </c>
      <c r="E9" s="12">
        <f t="shared" si="1"/>
        <v>0</v>
      </c>
      <c r="F9" s="31" t="str">
        <f>VLOOKUP(A9,'BvA Oct 21'!A:F,6,FALSE)</f>
        <v>Local Support</v>
      </c>
    </row>
    <row r="10" spans="1:6" x14ac:dyDescent="0.25">
      <c r="A10" s="8" t="s">
        <v>118</v>
      </c>
      <c r="B10" s="11">
        <f>0.05</f>
        <v>0.05</v>
      </c>
      <c r="C10" s="9"/>
      <c r="D10" s="11">
        <f t="shared" si="0"/>
        <v>0.05</v>
      </c>
      <c r="E10" s="12" t="str">
        <f t="shared" si="1"/>
        <v/>
      </c>
      <c r="F10" s="31" t="str">
        <f>VLOOKUP(A10,'BvA Oct 21'!A:F,6,FALSE)</f>
        <v>Grants &amp; Other Sources</v>
      </c>
    </row>
    <row r="11" spans="1:6" x14ac:dyDescent="0.25">
      <c r="A11" s="8" t="s">
        <v>8</v>
      </c>
      <c r="B11" s="11">
        <f>5000</f>
        <v>5000</v>
      </c>
      <c r="C11" s="11">
        <f>241000</f>
        <v>241000</v>
      </c>
      <c r="D11" s="11">
        <f t="shared" si="0"/>
        <v>-236000</v>
      </c>
      <c r="E11" s="12">
        <f t="shared" si="1"/>
        <v>2.0746887966804978E-2</v>
      </c>
      <c r="F11" s="31" t="str">
        <f>VLOOKUP(A11,'BvA Oct 21'!A:F,6,FALSE)</f>
        <v>Grants &amp; Other Sources</v>
      </c>
    </row>
    <row r="12" spans="1:6" x14ac:dyDescent="0.25">
      <c r="A12" s="8" t="s">
        <v>163</v>
      </c>
      <c r="B12" s="11">
        <f>217371.97</f>
        <v>217371.97</v>
      </c>
      <c r="C12" s="11">
        <f>989953.75</f>
        <v>989953.75</v>
      </c>
      <c r="D12" s="11">
        <f t="shared" si="0"/>
        <v>-772581.78</v>
      </c>
      <c r="E12" s="12">
        <f t="shared" si="1"/>
        <v>0.21957790452331738</v>
      </c>
      <c r="F12" s="31" t="str">
        <f>VLOOKUP(A12,'BvA Oct 21'!A:F,6,FALSE)</f>
        <v>State Revenue - General</v>
      </c>
    </row>
    <row r="13" spans="1:6" x14ac:dyDescent="0.25">
      <c r="A13" s="8" t="s">
        <v>162</v>
      </c>
      <c r="B13" s="11">
        <f>5280.18</f>
        <v>5280.18</v>
      </c>
      <c r="C13" s="11">
        <f>24001.51</f>
        <v>24001.51</v>
      </c>
      <c r="D13" s="11">
        <f t="shared" si="0"/>
        <v>-18721.329999999998</v>
      </c>
      <c r="E13" s="12">
        <f t="shared" si="1"/>
        <v>0.21999365873230478</v>
      </c>
      <c r="F13" s="31" t="str">
        <f>VLOOKUP(A13,'BvA Oct 21'!A:F,6,FALSE)</f>
        <v>State Revenue - Special Purpose</v>
      </c>
    </row>
    <row r="14" spans="1:6" x14ac:dyDescent="0.25">
      <c r="A14" s="8" t="s">
        <v>161</v>
      </c>
      <c r="B14" s="11">
        <f>27019.25</f>
        <v>27019.25</v>
      </c>
      <c r="C14" s="11">
        <f>122818.22</f>
        <v>122818.22</v>
      </c>
      <c r="D14" s="11">
        <f t="shared" si="0"/>
        <v>-95798.97</v>
      </c>
      <c r="E14" s="12">
        <f t="shared" si="1"/>
        <v>0.2199938250204245</v>
      </c>
      <c r="F14" s="31" t="str">
        <f>VLOOKUP(A14,'BvA Oct 21'!A:F,6,FALSE)</f>
        <v>State Revenue - Special Purpose</v>
      </c>
    </row>
    <row r="15" spans="1:6" x14ac:dyDescent="0.25">
      <c r="A15" s="8" t="s">
        <v>160</v>
      </c>
      <c r="B15" s="11">
        <f>3572.93</f>
        <v>3572.93</v>
      </c>
      <c r="C15" s="11">
        <f>29741.78</f>
        <v>29741.78</v>
      </c>
      <c r="D15" s="11">
        <f t="shared" si="0"/>
        <v>-26168.85</v>
      </c>
      <c r="E15" s="37">
        <f t="shared" si="1"/>
        <v>0.12013168008101734</v>
      </c>
      <c r="F15" s="31" t="str">
        <f>VLOOKUP(A15,'BvA Oct 21'!A:F,6,FALSE)</f>
        <v>State Revenue - Special Purpose</v>
      </c>
    </row>
    <row r="16" spans="1:6" x14ac:dyDescent="0.25">
      <c r="A16" s="8" t="s">
        <v>159</v>
      </c>
      <c r="B16" s="9"/>
      <c r="C16" s="11">
        <f>6342.8</f>
        <v>6342.8</v>
      </c>
      <c r="D16" s="11">
        <f t="shared" si="0"/>
        <v>-6342.8</v>
      </c>
      <c r="E16" s="35">
        <f t="shared" si="1"/>
        <v>0</v>
      </c>
      <c r="F16" s="31" t="str">
        <f>VLOOKUP(A16,'BvA Oct 21'!A:F,6,FALSE)</f>
        <v>State Revenue - Special Purpose</v>
      </c>
    </row>
    <row r="17" spans="1:6" x14ac:dyDescent="0.25">
      <c r="A17" s="8" t="s">
        <v>158</v>
      </c>
      <c r="B17" s="9"/>
      <c r="C17" s="11">
        <f>2641.54</f>
        <v>2641.54</v>
      </c>
      <c r="D17" s="11">
        <f t="shared" si="0"/>
        <v>-2641.54</v>
      </c>
      <c r="E17" s="35">
        <f t="shared" si="1"/>
        <v>0</v>
      </c>
      <c r="F17" s="31" t="str">
        <f>VLOOKUP(A17,'BvA Oct 21'!A:F,6,FALSE)</f>
        <v>State Revenue - Special Purpose</v>
      </c>
    </row>
    <row r="18" spans="1:6" x14ac:dyDescent="0.25">
      <c r="A18" s="8" t="s">
        <v>157</v>
      </c>
      <c r="B18" s="9"/>
      <c r="C18" s="11">
        <f>18674.92</f>
        <v>18674.919999999998</v>
      </c>
      <c r="D18" s="11">
        <f t="shared" si="0"/>
        <v>-18674.919999999998</v>
      </c>
      <c r="E18" s="35">
        <f t="shared" si="1"/>
        <v>0</v>
      </c>
      <c r="F18" s="31" t="str">
        <f>VLOOKUP(A18,'BvA Oct 21'!A:F,6,FALSE)</f>
        <v>State Revenue - Special Purpose</v>
      </c>
    </row>
    <row r="19" spans="1:6" x14ac:dyDescent="0.25">
      <c r="A19" s="8" t="s">
        <v>156</v>
      </c>
      <c r="B19" s="9"/>
      <c r="C19" s="11">
        <f>16345</f>
        <v>16345</v>
      </c>
      <c r="D19" s="11">
        <f t="shared" si="0"/>
        <v>-16345</v>
      </c>
      <c r="E19" s="35">
        <f t="shared" si="1"/>
        <v>0</v>
      </c>
      <c r="F19" s="31" t="str">
        <f>VLOOKUP(A19,'BvA Oct 21'!A:F,6,FALSE)</f>
        <v>Federal Revenue</v>
      </c>
    </row>
    <row r="20" spans="1:6" x14ac:dyDescent="0.25">
      <c r="A20" s="8" t="s">
        <v>155</v>
      </c>
      <c r="B20" s="9"/>
      <c r="C20" s="11">
        <f>1316</f>
        <v>1316</v>
      </c>
      <c r="D20" s="11">
        <f t="shared" si="0"/>
        <v>-1316</v>
      </c>
      <c r="E20" s="35">
        <f t="shared" si="1"/>
        <v>0</v>
      </c>
      <c r="F20" s="31" t="str">
        <f>VLOOKUP(A20,'BvA Oct 21'!A:F,6,FALSE)</f>
        <v>Federal Revenue</v>
      </c>
    </row>
    <row r="21" spans="1:6" x14ac:dyDescent="0.25">
      <c r="A21" s="8" t="s">
        <v>154</v>
      </c>
      <c r="B21" s="9"/>
      <c r="C21" s="11">
        <f>11985</f>
        <v>11985</v>
      </c>
      <c r="D21" s="11">
        <f t="shared" si="0"/>
        <v>-11985</v>
      </c>
      <c r="E21" s="35">
        <f t="shared" si="1"/>
        <v>0</v>
      </c>
      <c r="F21" s="31" t="str">
        <f>VLOOKUP(A21,'BvA Oct 21'!A:F,6,FALSE)</f>
        <v>Federal Revenue</v>
      </c>
    </row>
    <row r="22" spans="1:6" x14ac:dyDescent="0.25">
      <c r="A22" s="8" t="s">
        <v>153</v>
      </c>
      <c r="B22" s="9"/>
      <c r="C22" s="11">
        <f>92315.52</f>
        <v>92315.520000000004</v>
      </c>
      <c r="D22" s="11">
        <f t="shared" si="0"/>
        <v>-92315.520000000004</v>
      </c>
      <c r="E22" s="35">
        <f t="shared" si="1"/>
        <v>0</v>
      </c>
      <c r="F22" s="31" t="str">
        <f>VLOOKUP(A22,'BvA Oct 21'!A:F,6,FALSE)</f>
        <v>Federal Revenue</v>
      </c>
    </row>
    <row r="23" spans="1:6" x14ac:dyDescent="0.25">
      <c r="A23" s="8" t="s">
        <v>152</v>
      </c>
      <c r="B23" s="9"/>
      <c r="C23" s="11">
        <f>105720</f>
        <v>105720</v>
      </c>
      <c r="D23" s="11">
        <f t="shared" si="0"/>
        <v>-105720</v>
      </c>
      <c r="E23" s="35">
        <f t="shared" si="1"/>
        <v>0</v>
      </c>
      <c r="F23" s="31" t="str">
        <f>VLOOKUP(A23,'BvA Oct 21'!A:F,6,FALSE)</f>
        <v>Federal Revenue</v>
      </c>
    </row>
    <row r="24" spans="1:6" x14ac:dyDescent="0.25">
      <c r="A24" s="8" t="s">
        <v>9</v>
      </c>
      <c r="B24" s="11">
        <f>46693.21</f>
        <v>46693.21</v>
      </c>
      <c r="C24" s="11">
        <f>154303.85</f>
        <v>154303.85</v>
      </c>
      <c r="D24" s="11">
        <f t="shared" si="0"/>
        <v>-107610.64000000001</v>
      </c>
      <c r="E24" s="12">
        <f t="shared" si="1"/>
        <v>0.3026056057577306</v>
      </c>
      <c r="F24" s="31" t="str">
        <f>VLOOKUP(A24,'BvA Oct 21'!A:F,6,FALSE)</f>
        <v>Federal Revenue</v>
      </c>
    </row>
    <row r="25" spans="1:6" x14ac:dyDescent="0.25">
      <c r="A25" s="8" t="s">
        <v>10</v>
      </c>
      <c r="B25" s="13">
        <f>((((((((((((((((B8)+(B9))+(B10))+(B11))+(B12))+(B13))+(B14))+(B15))+(B16))+(B17))+(B18))+(B19))+(B20))+(B21))+(B22))+(B23))+(B24)</f>
        <v>305457.88</v>
      </c>
      <c r="C25" s="13">
        <f>((((((((((((((((C8)+(C9))+(C10))+(C11))+(C12))+(C13))+(C14))+(C15))+(C16))+(C17))+(C18))+(C19))+(C20))+(C21))+(C22))+(C23))+(C24)</f>
        <v>1849209.8900000001</v>
      </c>
      <c r="D25" s="13">
        <f t="shared" si="0"/>
        <v>-1543752.0100000002</v>
      </c>
      <c r="E25" s="14">
        <f t="shared" si="1"/>
        <v>0.16518291495834472</v>
      </c>
      <c r="F25" s="31">
        <f>VLOOKUP(A25,'BvA Oct 21'!A:F,6,FALSE)</f>
        <v>0</v>
      </c>
    </row>
    <row r="26" spans="1:6" x14ac:dyDescent="0.25">
      <c r="A26" s="8" t="s">
        <v>11</v>
      </c>
      <c r="B26" s="13">
        <f>(B25)-(0)</f>
        <v>305457.88</v>
      </c>
      <c r="C26" s="13">
        <f>(C25)-(0)</f>
        <v>1849209.8900000001</v>
      </c>
      <c r="D26" s="13">
        <f t="shared" si="0"/>
        <v>-1543752.0100000002</v>
      </c>
      <c r="E26" s="14">
        <f t="shared" si="1"/>
        <v>0.16518291495834472</v>
      </c>
      <c r="F26" s="31">
        <f>VLOOKUP(A26,'BvA Oct 21'!A:F,6,FALSE)</f>
        <v>0</v>
      </c>
    </row>
    <row r="27" spans="1:6" x14ac:dyDescent="0.25">
      <c r="A27" s="8" t="s">
        <v>12</v>
      </c>
      <c r="B27" s="9"/>
      <c r="C27" s="9"/>
      <c r="D27" s="9"/>
      <c r="E27" s="9"/>
      <c r="F27" s="31">
        <f>VLOOKUP(A27,'BvA Oct 21'!A:F,6,FALSE)</f>
        <v>0</v>
      </c>
    </row>
    <row r="28" spans="1:6" x14ac:dyDescent="0.25">
      <c r="A28" s="8" t="s">
        <v>151</v>
      </c>
      <c r="B28" s="11">
        <f>22916.65</f>
        <v>22916.65</v>
      </c>
      <c r="C28" s="11">
        <f>90000</f>
        <v>90000</v>
      </c>
      <c r="D28" s="11">
        <f t="shared" ref="D28:D59" si="2">(B28)-(C28)</f>
        <v>-67083.350000000006</v>
      </c>
      <c r="E28" s="12">
        <f t="shared" ref="E28:E59" si="3">IF(C28=0,"",(B28)/(C28))</f>
        <v>0.25462944444444446</v>
      </c>
      <c r="F28" s="31" t="str">
        <f>VLOOKUP(A28,'BvA Oct 21'!A:F,6,FALSE)</f>
        <v>Salaries</v>
      </c>
    </row>
    <row r="29" spans="1:6" x14ac:dyDescent="0.25">
      <c r="A29" s="8" t="s">
        <v>116</v>
      </c>
      <c r="B29" s="11">
        <f>20000.02</f>
        <v>20000.02</v>
      </c>
      <c r="C29" s="11">
        <f>80000</f>
        <v>80000</v>
      </c>
      <c r="D29" s="11">
        <f t="shared" si="2"/>
        <v>-59999.979999999996</v>
      </c>
      <c r="E29" s="12">
        <f t="shared" si="3"/>
        <v>0.25000024999999998</v>
      </c>
      <c r="F29" s="31" t="str">
        <f>VLOOKUP(A29,'BvA Oct 21'!A:F,6,FALSE)</f>
        <v>Salaries</v>
      </c>
    </row>
    <row r="30" spans="1:6" x14ac:dyDescent="0.25">
      <c r="A30" s="8" t="s">
        <v>13</v>
      </c>
      <c r="B30" s="11">
        <f>11125.02</f>
        <v>11125.02</v>
      </c>
      <c r="C30" s="11">
        <f>45000</f>
        <v>45000</v>
      </c>
      <c r="D30" s="11">
        <f t="shared" si="2"/>
        <v>-33874.979999999996</v>
      </c>
      <c r="E30" s="12">
        <f t="shared" si="3"/>
        <v>0.24722266666666667</v>
      </c>
      <c r="F30" s="31" t="str">
        <f>VLOOKUP(A30,'BvA Oct 21'!A:F,6,FALSE)</f>
        <v>Salaries</v>
      </c>
    </row>
    <row r="31" spans="1:6" x14ac:dyDescent="0.25">
      <c r="A31" s="8" t="s">
        <v>150</v>
      </c>
      <c r="B31" s="11">
        <f>7014</f>
        <v>7014</v>
      </c>
      <c r="C31" s="11">
        <f>14720</f>
        <v>14720</v>
      </c>
      <c r="D31" s="11">
        <f t="shared" si="2"/>
        <v>-7706</v>
      </c>
      <c r="E31" s="35">
        <f t="shared" si="3"/>
        <v>0.47649456521739131</v>
      </c>
      <c r="F31" s="31" t="str">
        <f>VLOOKUP(A31,'BvA Oct 21'!A:F,6,FALSE)</f>
        <v>Salaries</v>
      </c>
    </row>
    <row r="32" spans="1:6" x14ac:dyDescent="0.25">
      <c r="A32" s="8" t="s">
        <v>114</v>
      </c>
      <c r="B32" s="11">
        <f>8182.16</f>
        <v>8182.16</v>
      </c>
      <c r="C32" s="11">
        <f>20000</f>
        <v>20000</v>
      </c>
      <c r="D32" s="11">
        <f t="shared" si="2"/>
        <v>-11817.84</v>
      </c>
      <c r="E32" s="35">
        <f t="shared" si="3"/>
        <v>0.40910799999999997</v>
      </c>
      <c r="F32" s="31" t="str">
        <f>VLOOKUP(A32,'BvA Oct 21'!A:F,6,FALSE)</f>
        <v>Salaries</v>
      </c>
    </row>
    <row r="33" spans="1:6" x14ac:dyDescent="0.25">
      <c r="A33" s="8" t="s">
        <v>14</v>
      </c>
      <c r="B33" s="11">
        <f>52989.31</f>
        <v>52989.31</v>
      </c>
      <c r="C33" s="11">
        <f>264501.04</f>
        <v>264501.03999999998</v>
      </c>
      <c r="D33" s="11">
        <f t="shared" si="2"/>
        <v>-211511.72999999998</v>
      </c>
      <c r="E33" s="12">
        <f t="shared" si="3"/>
        <v>0.20033686824066932</v>
      </c>
      <c r="F33" s="31" t="str">
        <f>VLOOKUP(A33,'BvA Oct 21'!A:F,6,FALSE)</f>
        <v>Salaries</v>
      </c>
    </row>
    <row r="34" spans="1:6" x14ac:dyDescent="0.25">
      <c r="A34" s="8" t="s">
        <v>187</v>
      </c>
      <c r="B34" s="11">
        <f>735.23</f>
        <v>735.23</v>
      </c>
      <c r="C34" s="9"/>
      <c r="D34" s="11">
        <f t="shared" si="2"/>
        <v>735.23</v>
      </c>
      <c r="E34" s="12" t="str">
        <f t="shared" si="3"/>
        <v/>
      </c>
      <c r="F34" s="31" t="e">
        <f>VLOOKUP(A34,'BvA Oct 21'!A:F,6,FALSE)</f>
        <v>#N/A</v>
      </c>
    </row>
    <row r="35" spans="1:6" x14ac:dyDescent="0.25">
      <c r="A35" s="8" t="s">
        <v>149</v>
      </c>
      <c r="B35" s="11">
        <f>16124.78</f>
        <v>16124.78</v>
      </c>
      <c r="C35" s="11">
        <f>64499</f>
        <v>64499</v>
      </c>
      <c r="D35" s="11">
        <f t="shared" si="2"/>
        <v>-48374.22</v>
      </c>
      <c r="E35" s="12">
        <f t="shared" si="3"/>
        <v>0.25000046512349028</v>
      </c>
      <c r="F35" s="31" t="str">
        <f>VLOOKUP(A35,'BvA Oct 21'!A:F,6,FALSE)</f>
        <v>Salaries</v>
      </c>
    </row>
    <row r="36" spans="1:6" x14ac:dyDescent="0.25">
      <c r="A36" s="8" t="s">
        <v>113</v>
      </c>
      <c r="B36" s="11">
        <f>29948.02</f>
        <v>29948.02</v>
      </c>
      <c r="C36" s="11">
        <f>91833.33</f>
        <v>91833.33</v>
      </c>
      <c r="D36" s="11">
        <f t="shared" si="2"/>
        <v>-61885.31</v>
      </c>
      <c r="E36" s="35">
        <f t="shared" si="3"/>
        <v>0.32611275230899284</v>
      </c>
      <c r="F36" s="31" t="str">
        <f>VLOOKUP(A36,'BvA Oct 21'!A:F,6,FALSE)</f>
        <v>Salaries</v>
      </c>
    </row>
    <row r="37" spans="1:6" x14ac:dyDescent="0.25">
      <c r="A37" s="8" t="s">
        <v>15</v>
      </c>
      <c r="B37" s="11">
        <f>9746.27</f>
        <v>9746.27</v>
      </c>
      <c r="C37" s="11">
        <f>55320.65</f>
        <v>55320.65</v>
      </c>
      <c r="D37" s="11">
        <f t="shared" si="2"/>
        <v>-45574.380000000005</v>
      </c>
      <c r="E37" s="12">
        <f t="shared" si="3"/>
        <v>0.17617779256028265</v>
      </c>
      <c r="F37" s="31" t="str">
        <f>VLOOKUP(A37,'BvA Oct 21'!A:F,6,FALSE)</f>
        <v>Personnel Taxes &amp; Benefits</v>
      </c>
    </row>
    <row r="38" spans="1:6" x14ac:dyDescent="0.25">
      <c r="A38" s="8" t="s">
        <v>16</v>
      </c>
      <c r="B38" s="11">
        <f>1381.31</f>
        <v>1381.31</v>
      </c>
      <c r="C38" s="11">
        <f>6705.53</f>
        <v>6705.53</v>
      </c>
      <c r="D38" s="11">
        <f t="shared" si="2"/>
        <v>-5324.2199999999993</v>
      </c>
      <c r="E38" s="12">
        <f t="shared" si="3"/>
        <v>0.20599564836783968</v>
      </c>
      <c r="F38" s="31" t="str">
        <f>VLOOKUP(A38,'BvA Oct 21'!A:F,6,FALSE)</f>
        <v>Personnel Taxes &amp; Benefits</v>
      </c>
    </row>
    <row r="39" spans="1:6" x14ac:dyDescent="0.25">
      <c r="A39" s="8" t="s">
        <v>17</v>
      </c>
      <c r="B39" s="11">
        <f>1699.54</f>
        <v>1699.54</v>
      </c>
      <c r="C39" s="11">
        <f>9254.15</f>
        <v>9254.15</v>
      </c>
      <c r="D39" s="11">
        <f t="shared" si="2"/>
        <v>-7554.61</v>
      </c>
      <c r="E39" s="12">
        <f t="shared" si="3"/>
        <v>0.18365165898542815</v>
      </c>
      <c r="F39" s="31" t="str">
        <f>VLOOKUP(A39,'BvA Oct 21'!A:F,6,FALSE)</f>
        <v>Personnel Taxes &amp; Benefits</v>
      </c>
    </row>
    <row r="40" spans="1:6" x14ac:dyDescent="0.25">
      <c r="A40" s="8" t="s">
        <v>18</v>
      </c>
      <c r="B40" s="9"/>
      <c r="C40" s="11">
        <f>1676.38</f>
        <v>1676.38</v>
      </c>
      <c r="D40" s="11">
        <f t="shared" si="2"/>
        <v>-1676.38</v>
      </c>
      <c r="E40" s="12">
        <f t="shared" si="3"/>
        <v>0</v>
      </c>
      <c r="F40" s="31" t="str">
        <f>VLOOKUP(A40,'BvA Oct 21'!A:F,6,FALSE)</f>
        <v>Personnel Taxes &amp; Benefits</v>
      </c>
    </row>
    <row r="41" spans="1:6" x14ac:dyDescent="0.25">
      <c r="A41" s="8" t="s">
        <v>112</v>
      </c>
      <c r="B41" s="11">
        <f>21995.01</f>
        <v>21995.01</v>
      </c>
      <c r="C41" s="11">
        <f>83902.17</f>
        <v>83902.17</v>
      </c>
      <c r="D41" s="11">
        <f t="shared" si="2"/>
        <v>-61907.16</v>
      </c>
      <c r="E41" s="12">
        <f t="shared" si="3"/>
        <v>0.26215066904705803</v>
      </c>
      <c r="F41" s="31" t="str">
        <f>VLOOKUP(A41,'BvA Oct 21'!A:F,6,FALSE)</f>
        <v>Personnel Taxes &amp; Benefits</v>
      </c>
    </row>
    <row r="42" spans="1:6" x14ac:dyDescent="0.25">
      <c r="A42" s="8" t="s">
        <v>148</v>
      </c>
      <c r="B42" s="11">
        <f>35816</f>
        <v>35816</v>
      </c>
      <c r="C42" s="11">
        <f>151008</f>
        <v>151008</v>
      </c>
      <c r="D42" s="11">
        <f t="shared" si="2"/>
        <v>-115192</v>
      </c>
      <c r="E42" s="12">
        <f t="shared" si="3"/>
        <v>0.23717948717948717</v>
      </c>
      <c r="F42" s="31" t="str">
        <f>VLOOKUP(A42,'BvA Oct 21'!A:F,6,FALSE)</f>
        <v>Personnel Taxes &amp; Benefits</v>
      </c>
    </row>
    <row r="43" spans="1:6" x14ac:dyDescent="0.25">
      <c r="A43" s="8" t="s">
        <v>147</v>
      </c>
      <c r="B43" s="9"/>
      <c r="C43" s="11">
        <f>18000</f>
        <v>18000</v>
      </c>
      <c r="D43" s="11">
        <f t="shared" si="2"/>
        <v>-18000</v>
      </c>
      <c r="E43" s="12">
        <f t="shared" si="3"/>
        <v>0</v>
      </c>
      <c r="F43" s="31" t="str">
        <f>VLOOKUP(A43,'BvA Oct 21'!A:F,6,FALSE)</f>
        <v>Contracted Services</v>
      </c>
    </row>
    <row r="44" spans="1:6" x14ac:dyDescent="0.25">
      <c r="A44" s="8" t="s">
        <v>111</v>
      </c>
      <c r="B44" s="9"/>
      <c r="C44" s="11">
        <f>5000</f>
        <v>5000</v>
      </c>
      <c r="D44" s="11">
        <f t="shared" si="2"/>
        <v>-5000</v>
      </c>
      <c r="E44" s="12">
        <f t="shared" si="3"/>
        <v>0</v>
      </c>
      <c r="F44" s="31" t="str">
        <f>VLOOKUP(A44,'BvA Oct 21'!A:F,6,FALSE)</f>
        <v>Contracted Services</v>
      </c>
    </row>
    <row r="45" spans="1:6" x14ac:dyDescent="0.25">
      <c r="A45" s="8" t="s">
        <v>146</v>
      </c>
      <c r="B45" s="11">
        <f>7597.33</f>
        <v>7597.33</v>
      </c>
      <c r="C45" s="11">
        <f>35825.24</f>
        <v>35825.24</v>
      </c>
      <c r="D45" s="11">
        <f t="shared" si="2"/>
        <v>-28227.909999999996</v>
      </c>
      <c r="E45" s="12">
        <f t="shared" si="3"/>
        <v>0.21206640904568957</v>
      </c>
      <c r="F45" s="31" t="str">
        <f>VLOOKUP(A45,'BvA Oct 21'!A:F,6,FALSE)</f>
        <v>Contracted Services</v>
      </c>
    </row>
    <row r="46" spans="1:6" x14ac:dyDescent="0.25">
      <c r="A46" s="8" t="s">
        <v>19</v>
      </c>
      <c r="B46" s="11">
        <f>24000</f>
        <v>24000</v>
      </c>
      <c r="C46" s="11">
        <f>96000</f>
        <v>96000</v>
      </c>
      <c r="D46" s="11">
        <f t="shared" si="2"/>
        <v>-72000</v>
      </c>
      <c r="E46" s="12">
        <f t="shared" si="3"/>
        <v>0.25</v>
      </c>
      <c r="F46" s="31" t="str">
        <f>VLOOKUP(A46,'BvA Oct 21'!A:F,6,FALSE)</f>
        <v>Contracted Services</v>
      </c>
    </row>
    <row r="47" spans="1:6" x14ac:dyDescent="0.25">
      <c r="A47" s="8" t="s">
        <v>108</v>
      </c>
      <c r="B47" s="11">
        <f>14614.61</f>
        <v>14614.61</v>
      </c>
      <c r="C47" s="11">
        <f>38020</f>
        <v>38020</v>
      </c>
      <c r="D47" s="11">
        <f t="shared" si="2"/>
        <v>-23405.39</v>
      </c>
      <c r="E47" s="35">
        <f t="shared" si="3"/>
        <v>0.38439268805891635</v>
      </c>
      <c r="F47" s="31" t="str">
        <f>VLOOKUP(A47,'BvA Oct 21'!A:F,6,FALSE)</f>
        <v>Contracted Services</v>
      </c>
    </row>
    <row r="48" spans="1:6" x14ac:dyDescent="0.25">
      <c r="A48" s="8" t="s">
        <v>20</v>
      </c>
      <c r="B48" s="11">
        <f>3625</f>
        <v>3625</v>
      </c>
      <c r="C48" s="11">
        <f>20000</f>
        <v>20000</v>
      </c>
      <c r="D48" s="11">
        <f t="shared" si="2"/>
        <v>-16375</v>
      </c>
      <c r="E48" s="12">
        <f t="shared" si="3"/>
        <v>0.18124999999999999</v>
      </c>
      <c r="F48" s="31" t="str">
        <f>VLOOKUP(A48,'BvA Oct 21'!A:F,6,FALSE)</f>
        <v>Contracted Services</v>
      </c>
    </row>
    <row r="49" spans="1:6" x14ac:dyDescent="0.25">
      <c r="A49" s="8" t="s">
        <v>107</v>
      </c>
      <c r="B49" s="11">
        <f>3649.98</f>
        <v>3649.98</v>
      </c>
      <c r="C49" s="11">
        <f>17500</f>
        <v>17500</v>
      </c>
      <c r="D49" s="11">
        <f t="shared" si="2"/>
        <v>-13850.02</v>
      </c>
      <c r="E49" s="12">
        <f t="shared" si="3"/>
        <v>0.20857028571428571</v>
      </c>
      <c r="F49" s="31" t="str">
        <f>VLOOKUP(A49,'BvA Oct 21'!A:F,6,FALSE)</f>
        <v>Contracted Services</v>
      </c>
    </row>
    <row r="50" spans="1:6" x14ac:dyDescent="0.25">
      <c r="A50" s="8" t="s">
        <v>145</v>
      </c>
      <c r="B50" s="9"/>
      <c r="C50" s="11">
        <f>11250</f>
        <v>11250</v>
      </c>
      <c r="D50" s="11">
        <f t="shared" si="2"/>
        <v>-11250</v>
      </c>
      <c r="E50" s="12">
        <f t="shared" si="3"/>
        <v>0</v>
      </c>
      <c r="F50" s="31" t="str">
        <f>VLOOKUP(A50,'BvA Oct 21'!A:F,6,FALSE)</f>
        <v>Contracted Services</v>
      </c>
    </row>
    <row r="51" spans="1:6" x14ac:dyDescent="0.25">
      <c r="A51" s="8" t="s">
        <v>144</v>
      </c>
      <c r="B51" s="9"/>
      <c r="C51" s="11">
        <f>9500</f>
        <v>9500</v>
      </c>
      <c r="D51" s="11">
        <f t="shared" si="2"/>
        <v>-9500</v>
      </c>
      <c r="E51" s="12">
        <f t="shared" si="3"/>
        <v>0</v>
      </c>
      <c r="F51" s="31" t="str">
        <f>VLOOKUP(A51,'BvA Oct 21'!A:F,6,FALSE)</f>
        <v>Contracted Services</v>
      </c>
    </row>
    <row r="52" spans="1:6" x14ac:dyDescent="0.25">
      <c r="A52" s="8" t="s">
        <v>143</v>
      </c>
      <c r="B52" s="11">
        <f>8277.5</f>
        <v>8277.5</v>
      </c>
      <c r="C52" s="11">
        <f>37070</f>
        <v>37070</v>
      </c>
      <c r="D52" s="11">
        <f t="shared" si="2"/>
        <v>-28792.5</v>
      </c>
      <c r="E52" s="12">
        <f t="shared" si="3"/>
        <v>0.22329376854599406</v>
      </c>
      <c r="F52" s="31" t="str">
        <f>VLOOKUP(A52,'BvA Oct 21'!A:F,6,FALSE)</f>
        <v>Contracted Services</v>
      </c>
    </row>
    <row r="53" spans="1:6" x14ac:dyDescent="0.25">
      <c r="A53" s="8" t="s">
        <v>142</v>
      </c>
      <c r="B53" s="9"/>
      <c r="C53" s="11">
        <f>5000</f>
        <v>5000</v>
      </c>
      <c r="D53" s="11">
        <f t="shared" si="2"/>
        <v>-5000</v>
      </c>
      <c r="E53" s="12">
        <f t="shared" si="3"/>
        <v>0</v>
      </c>
      <c r="F53" s="31" t="str">
        <f>VLOOKUP(A53,'BvA Oct 21'!A:F,6,FALSE)</f>
        <v>School Operations</v>
      </c>
    </row>
    <row r="54" spans="1:6" x14ac:dyDescent="0.25">
      <c r="A54" s="8" t="s">
        <v>21</v>
      </c>
      <c r="B54" s="11">
        <f>1687</f>
        <v>1687</v>
      </c>
      <c r="C54" s="11">
        <f>1470</f>
        <v>1470</v>
      </c>
      <c r="D54" s="11">
        <f t="shared" si="2"/>
        <v>217</v>
      </c>
      <c r="E54" s="35">
        <f t="shared" si="3"/>
        <v>1.1476190476190475</v>
      </c>
      <c r="F54" s="31" t="str">
        <f>VLOOKUP(A54,'BvA Oct 21'!A:F,6,FALSE)</f>
        <v>School Operations</v>
      </c>
    </row>
    <row r="55" spans="1:6" x14ac:dyDescent="0.25">
      <c r="A55" s="8" t="s">
        <v>23</v>
      </c>
      <c r="B55" s="11">
        <f>2499.99</f>
        <v>2499.9899999999998</v>
      </c>
      <c r="C55" s="11">
        <f>11250</f>
        <v>11250</v>
      </c>
      <c r="D55" s="11">
        <f t="shared" si="2"/>
        <v>-8750.01</v>
      </c>
      <c r="E55" s="12">
        <f t="shared" si="3"/>
        <v>0.22222133333333333</v>
      </c>
      <c r="F55" s="31" t="str">
        <f>VLOOKUP(A55,'BvA Oct 21'!A:F,6,FALSE)</f>
        <v>School Operations</v>
      </c>
    </row>
    <row r="56" spans="1:6" x14ac:dyDescent="0.25">
      <c r="A56" s="8" t="s">
        <v>24</v>
      </c>
      <c r="B56" s="11">
        <f>14315.82</f>
        <v>14315.82</v>
      </c>
      <c r="C56" s="11">
        <f>61000</f>
        <v>61000</v>
      </c>
      <c r="D56" s="11">
        <f t="shared" si="2"/>
        <v>-46684.18</v>
      </c>
      <c r="E56" s="12">
        <f t="shared" si="3"/>
        <v>0.23468557377049179</v>
      </c>
      <c r="F56" s="31" t="str">
        <f>VLOOKUP(A56,'BvA Oct 21'!A:F,6,FALSE)</f>
        <v>School Operations</v>
      </c>
    </row>
    <row r="57" spans="1:6" x14ac:dyDescent="0.25">
      <c r="A57" s="8" t="s">
        <v>106</v>
      </c>
      <c r="B57" s="11">
        <f>29.96</f>
        <v>29.96</v>
      </c>
      <c r="C57" s="11">
        <f>6345</f>
        <v>6345</v>
      </c>
      <c r="D57" s="11">
        <f t="shared" si="2"/>
        <v>-6315.04</v>
      </c>
      <c r="E57" s="12">
        <f t="shared" si="3"/>
        <v>4.7218282111899136E-3</v>
      </c>
      <c r="F57" s="31" t="str">
        <f>VLOOKUP(A57,'BvA Oct 21'!A:F,6,FALSE)</f>
        <v>School Operations</v>
      </c>
    </row>
    <row r="58" spans="1:6" x14ac:dyDescent="0.25">
      <c r="A58" s="8" t="s">
        <v>141</v>
      </c>
      <c r="B58" s="9"/>
      <c r="C58" s="11">
        <f>7050</f>
        <v>7050</v>
      </c>
      <c r="D58" s="11">
        <f t="shared" si="2"/>
        <v>-7050</v>
      </c>
      <c r="E58" s="12">
        <f t="shared" si="3"/>
        <v>0</v>
      </c>
      <c r="F58" s="31" t="str">
        <f>VLOOKUP(A58,'BvA Oct 21'!A:F,6,FALSE)</f>
        <v>School Operations</v>
      </c>
    </row>
    <row r="59" spans="1:6" x14ac:dyDescent="0.25">
      <c r="A59" s="8" t="s">
        <v>140</v>
      </c>
      <c r="B59" s="11">
        <f>592.22</f>
        <v>592.22</v>
      </c>
      <c r="C59" s="9"/>
      <c r="D59" s="11">
        <f t="shared" si="2"/>
        <v>592.22</v>
      </c>
      <c r="E59" s="12" t="str">
        <f t="shared" si="3"/>
        <v/>
      </c>
      <c r="F59" s="31" t="str">
        <f>VLOOKUP(A59,'BvA Oct 21'!A:F,6,FALSE)</f>
        <v>School Operations</v>
      </c>
    </row>
    <row r="60" spans="1:6" x14ac:dyDescent="0.25">
      <c r="A60" s="8" t="s">
        <v>25</v>
      </c>
      <c r="B60" s="11">
        <f>5504.42</f>
        <v>5504.42</v>
      </c>
      <c r="C60" s="11">
        <f>58000</f>
        <v>58000</v>
      </c>
      <c r="D60" s="11">
        <f t="shared" ref="D60:D84" si="4">(B60)-(C60)</f>
        <v>-52495.58</v>
      </c>
      <c r="E60" s="12">
        <f t="shared" ref="E60:E84" si="5">IF(C60=0,"",(B60)/(C60))</f>
        <v>9.4903793103448278E-2</v>
      </c>
      <c r="F60" s="31" t="str">
        <f>VLOOKUP(A60,'BvA Oct 21'!A:F,6,FALSE)</f>
        <v>School Operations</v>
      </c>
    </row>
    <row r="61" spans="1:6" x14ac:dyDescent="0.25">
      <c r="A61" s="8" t="s">
        <v>26</v>
      </c>
      <c r="B61" s="11">
        <f>1831.91</f>
        <v>1831.91</v>
      </c>
      <c r="C61" s="11">
        <f>7680</f>
        <v>7680</v>
      </c>
      <c r="D61" s="11">
        <f t="shared" si="4"/>
        <v>-5848.09</v>
      </c>
      <c r="E61" s="12">
        <f t="shared" si="5"/>
        <v>0.23852994791666668</v>
      </c>
      <c r="F61" s="31" t="str">
        <f>VLOOKUP(A61,'BvA Oct 21'!A:F,6,FALSE)</f>
        <v>School Operations</v>
      </c>
    </row>
    <row r="62" spans="1:6" x14ac:dyDescent="0.25">
      <c r="A62" s="8" t="s">
        <v>27</v>
      </c>
      <c r="B62" s="11">
        <f>607.84</f>
        <v>607.84</v>
      </c>
      <c r="C62" s="11">
        <f>14701</f>
        <v>14701</v>
      </c>
      <c r="D62" s="11">
        <f t="shared" si="4"/>
        <v>-14093.16</v>
      </c>
      <c r="E62" s="12">
        <f t="shared" si="5"/>
        <v>4.134684715325488E-2</v>
      </c>
      <c r="F62" s="31" t="str">
        <f>VLOOKUP(A62,'BvA Oct 21'!A:F,6,FALSE)</f>
        <v>School Operations</v>
      </c>
    </row>
    <row r="63" spans="1:6" x14ac:dyDescent="0.25">
      <c r="A63" s="8" t="s">
        <v>28</v>
      </c>
      <c r="B63" s="11">
        <f>1698.45</f>
        <v>1698.45</v>
      </c>
      <c r="C63" s="11">
        <f>27591</f>
        <v>27591</v>
      </c>
      <c r="D63" s="11">
        <f t="shared" si="4"/>
        <v>-25892.55</v>
      </c>
      <c r="E63" s="12">
        <f t="shared" si="5"/>
        <v>6.1558116777209959E-2</v>
      </c>
      <c r="F63" s="31" t="str">
        <f>VLOOKUP(A63,'BvA Oct 21'!A:F,6,FALSE)</f>
        <v>School Operations</v>
      </c>
    </row>
    <row r="64" spans="1:6" x14ac:dyDescent="0.25">
      <c r="A64" s="8" t="s">
        <v>105</v>
      </c>
      <c r="B64" s="9"/>
      <c r="C64" s="11">
        <f>7030</f>
        <v>7030</v>
      </c>
      <c r="D64" s="11">
        <f t="shared" si="4"/>
        <v>-7030</v>
      </c>
      <c r="E64" s="12">
        <f t="shared" si="5"/>
        <v>0</v>
      </c>
      <c r="F64" s="31" t="str">
        <f>VLOOKUP(A64,'BvA Oct 21'!A:F,6,FALSE)</f>
        <v>School Operations</v>
      </c>
    </row>
    <row r="65" spans="1:6" x14ac:dyDescent="0.25">
      <c r="A65" s="8" t="s">
        <v>139</v>
      </c>
      <c r="B65" s="9"/>
      <c r="C65" s="11">
        <f>8930</f>
        <v>8930</v>
      </c>
      <c r="D65" s="11">
        <f t="shared" si="4"/>
        <v>-8930</v>
      </c>
      <c r="E65" s="12">
        <f t="shared" si="5"/>
        <v>0</v>
      </c>
      <c r="F65" s="31" t="str">
        <f>VLOOKUP(A65,'BvA Oct 21'!A:F,6,FALSE)</f>
        <v>School Operations</v>
      </c>
    </row>
    <row r="66" spans="1:6" x14ac:dyDescent="0.25">
      <c r="A66" s="8" t="s">
        <v>138</v>
      </c>
      <c r="B66" s="9"/>
      <c r="C66" s="11">
        <f>2350</f>
        <v>2350</v>
      </c>
      <c r="D66" s="11">
        <f t="shared" si="4"/>
        <v>-2350</v>
      </c>
      <c r="E66" s="12">
        <f t="shared" si="5"/>
        <v>0</v>
      </c>
      <c r="F66" s="31" t="str">
        <f>VLOOKUP(A66,'BvA Oct 21'!A:F,6,FALSE)</f>
        <v>School Operations</v>
      </c>
    </row>
    <row r="67" spans="1:6" x14ac:dyDescent="0.25">
      <c r="A67" s="8" t="s">
        <v>168</v>
      </c>
      <c r="B67" s="11">
        <f>88.04</f>
        <v>88.04</v>
      </c>
      <c r="C67" s="9"/>
      <c r="D67" s="11">
        <f t="shared" si="4"/>
        <v>88.04</v>
      </c>
      <c r="E67" s="12" t="str">
        <f t="shared" si="5"/>
        <v/>
      </c>
      <c r="F67" s="31" t="str">
        <f>VLOOKUP(A67,'BvA Oct 21'!A:F,6,FALSE)</f>
        <v>School Operations</v>
      </c>
    </row>
    <row r="68" spans="1:6" x14ac:dyDescent="0.25">
      <c r="A68" s="8" t="s">
        <v>29</v>
      </c>
      <c r="B68" s="11">
        <f>1626.97</f>
        <v>1626.97</v>
      </c>
      <c r="C68" s="11">
        <f>7000</f>
        <v>7000</v>
      </c>
      <c r="D68" s="11">
        <f t="shared" si="4"/>
        <v>-5373.03</v>
      </c>
      <c r="E68" s="12">
        <f t="shared" si="5"/>
        <v>0.23242428571428572</v>
      </c>
      <c r="F68" s="31" t="str">
        <f>VLOOKUP(A68,'BvA Oct 21'!A:F,6,FALSE)</f>
        <v>School Operations</v>
      </c>
    </row>
    <row r="69" spans="1:6" x14ac:dyDescent="0.25">
      <c r="A69" s="8" t="s">
        <v>30</v>
      </c>
      <c r="B69" s="11">
        <f>723.71</f>
        <v>723.71</v>
      </c>
      <c r="C69" s="11">
        <f>4950</f>
        <v>4950</v>
      </c>
      <c r="D69" s="11">
        <f t="shared" si="4"/>
        <v>-4226.29</v>
      </c>
      <c r="E69" s="12">
        <f t="shared" si="5"/>
        <v>0.14620404040404042</v>
      </c>
      <c r="F69" s="31" t="str">
        <f>VLOOKUP(A69,'BvA Oct 21'!A:F,6,FALSE)</f>
        <v>School Operations</v>
      </c>
    </row>
    <row r="70" spans="1:6" x14ac:dyDescent="0.25">
      <c r="A70" s="8" t="s">
        <v>31</v>
      </c>
      <c r="B70" s="9"/>
      <c r="C70" s="11">
        <f>2000</f>
        <v>2000</v>
      </c>
      <c r="D70" s="11">
        <f t="shared" si="4"/>
        <v>-2000</v>
      </c>
      <c r="E70" s="12">
        <f t="shared" si="5"/>
        <v>0</v>
      </c>
      <c r="F70" s="31" t="str">
        <f>VLOOKUP(A70,'BvA Oct 21'!A:F,6,FALSE)</f>
        <v>School Operations</v>
      </c>
    </row>
    <row r="71" spans="1:6" x14ac:dyDescent="0.25">
      <c r="A71" s="8" t="s">
        <v>32</v>
      </c>
      <c r="B71" s="11">
        <f>250</f>
        <v>250</v>
      </c>
      <c r="C71" s="11">
        <f>3000</f>
        <v>3000</v>
      </c>
      <c r="D71" s="11">
        <f t="shared" si="4"/>
        <v>-2750</v>
      </c>
      <c r="E71" s="12">
        <f t="shared" si="5"/>
        <v>8.3333333333333329E-2</v>
      </c>
      <c r="F71" s="31" t="str">
        <f>VLOOKUP(A71,'BvA Oct 21'!A:F,6,FALSE)</f>
        <v>School Operations</v>
      </c>
    </row>
    <row r="72" spans="1:6" x14ac:dyDescent="0.25">
      <c r="A72" s="8" t="s">
        <v>56</v>
      </c>
      <c r="B72" s="11">
        <f>13275.68</f>
        <v>13275.68</v>
      </c>
      <c r="C72" s="11">
        <f>106278.02</f>
        <v>106278.02</v>
      </c>
      <c r="D72" s="11">
        <f t="shared" si="4"/>
        <v>-93002.34</v>
      </c>
      <c r="E72" s="12">
        <f t="shared" si="5"/>
        <v>0.12491463427715345</v>
      </c>
      <c r="F72" s="31" t="str">
        <f>VLOOKUP(A72,'BvA Oct 21'!A:F,6,FALSE)</f>
        <v>School Operations</v>
      </c>
    </row>
    <row r="73" spans="1:6" x14ac:dyDescent="0.25">
      <c r="A73" s="8" t="s">
        <v>33</v>
      </c>
      <c r="B73" s="9"/>
      <c r="C73" s="11">
        <f>2500</f>
        <v>2500</v>
      </c>
      <c r="D73" s="11">
        <f t="shared" si="4"/>
        <v>-2500</v>
      </c>
      <c r="E73" s="12">
        <f t="shared" si="5"/>
        <v>0</v>
      </c>
      <c r="F73" s="31" t="str">
        <f>VLOOKUP(A73,'BvA Oct 21'!A:F,6,FALSE)</f>
        <v>School Operations</v>
      </c>
    </row>
    <row r="74" spans="1:6" x14ac:dyDescent="0.25">
      <c r="A74" s="8" t="s">
        <v>137</v>
      </c>
      <c r="B74" s="11">
        <f>454.05</f>
        <v>454.05</v>
      </c>
      <c r="C74" s="11">
        <f>6250</f>
        <v>6250</v>
      </c>
      <c r="D74" s="11">
        <f t="shared" si="4"/>
        <v>-5795.95</v>
      </c>
      <c r="E74" s="12">
        <f t="shared" si="5"/>
        <v>7.2648000000000004E-2</v>
      </c>
      <c r="F74" s="31" t="str">
        <f>VLOOKUP(A74,'BvA Oct 21'!A:F,6,FALSE)</f>
        <v>School Operations</v>
      </c>
    </row>
    <row r="75" spans="1:6" x14ac:dyDescent="0.25">
      <c r="A75" s="8" t="s">
        <v>136</v>
      </c>
      <c r="B75" s="9"/>
      <c r="C75" s="11">
        <f>39600</f>
        <v>39600</v>
      </c>
      <c r="D75" s="11">
        <f t="shared" si="4"/>
        <v>-39600</v>
      </c>
      <c r="E75" s="12">
        <f t="shared" si="5"/>
        <v>0</v>
      </c>
      <c r="F75" s="31" t="str">
        <f>VLOOKUP(A75,'BvA Oct 21'!A:F,6,FALSE)</f>
        <v>School Operations</v>
      </c>
    </row>
    <row r="76" spans="1:6" x14ac:dyDescent="0.25">
      <c r="A76" s="8" t="s">
        <v>186</v>
      </c>
      <c r="B76" s="9"/>
      <c r="C76" s="11">
        <f>44185.32</f>
        <v>44185.32</v>
      </c>
      <c r="D76" s="11">
        <f t="shared" si="4"/>
        <v>-44185.32</v>
      </c>
      <c r="E76" s="12">
        <f t="shared" si="5"/>
        <v>0</v>
      </c>
      <c r="F76" s="31" t="e">
        <f>VLOOKUP(A76,'BvA Oct 21'!A:F,6,FALSE)</f>
        <v>#N/A</v>
      </c>
    </row>
    <row r="77" spans="1:6" x14ac:dyDescent="0.25">
      <c r="A77" s="8" t="s">
        <v>34</v>
      </c>
      <c r="B77" s="11">
        <f>2614.76</f>
        <v>2614.7600000000002</v>
      </c>
      <c r="C77" s="11">
        <f>12500</f>
        <v>12500</v>
      </c>
      <c r="D77" s="11">
        <f t="shared" si="4"/>
        <v>-9885.24</v>
      </c>
      <c r="E77" s="12">
        <f t="shared" si="5"/>
        <v>0.20918080000000003</v>
      </c>
      <c r="F77" s="31" t="str">
        <f>VLOOKUP(A77,'BvA Oct 21'!A:F,6,FALSE)</f>
        <v>Facility Operations &amp; Maintenance</v>
      </c>
    </row>
    <row r="78" spans="1:6" x14ac:dyDescent="0.25">
      <c r="A78" s="8" t="s">
        <v>55</v>
      </c>
      <c r="B78" s="11">
        <f>847.25</f>
        <v>847.25</v>
      </c>
      <c r="C78" s="9"/>
      <c r="D78" s="11">
        <f t="shared" si="4"/>
        <v>847.25</v>
      </c>
      <c r="E78" s="12" t="str">
        <f t="shared" si="5"/>
        <v/>
      </c>
      <c r="F78" s="31" t="str">
        <f>VLOOKUP(A78,'BvA Oct 21'!A:F,6,FALSE)</f>
        <v>Facility Operations &amp; Maintenance</v>
      </c>
    </row>
    <row r="79" spans="1:6" x14ac:dyDescent="0.25">
      <c r="A79" s="8" t="s">
        <v>35</v>
      </c>
      <c r="B79" s="11">
        <f>42302.44</f>
        <v>42302.44</v>
      </c>
      <c r="C79" s="11">
        <f>154992.94</f>
        <v>154992.94</v>
      </c>
      <c r="D79" s="11">
        <f t="shared" si="4"/>
        <v>-112690.5</v>
      </c>
      <c r="E79" s="12">
        <f t="shared" si="5"/>
        <v>0.27293139932696292</v>
      </c>
      <c r="F79" s="31" t="str">
        <f>VLOOKUP(A79,'BvA Oct 21'!A:F,6,FALSE)</f>
        <v>Facility Operations &amp; Maintenance</v>
      </c>
    </row>
    <row r="80" spans="1:6" x14ac:dyDescent="0.25">
      <c r="A80" s="8" t="s">
        <v>134</v>
      </c>
      <c r="B80" s="11">
        <f>107.8</f>
        <v>107.8</v>
      </c>
      <c r="C80" s="11">
        <f>3000</f>
        <v>3000</v>
      </c>
      <c r="D80" s="11">
        <f t="shared" si="4"/>
        <v>-2892.2</v>
      </c>
      <c r="E80" s="12">
        <f t="shared" si="5"/>
        <v>3.5933333333333331E-2</v>
      </c>
      <c r="F80" s="31" t="str">
        <f>VLOOKUP(A80,'BvA Oct 21'!A:F,6,FALSE)</f>
        <v>Facility Operations &amp; Maintenance</v>
      </c>
    </row>
    <row r="81" spans="1:6" x14ac:dyDescent="0.25">
      <c r="A81" s="8" t="s">
        <v>133</v>
      </c>
      <c r="B81" s="9"/>
      <c r="C81" s="11">
        <f>2500</f>
        <v>2500</v>
      </c>
      <c r="D81" s="11">
        <f t="shared" si="4"/>
        <v>-2500</v>
      </c>
      <c r="E81" s="12">
        <f t="shared" si="5"/>
        <v>0</v>
      </c>
      <c r="F81" s="31" t="str">
        <f>VLOOKUP(A81,'BvA Oct 21'!A:F,6,FALSE)</f>
        <v>Facility Operations &amp; Maintenance</v>
      </c>
    </row>
    <row r="82" spans="1:6" x14ac:dyDescent="0.25">
      <c r="A82" s="8" t="s">
        <v>132</v>
      </c>
      <c r="B82" s="9"/>
      <c r="C82" s="11">
        <f>20250</f>
        <v>20250</v>
      </c>
      <c r="D82" s="11">
        <f t="shared" si="4"/>
        <v>-20250</v>
      </c>
      <c r="E82" s="12">
        <f t="shared" si="5"/>
        <v>0</v>
      </c>
      <c r="F82" s="31" t="str">
        <f>VLOOKUP(A82,'BvA Oct 21'!A:F,6,FALSE)</f>
        <v>Facility Operations &amp; Maintenance</v>
      </c>
    </row>
    <row r="83" spans="1:6" x14ac:dyDescent="0.25">
      <c r="A83" s="8" t="s">
        <v>36</v>
      </c>
      <c r="B83" s="13">
        <f>((((((((((((((((((((((((((((((((((((((((((((((((((((((B28)+(B29))+(B30))+(B31))+(B32))+(B33))+(B34))+(B35))+(B36))+(B37))+(B38))+(B39))+(B40))+(B41))+(B42))+(B43))+(B44))+(B45))+(B46))+(B47))+(B48))+(B49))+(B50))+(B51))+(B52))+(B53))+(B54))+(B55))+(B56))+(B57))+(B58))+(B59))+(B60))+(B61))+(B62))+(B63))+(B64))+(B65))+(B66))+(B67))+(B68))+(B69))+(B70))+(B71))+(B72))+(B73))+(B74))+(B75))+(B76))+(B77))+(B78))+(B79))+(B80))+(B81))+(B82)</f>
        <v>392496.04999999993</v>
      </c>
      <c r="C83" s="13">
        <f>((((((((((((((((((((((((((((((((((((((((((((((((((((((C28)+(C29))+(C30))+(C31))+(C32))+(C33))+(C34))+(C35))+(C36))+(C37))+(C38))+(C39))+(C40))+(C41))+(C42))+(C43))+(C44))+(C45))+(C46))+(C47))+(C48))+(C49))+(C50))+(C51))+(C52))+(C53))+(C54))+(C55))+(C56))+(C57))+(C58))+(C59))+(C60))+(C61))+(C62))+(C63))+(C64))+(C65))+(C66))+(C67))+(C68))+(C69))+(C70))+(C71))+(C72))+(C73))+(C74))+(C75))+(C76))+(C77))+(C78))+(C79))+(C80))+(C81))+(C82)</f>
        <v>1893988.7700000003</v>
      </c>
      <c r="D83" s="13">
        <f t="shared" si="4"/>
        <v>-1501492.7200000002</v>
      </c>
      <c r="E83" s="14">
        <f t="shared" si="5"/>
        <v>0.20723251173236887</v>
      </c>
    </row>
    <row r="84" spans="1:6" x14ac:dyDescent="0.25">
      <c r="A84" s="8" t="s">
        <v>37</v>
      </c>
      <c r="B84" s="13">
        <f>(B26)-(B83)</f>
        <v>-87038.169999999925</v>
      </c>
      <c r="C84" s="13">
        <f>(C26)-(C83)</f>
        <v>-44778.880000000121</v>
      </c>
      <c r="D84" s="13">
        <f t="shared" si="4"/>
        <v>-42259.289999999804</v>
      </c>
      <c r="E84" s="14">
        <f t="shared" si="5"/>
        <v>1.9437326257378409</v>
      </c>
    </row>
    <row r="85" spans="1:6" x14ac:dyDescent="0.25">
      <c r="A85" s="8" t="s">
        <v>131</v>
      </c>
      <c r="B85" s="9"/>
      <c r="C85" s="9"/>
      <c r="D85" s="9"/>
      <c r="E85" s="9"/>
    </row>
    <row r="86" spans="1:6" x14ac:dyDescent="0.25">
      <c r="A86" s="8" t="s">
        <v>130</v>
      </c>
      <c r="B86" s="9"/>
      <c r="C86" s="11">
        <f>94883</f>
        <v>94883</v>
      </c>
      <c r="D86" s="11">
        <f>(B86)-(C86)</f>
        <v>-94883</v>
      </c>
      <c r="E86" s="12">
        <f>IF(C86=0,"",(B86)/(C86))</f>
        <v>0</v>
      </c>
      <c r="F86" s="31" t="str">
        <f>VLOOKUP(A86,'BvA Oct 21'!A:F,6,FALSE)</f>
        <v>Facility Operations &amp; Maintenance</v>
      </c>
    </row>
    <row r="87" spans="1:6" x14ac:dyDescent="0.25">
      <c r="A87" s="8" t="s">
        <v>129</v>
      </c>
      <c r="B87" s="13">
        <f>B86</f>
        <v>0</v>
      </c>
      <c r="C87" s="13">
        <f>C86</f>
        <v>94883</v>
      </c>
      <c r="D87" s="13">
        <f>(B87)-(C87)</f>
        <v>-94883</v>
      </c>
      <c r="E87" s="14">
        <f>IF(C87=0,"",(B87)/(C87))</f>
        <v>0</v>
      </c>
    </row>
    <row r="88" spans="1:6" x14ac:dyDescent="0.25">
      <c r="A88" s="8" t="s">
        <v>128</v>
      </c>
      <c r="B88" s="13">
        <f>(0)-(B87)</f>
        <v>0</v>
      </c>
      <c r="C88" s="13">
        <f>(0)-(C87)</f>
        <v>-94883</v>
      </c>
      <c r="D88" s="13">
        <f>(B88)-(C88)</f>
        <v>94883</v>
      </c>
      <c r="E88" s="14">
        <f>IF(C88=0,"",(B88)/(C88))</f>
        <v>0</v>
      </c>
    </row>
    <row r="89" spans="1:6" x14ac:dyDescent="0.25">
      <c r="A89" s="8" t="s">
        <v>38</v>
      </c>
      <c r="B89" s="13">
        <f>(B84)+(B88)</f>
        <v>-87038.169999999925</v>
      </c>
      <c r="C89" s="13">
        <f>(C84)+(C88)</f>
        <v>-139661.88000000012</v>
      </c>
      <c r="D89" s="13">
        <f>(B89)-(C89)</f>
        <v>52623.710000000196</v>
      </c>
      <c r="E89" s="14">
        <f>IF(C89=0,"",(B89)/(C89))</f>
        <v>0.62320634664233254</v>
      </c>
    </row>
    <row r="90" spans="1:6" x14ac:dyDescent="0.25">
      <c r="A90" s="8"/>
      <c r="B90" s="9"/>
      <c r="C90" s="9"/>
      <c r="D90" s="9"/>
      <c r="E90" s="9"/>
    </row>
    <row r="93" spans="1:6" x14ac:dyDescent="0.25">
      <c r="A93" s="77" t="s">
        <v>185</v>
      </c>
      <c r="B93" s="75"/>
      <c r="C93" s="75"/>
      <c r="D93" s="75"/>
      <c r="E93" s="75"/>
    </row>
  </sheetData>
  <mergeCells count="5">
    <mergeCell ref="B5:E5"/>
    <mergeCell ref="A93:E93"/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6C027-C8FD-4BF1-BB91-B8E0044390A7}">
  <dimension ref="A1:F94"/>
  <sheetViews>
    <sheetView topLeftCell="A64" workbookViewId="0">
      <selection activeCell="F87" sqref="F87"/>
    </sheetView>
  </sheetViews>
  <sheetFormatPr defaultRowHeight="15" x14ac:dyDescent="0.25"/>
  <cols>
    <col min="1" max="1" width="39.125" style="38" customWidth="1"/>
    <col min="2" max="2" width="9" style="38" customWidth="1"/>
    <col min="3" max="3" width="10.5" style="38" customWidth="1"/>
    <col min="4" max="4" width="12" style="38" customWidth="1"/>
    <col min="5" max="5" width="9" style="38" customWidth="1"/>
    <col min="6" max="16384" width="9" style="38"/>
  </cols>
  <sheetData>
    <row r="1" spans="1:6" ht="18" x14ac:dyDescent="0.25">
      <c r="A1" s="82" t="s">
        <v>97</v>
      </c>
      <c r="B1" s="81"/>
      <c r="C1" s="81"/>
      <c r="D1" s="81"/>
      <c r="E1" s="81"/>
    </row>
    <row r="2" spans="1:6" ht="18" x14ac:dyDescent="0.25">
      <c r="A2" s="82" t="s">
        <v>165</v>
      </c>
      <c r="B2" s="81"/>
      <c r="C2" s="81"/>
      <c r="D2" s="81"/>
      <c r="E2" s="81"/>
    </row>
    <row r="3" spans="1:6" x14ac:dyDescent="0.25">
      <c r="A3" s="83" t="s">
        <v>215</v>
      </c>
      <c r="B3" s="81"/>
      <c r="C3" s="81"/>
      <c r="D3" s="81"/>
      <c r="E3" s="81"/>
    </row>
    <row r="4" spans="1:6" x14ac:dyDescent="0.25">
      <c r="A4" s="39"/>
      <c r="B4" s="39"/>
      <c r="C4" s="39"/>
      <c r="D4" s="39"/>
      <c r="E4" s="39"/>
    </row>
    <row r="5" spans="1:6" x14ac:dyDescent="0.25">
      <c r="A5" s="40"/>
      <c r="B5" s="78" t="s">
        <v>0</v>
      </c>
      <c r="C5" s="79"/>
      <c r="D5" s="79"/>
      <c r="E5" s="79"/>
    </row>
    <row r="6" spans="1:6" ht="24.75" x14ac:dyDescent="0.25">
      <c r="A6" s="40"/>
      <c r="B6" s="41" t="s">
        <v>1</v>
      </c>
      <c r="C6" s="41" t="s">
        <v>2</v>
      </c>
      <c r="D6" s="41" t="s">
        <v>3</v>
      </c>
      <c r="E6" s="41" t="s">
        <v>4</v>
      </c>
    </row>
    <row r="7" spans="1:6" x14ac:dyDescent="0.25">
      <c r="A7" s="42" t="s">
        <v>5</v>
      </c>
      <c r="B7" s="43"/>
      <c r="C7" s="43"/>
      <c r="D7" s="43"/>
      <c r="E7" s="43"/>
    </row>
    <row r="8" spans="1:6" x14ac:dyDescent="0.25">
      <c r="A8" s="42" t="s">
        <v>6</v>
      </c>
      <c r="B8" s="44">
        <f>3488.79</f>
        <v>3488.79</v>
      </c>
      <c r="C8" s="44">
        <f>25000</f>
        <v>25000</v>
      </c>
      <c r="D8" s="44">
        <f t="shared" ref="D8:D27" si="0">(B8)-(C8)</f>
        <v>-21511.21</v>
      </c>
      <c r="E8" s="45">
        <f t="shared" ref="E8:E27" si="1">IF(C8=0,"",(B8)/(C8))</f>
        <v>0.1395516</v>
      </c>
      <c r="F8" s="38" t="str">
        <f>VLOOKUP(A8,'BvA Nov 21'!A:F,6,FALSE)</f>
        <v>Local Support</v>
      </c>
    </row>
    <row r="9" spans="1:6" x14ac:dyDescent="0.25">
      <c r="A9" s="42" t="s">
        <v>7</v>
      </c>
      <c r="B9" s="43"/>
      <c r="C9" s="44">
        <f>7050</f>
        <v>7050</v>
      </c>
      <c r="D9" s="44">
        <f t="shared" si="0"/>
        <v>-7050</v>
      </c>
      <c r="E9" s="45">
        <f t="shared" si="1"/>
        <v>0</v>
      </c>
      <c r="F9" s="38" t="str">
        <f>VLOOKUP(A9,'BvA Nov 21'!A:F,6,FALSE)</f>
        <v>Local Support</v>
      </c>
    </row>
    <row r="10" spans="1:6" x14ac:dyDescent="0.25">
      <c r="A10" s="42" t="s">
        <v>118</v>
      </c>
      <c r="B10" s="44">
        <f>0.07</f>
        <v>7.0000000000000007E-2</v>
      </c>
      <c r="C10" s="43"/>
      <c r="D10" s="44">
        <f t="shared" si="0"/>
        <v>7.0000000000000007E-2</v>
      </c>
      <c r="E10" s="45" t="str">
        <f t="shared" si="1"/>
        <v/>
      </c>
      <c r="F10" s="38" t="str">
        <f>VLOOKUP(A10,'BvA Nov 21'!A:F,6,FALSE)</f>
        <v>Grants &amp; Other Sources</v>
      </c>
    </row>
    <row r="11" spans="1:6" x14ac:dyDescent="0.25">
      <c r="A11" s="42" t="s">
        <v>8</v>
      </c>
      <c r="B11" s="44">
        <f>105000</f>
        <v>105000</v>
      </c>
      <c r="C11" s="44">
        <f>241000</f>
        <v>241000</v>
      </c>
      <c r="D11" s="44">
        <f t="shared" si="0"/>
        <v>-136000</v>
      </c>
      <c r="E11" s="45">
        <f t="shared" si="1"/>
        <v>0.43568464730290457</v>
      </c>
      <c r="F11" s="38" t="str">
        <f>VLOOKUP(A11,'BvA Nov 21'!A:F,6,FALSE)</f>
        <v>Grants &amp; Other Sources</v>
      </c>
    </row>
    <row r="12" spans="1:6" x14ac:dyDescent="0.25">
      <c r="A12" s="42" t="s">
        <v>163</v>
      </c>
      <c r="B12" s="44">
        <f>306296.87</f>
        <v>306296.87</v>
      </c>
      <c r="C12" s="44">
        <f>989953.75</f>
        <v>989953.75</v>
      </c>
      <c r="D12" s="44">
        <f t="shared" si="0"/>
        <v>-683656.88</v>
      </c>
      <c r="E12" s="45">
        <f t="shared" si="1"/>
        <v>0.30940523231514605</v>
      </c>
      <c r="F12" s="38" t="str">
        <f>VLOOKUP(A12,'BvA Nov 21'!A:F,6,FALSE)</f>
        <v>State Revenue - General</v>
      </c>
    </row>
    <row r="13" spans="1:6" x14ac:dyDescent="0.25">
      <c r="A13" s="42" t="s">
        <v>162</v>
      </c>
      <c r="B13" s="44">
        <f>7440.26</f>
        <v>7440.26</v>
      </c>
      <c r="C13" s="44">
        <f>24001.51</f>
        <v>24001.51</v>
      </c>
      <c r="D13" s="44">
        <f t="shared" si="0"/>
        <v>-16561.25</v>
      </c>
      <c r="E13" s="45">
        <f t="shared" si="1"/>
        <v>0.3099913297121723</v>
      </c>
      <c r="F13" s="38" t="str">
        <f>VLOOKUP(A13,'BvA Nov 21'!A:F,6,FALSE)</f>
        <v>State Revenue - Special Purpose</v>
      </c>
    </row>
    <row r="14" spans="1:6" x14ac:dyDescent="0.25">
      <c r="A14" s="42" t="s">
        <v>161</v>
      </c>
      <c r="B14" s="44">
        <f>38072.58</f>
        <v>38072.58</v>
      </c>
      <c r="C14" s="44">
        <f>122818.22</f>
        <v>122818.22</v>
      </c>
      <c r="D14" s="44">
        <f t="shared" si="0"/>
        <v>-84745.64</v>
      </c>
      <c r="E14" s="45">
        <f t="shared" si="1"/>
        <v>0.30999130259337743</v>
      </c>
      <c r="F14" s="38" t="str">
        <f>VLOOKUP(A14,'BvA Nov 21'!A:F,6,FALSE)</f>
        <v>State Revenue - Special Purpose</v>
      </c>
    </row>
    <row r="15" spans="1:6" x14ac:dyDescent="0.25">
      <c r="A15" s="42" t="s">
        <v>160</v>
      </c>
      <c r="B15" s="44">
        <f>5034.58</f>
        <v>5034.58</v>
      </c>
      <c r="C15" s="44">
        <f>29741.78</f>
        <v>29741.78</v>
      </c>
      <c r="D15" s="44">
        <f t="shared" si="0"/>
        <v>-24707.199999999997</v>
      </c>
      <c r="E15" s="45">
        <f t="shared" si="1"/>
        <v>0.1692763513145481</v>
      </c>
      <c r="F15" s="38" t="str">
        <f>VLOOKUP(A15,'BvA Nov 21'!A:F,6,FALSE)</f>
        <v>State Revenue - Special Purpose</v>
      </c>
    </row>
    <row r="16" spans="1:6" x14ac:dyDescent="0.25">
      <c r="A16" s="42" t="s">
        <v>159</v>
      </c>
      <c r="B16" s="43"/>
      <c r="C16" s="44">
        <f>6342.8</f>
        <v>6342.8</v>
      </c>
      <c r="D16" s="44">
        <f t="shared" si="0"/>
        <v>-6342.8</v>
      </c>
      <c r="E16" s="45">
        <f t="shared" si="1"/>
        <v>0</v>
      </c>
      <c r="F16" s="38" t="str">
        <f>VLOOKUP(A16,'BvA Nov 21'!A:F,6,FALSE)</f>
        <v>State Revenue - Special Purpose</v>
      </c>
    </row>
    <row r="17" spans="1:6" x14ac:dyDescent="0.25">
      <c r="A17" s="42" t="s">
        <v>158</v>
      </c>
      <c r="B17" s="43"/>
      <c r="C17" s="44">
        <f>2641.54</f>
        <v>2641.54</v>
      </c>
      <c r="D17" s="44">
        <f t="shared" si="0"/>
        <v>-2641.54</v>
      </c>
      <c r="E17" s="45">
        <f t="shared" si="1"/>
        <v>0</v>
      </c>
      <c r="F17" s="38" t="str">
        <f>VLOOKUP(A17,'BvA Nov 21'!A:F,6,FALSE)</f>
        <v>State Revenue - Special Purpose</v>
      </c>
    </row>
    <row r="18" spans="1:6" x14ac:dyDescent="0.25">
      <c r="A18" s="42" t="s">
        <v>157</v>
      </c>
      <c r="B18" s="43"/>
      <c r="C18" s="44">
        <f>18674.92</f>
        <v>18674.919999999998</v>
      </c>
      <c r="D18" s="44">
        <f t="shared" si="0"/>
        <v>-18674.919999999998</v>
      </c>
      <c r="E18" s="45">
        <f t="shared" si="1"/>
        <v>0</v>
      </c>
      <c r="F18" s="38" t="str">
        <f>VLOOKUP(A18,'BvA Nov 21'!A:F,6,FALSE)</f>
        <v>State Revenue - Special Purpose</v>
      </c>
    </row>
    <row r="19" spans="1:6" x14ac:dyDescent="0.25">
      <c r="A19" s="42" t="s">
        <v>214</v>
      </c>
      <c r="B19" s="44">
        <f>11520</f>
        <v>11520</v>
      </c>
      <c r="C19" s="43"/>
      <c r="D19" s="44">
        <f t="shared" si="0"/>
        <v>11520</v>
      </c>
      <c r="E19" s="45" t="str">
        <f t="shared" si="1"/>
        <v/>
      </c>
      <c r="F19" s="38" t="s">
        <v>42</v>
      </c>
    </row>
    <row r="20" spans="1:6" x14ac:dyDescent="0.25">
      <c r="A20" s="42" t="s">
        <v>156</v>
      </c>
      <c r="B20" s="43"/>
      <c r="C20" s="44">
        <f>16345</f>
        <v>16345</v>
      </c>
      <c r="D20" s="44">
        <f t="shared" si="0"/>
        <v>-16345</v>
      </c>
      <c r="E20" s="45">
        <f t="shared" si="1"/>
        <v>0</v>
      </c>
      <c r="F20" s="38" t="str">
        <f>VLOOKUP(A20,'BvA Nov 21'!A:F,6,FALSE)</f>
        <v>Federal Revenue</v>
      </c>
    </row>
    <row r="21" spans="1:6" x14ac:dyDescent="0.25">
      <c r="A21" s="42" t="s">
        <v>155</v>
      </c>
      <c r="B21" s="43"/>
      <c r="C21" s="44">
        <f>1316</f>
        <v>1316</v>
      </c>
      <c r="D21" s="44">
        <f t="shared" si="0"/>
        <v>-1316</v>
      </c>
      <c r="E21" s="45">
        <f t="shared" si="1"/>
        <v>0</v>
      </c>
      <c r="F21" s="38" t="str">
        <f>VLOOKUP(A21,'BvA Nov 21'!A:F,6,FALSE)</f>
        <v>Federal Revenue</v>
      </c>
    </row>
    <row r="22" spans="1:6" x14ac:dyDescent="0.25">
      <c r="A22" s="42" t="s">
        <v>154</v>
      </c>
      <c r="B22" s="43"/>
      <c r="C22" s="44">
        <f>11985</f>
        <v>11985</v>
      </c>
      <c r="D22" s="44">
        <f t="shared" si="0"/>
        <v>-11985</v>
      </c>
      <c r="E22" s="45">
        <f t="shared" si="1"/>
        <v>0</v>
      </c>
      <c r="F22" s="38" t="str">
        <f>VLOOKUP(A22,'BvA Nov 21'!A:F,6,FALSE)</f>
        <v>Federal Revenue</v>
      </c>
    </row>
    <row r="23" spans="1:6" x14ac:dyDescent="0.25">
      <c r="A23" s="42" t="s">
        <v>153</v>
      </c>
      <c r="B23" s="44">
        <f>10388.5</f>
        <v>10388.5</v>
      </c>
      <c r="C23" s="44">
        <f>92315.52</f>
        <v>92315.520000000004</v>
      </c>
      <c r="D23" s="44">
        <f t="shared" si="0"/>
        <v>-81927.02</v>
      </c>
      <c r="E23" s="45">
        <f t="shared" si="1"/>
        <v>0.11253254057389266</v>
      </c>
      <c r="F23" s="38" t="str">
        <f>VLOOKUP(A23,'BvA Nov 21'!A:F,6,FALSE)</f>
        <v>Federal Revenue</v>
      </c>
    </row>
    <row r="24" spans="1:6" x14ac:dyDescent="0.25">
      <c r="A24" s="42" t="s">
        <v>152</v>
      </c>
      <c r="B24" s="44">
        <f>9802.08</f>
        <v>9802.08</v>
      </c>
      <c r="C24" s="44">
        <f>105720</f>
        <v>105720</v>
      </c>
      <c r="D24" s="44">
        <f t="shared" si="0"/>
        <v>-95917.92</v>
      </c>
      <c r="E24" s="45">
        <f t="shared" si="1"/>
        <v>9.2717366628830872E-2</v>
      </c>
      <c r="F24" s="38" t="str">
        <f>VLOOKUP(A24,'BvA Nov 21'!A:F,6,FALSE)</f>
        <v>Federal Revenue</v>
      </c>
    </row>
    <row r="25" spans="1:6" x14ac:dyDescent="0.25">
      <c r="A25" s="42" t="s">
        <v>9</v>
      </c>
      <c r="B25" s="44">
        <f>116468.85</f>
        <v>116468.85</v>
      </c>
      <c r="C25" s="44">
        <f>154303.85</f>
        <v>154303.85</v>
      </c>
      <c r="D25" s="44">
        <f t="shared" si="0"/>
        <v>-37835</v>
      </c>
      <c r="E25" s="45">
        <f t="shared" si="1"/>
        <v>0.75480197026840223</v>
      </c>
      <c r="F25" s="38" t="str">
        <f>VLOOKUP(A25,'BvA Nov 21'!A:F,6,FALSE)</f>
        <v>Federal Revenue</v>
      </c>
    </row>
    <row r="26" spans="1:6" x14ac:dyDescent="0.25">
      <c r="A26" s="42" t="s">
        <v>10</v>
      </c>
      <c r="B26" s="46">
        <f>(((((((((((((((((B8)+(B9))+(B10))+(B11))+(B12))+(B13))+(B14))+(B15))+(B16))+(B17))+(B18))+(B19))+(B20))+(B21))+(B22))+(B23))+(B24))+(B25)</f>
        <v>613512.58000000007</v>
      </c>
      <c r="C26" s="46">
        <f>(((((((((((((((((C8)+(C9))+(C10))+(C11))+(C12))+(C13))+(C14))+(C15))+(C16))+(C17))+(C18))+(C19))+(C20))+(C21))+(C22))+(C23))+(C24))+(C25)</f>
        <v>1849209.8900000001</v>
      </c>
      <c r="D26" s="46">
        <f t="shared" si="0"/>
        <v>-1235697.31</v>
      </c>
      <c r="E26" s="47">
        <f t="shared" si="1"/>
        <v>0.33177011615485141</v>
      </c>
    </row>
    <row r="27" spans="1:6" x14ac:dyDescent="0.25">
      <c r="A27" s="42" t="s">
        <v>11</v>
      </c>
      <c r="B27" s="46">
        <f>(B26)-(0)</f>
        <v>613512.58000000007</v>
      </c>
      <c r="C27" s="46">
        <f>(C26)-(0)</f>
        <v>1849209.8900000001</v>
      </c>
      <c r="D27" s="46">
        <f t="shared" si="0"/>
        <v>-1235697.31</v>
      </c>
      <c r="E27" s="47">
        <f t="shared" si="1"/>
        <v>0.33177011615485141</v>
      </c>
    </row>
    <row r="28" spans="1:6" x14ac:dyDescent="0.25">
      <c r="A28" s="42" t="s">
        <v>12</v>
      </c>
      <c r="B28" s="43"/>
      <c r="C28" s="43"/>
      <c r="D28" s="43"/>
      <c r="E28" s="43"/>
    </row>
    <row r="29" spans="1:6" x14ac:dyDescent="0.25">
      <c r="A29" s="42" t="s">
        <v>151</v>
      </c>
      <c r="B29" s="44">
        <f>30416.68</f>
        <v>30416.68</v>
      </c>
      <c r="C29" s="44">
        <f>90000</f>
        <v>90000</v>
      </c>
      <c r="D29" s="44">
        <f t="shared" ref="D29:D85" si="2">(B29)-(C29)</f>
        <v>-59583.32</v>
      </c>
      <c r="E29" s="45">
        <f t="shared" ref="E29:E85" si="3">IF(C29=0,"",(B29)/(C29))</f>
        <v>0.3379631111111111</v>
      </c>
      <c r="F29" s="38" t="str">
        <f>VLOOKUP(A29,'BvA Nov 21'!A:F,6,FALSE)</f>
        <v>Salaries</v>
      </c>
    </row>
    <row r="30" spans="1:6" x14ac:dyDescent="0.25">
      <c r="A30" s="42" t="s">
        <v>116</v>
      </c>
      <c r="B30" s="44">
        <f>26666.7</f>
        <v>26666.7</v>
      </c>
      <c r="C30" s="44">
        <f>80000</f>
        <v>80000</v>
      </c>
      <c r="D30" s="44">
        <f t="shared" si="2"/>
        <v>-53333.3</v>
      </c>
      <c r="E30" s="45">
        <f t="shared" si="3"/>
        <v>0.33333374999999998</v>
      </c>
      <c r="F30" s="38" t="str">
        <f>VLOOKUP(A30,'BvA Nov 21'!A:F,6,FALSE)</f>
        <v>Salaries</v>
      </c>
    </row>
    <row r="31" spans="1:6" x14ac:dyDescent="0.25">
      <c r="A31" s="42" t="s">
        <v>13</v>
      </c>
      <c r="B31" s="44">
        <f>14833.36</f>
        <v>14833.36</v>
      </c>
      <c r="C31" s="44">
        <f>45000</f>
        <v>45000</v>
      </c>
      <c r="D31" s="44">
        <f t="shared" si="2"/>
        <v>-30166.639999999999</v>
      </c>
      <c r="E31" s="45">
        <f t="shared" si="3"/>
        <v>0.32963022222222221</v>
      </c>
      <c r="F31" s="38" t="str">
        <f>VLOOKUP(A31,'BvA Nov 21'!A:F,6,FALSE)</f>
        <v>Salaries</v>
      </c>
    </row>
    <row r="32" spans="1:6" x14ac:dyDescent="0.25">
      <c r="A32" s="42" t="s">
        <v>150</v>
      </c>
      <c r="B32" s="44">
        <f>10490.68</f>
        <v>10490.68</v>
      </c>
      <c r="C32" s="44">
        <f>14720</f>
        <v>14720</v>
      </c>
      <c r="D32" s="44">
        <f t="shared" si="2"/>
        <v>-4229.32</v>
      </c>
      <c r="E32" s="45">
        <f t="shared" si="3"/>
        <v>0.7126820652173913</v>
      </c>
      <c r="F32" s="38" t="str">
        <f>VLOOKUP(A32,'BvA Nov 21'!A:F,6,FALSE)</f>
        <v>Salaries</v>
      </c>
    </row>
    <row r="33" spans="1:6" x14ac:dyDescent="0.25">
      <c r="A33" s="42" t="s">
        <v>114</v>
      </c>
      <c r="B33" s="44">
        <f>10494.36</f>
        <v>10494.36</v>
      </c>
      <c r="C33" s="44">
        <f>20000</f>
        <v>20000</v>
      </c>
      <c r="D33" s="44">
        <f t="shared" si="2"/>
        <v>-9505.64</v>
      </c>
      <c r="E33" s="45">
        <f t="shared" si="3"/>
        <v>0.52471800000000002</v>
      </c>
      <c r="F33" s="38" t="str">
        <f>VLOOKUP(A33,'BvA Nov 21'!A:F,6,FALSE)</f>
        <v>Salaries</v>
      </c>
    </row>
    <row r="34" spans="1:6" x14ac:dyDescent="0.25">
      <c r="A34" s="42" t="s">
        <v>14</v>
      </c>
      <c r="B34" s="44">
        <f>70652.41</f>
        <v>70652.41</v>
      </c>
      <c r="C34" s="44">
        <f>264501.04</f>
        <v>264501.03999999998</v>
      </c>
      <c r="D34" s="44">
        <f t="shared" si="2"/>
        <v>-193848.62999999998</v>
      </c>
      <c r="E34" s="45">
        <f t="shared" si="3"/>
        <v>0.26711581171854754</v>
      </c>
      <c r="F34" s="38" t="str">
        <f>VLOOKUP(A34,'BvA Nov 21'!A:F,6,FALSE)</f>
        <v>Salaries</v>
      </c>
    </row>
    <row r="35" spans="1:6" x14ac:dyDescent="0.25">
      <c r="A35" s="42" t="s">
        <v>187</v>
      </c>
      <c r="B35" s="44">
        <f>2374.7</f>
        <v>2374.6999999999998</v>
      </c>
      <c r="C35" s="43"/>
      <c r="D35" s="44">
        <f t="shared" si="2"/>
        <v>2374.6999999999998</v>
      </c>
      <c r="E35" s="45" t="str">
        <f t="shared" si="3"/>
        <v/>
      </c>
      <c r="F35" s="38" t="s">
        <v>45</v>
      </c>
    </row>
    <row r="36" spans="1:6" x14ac:dyDescent="0.25">
      <c r="A36" s="42" t="s">
        <v>149</v>
      </c>
      <c r="B36" s="44">
        <f>21499.7</f>
        <v>21499.7</v>
      </c>
      <c r="C36" s="44">
        <f>64499</f>
        <v>64499</v>
      </c>
      <c r="D36" s="44">
        <f t="shared" si="2"/>
        <v>-42999.3</v>
      </c>
      <c r="E36" s="45">
        <f t="shared" si="3"/>
        <v>0.33333385013721145</v>
      </c>
      <c r="F36" s="38" t="str">
        <f>VLOOKUP(A36,'BvA Nov 21'!A:F,6,FALSE)</f>
        <v>Salaries</v>
      </c>
    </row>
    <row r="37" spans="1:6" x14ac:dyDescent="0.25">
      <c r="A37" s="42" t="s">
        <v>113</v>
      </c>
      <c r="B37" s="44">
        <f>33875.8</f>
        <v>33875.800000000003</v>
      </c>
      <c r="C37" s="44">
        <f>91833.33</f>
        <v>91833.33</v>
      </c>
      <c r="D37" s="44">
        <f t="shared" si="2"/>
        <v>-57957.53</v>
      </c>
      <c r="E37" s="45">
        <f t="shared" si="3"/>
        <v>0.36888349796310338</v>
      </c>
      <c r="F37" s="38" t="str">
        <f>VLOOKUP(A37,'BvA Nov 21'!A:F,6,FALSE)</f>
        <v>Salaries</v>
      </c>
    </row>
    <row r="38" spans="1:6" x14ac:dyDescent="0.25">
      <c r="A38" s="42" t="s">
        <v>15</v>
      </c>
      <c r="B38" s="44">
        <f>13021.88</f>
        <v>13021.88</v>
      </c>
      <c r="C38" s="44">
        <f>55320.65</f>
        <v>55320.65</v>
      </c>
      <c r="D38" s="44">
        <f t="shared" si="2"/>
        <v>-42298.770000000004</v>
      </c>
      <c r="E38" s="45">
        <f t="shared" si="3"/>
        <v>0.23538913588325514</v>
      </c>
      <c r="F38" s="38" t="str">
        <f>VLOOKUP(A38,'BvA Nov 21'!A:F,6,FALSE)</f>
        <v>Personnel Taxes &amp; Benefits</v>
      </c>
    </row>
    <row r="39" spans="1:6" x14ac:dyDescent="0.25">
      <c r="A39" s="42" t="s">
        <v>16</v>
      </c>
      <c r="B39" s="44">
        <f>1790.45</f>
        <v>1790.45</v>
      </c>
      <c r="C39" s="44">
        <f>6705.53</f>
        <v>6705.53</v>
      </c>
      <c r="D39" s="44">
        <f t="shared" si="2"/>
        <v>-4915.08</v>
      </c>
      <c r="E39" s="45">
        <f t="shared" si="3"/>
        <v>0.26701095961094801</v>
      </c>
      <c r="F39" s="38" t="str">
        <f>VLOOKUP(A39,'BvA Nov 21'!A:F,6,FALSE)</f>
        <v>Personnel Taxes &amp; Benefits</v>
      </c>
    </row>
    <row r="40" spans="1:6" x14ac:dyDescent="0.25">
      <c r="A40" s="42" t="s">
        <v>17</v>
      </c>
      <c r="B40" s="44">
        <f>2344.04</f>
        <v>2344.04</v>
      </c>
      <c r="C40" s="44">
        <f>9254.15</f>
        <v>9254.15</v>
      </c>
      <c r="D40" s="44">
        <f t="shared" si="2"/>
        <v>-6910.11</v>
      </c>
      <c r="E40" s="45">
        <f t="shared" si="3"/>
        <v>0.25329608878178977</v>
      </c>
      <c r="F40" s="38" t="str">
        <f>VLOOKUP(A40,'BvA Nov 21'!A:F,6,FALSE)</f>
        <v>Personnel Taxes &amp; Benefits</v>
      </c>
    </row>
    <row r="41" spans="1:6" x14ac:dyDescent="0.25">
      <c r="A41" s="42" t="s">
        <v>18</v>
      </c>
      <c r="B41" s="43"/>
      <c r="C41" s="44">
        <f>1676.38</f>
        <v>1676.38</v>
      </c>
      <c r="D41" s="44">
        <f t="shared" si="2"/>
        <v>-1676.38</v>
      </c>
      <c r="E41" s="45">
        <f t="shared" si="3"/>
        <v>0</v>
      </c>
      <c r="F41" s="38" t="str">
        <f>VLOOKUP(A41,'BvA Nov 21'!A:F,6,FALSE)</f>
        <v>Personnel Taxes &amp; Benefits</v>
      </c>
    </row>
    <row r="42" spans="1:6" x14ac:dyDescent="0.25">
      <c r="A42" s="42" t="s">
        <v>112</v>
      </c>
      <c r="B42" s="44">
        <f>28923.99</f>
        <v>28923.99</v>
      </c>
      <c r="C42" s="44">
        <f>83902.17</f>
        <v>83902.17</v>
      </c>
      <c r="D42" s="44">
        <f t="shared" si="2"/>
        <v>-54978.179999999993</v>
      </c>
      <c r="E42" s="45">
        <f t="shared" si="3"/>
        <v>0.34473470709994752</v>
      </c>
      <c r="F42" s="38" t="str">
        <f>VLOOKUP(A42,'BvA Nov 21'!A:F,6,FALSE)</f>
        <v>Personnel Taxes &amp; Benefits</v>
      </c>
    </row>
    <row r="43" spans="1:6" x14ac:dyDescent="0.25">
      <c r="A43" s="42" t="s">
        <v>148</v>
      </c>
      <c r="B43" s="44">
        <f>47432</f>
        <v>47432</v>
      </c>
      <c r="C43" s="44">
        <f>151008</f>
        <v>151008</v>
      </c>
      <c r="D43" s="44">
        <f t="shared" si="2"/>
        <v>-103576</v>
      </c>
      <c r="E43" s="45">
        <f t="shared" si="3"/>
        <v>0.3141025641025641</v>
      </c>
      <c r="F43" s="38" t="str">
        <f>VLOOKUP(A43,'BvA Nov 21'!A:F,6,FALSE)</f>
        <v>Personnel Taxes &amp; Benefits</v>
      </c>
    </row>
    <row r="44" spans="1:6" x14ac:dyDescent="0.25">
      <c r="A44" s="42" t="s">
        <v>147</v>
      </c>
      <c r="B44" s="43"/>
      <c r="C44" s="44">
        <f>18000</f>
        <v>18000</v>
      </c>
      <c r="D44" s="44">
        <f t="shared" si="2"/>
        <v>-18000</v>
      </c>
      <c r="E44" s="45">
        <f t="shared" si="3"/>
        <v>0</v>
      </c>
      <c r="F44" s="38" t="str">
        <f>VLOOKUP(A44,'BvA Nov 21'!A:F,6,FALSE)</f>
        <v>Contracted Services</v>
      </c>
    </row>
    <row r="45" spans="1:6" x14ac:dyDescent="0.25">
      <c r="A45" s="42" t="s">
        <v>111</v>
      </c>
      <c r="B45" s="43"/>
      <c r="C45" s="44">
        <f>5000</f>
        <v>5000</v>
      </c>
      <c r="D45" s="44">
        <f t="shared" si="2"/>
        <v>-5000</v>
      </c>
      <c r="E45" s="45">
        <f t="shared" si="3"/>
        <v>0</v>
      </c>
      <c r="F45" s="38" t="str">
        <f>VLOOKUP(A45,'BvA Nov 21'!A:F,6,FALSE)</f>
        <v>Contracted Services</v>
      </c>
    </row>
    <row r="46" spans="1:6" x14ac:dyDescent="0.25">
      <c r="A46" s="42" t="s">
        <v>146</v>
      </c>
      <c r="B46" s="44">
        <f>10705.33</f>
        <v>10705.33</v>
      </c>
      <c r="C46" s="44">
        <f>35825.24</f>
        <v>35825.24</v>
      </c>
      <c r="D46" s="44">
        <f t="shared" si="2"/>
        <v>-25119.909999999996</v>
      </c>
      <c r="E46" s="45">
        <f t="shared" si="3"/>
        <v>0.29882088717340066</v>
      </c>
      <c r="F46" s="38" t="str">
        <f>VLOOKUP(A46,'BvA Nov 21'!A:F,6,FALSE)</f>
        <v>Contracted Services</v>
      </c>
    </row>
    <row r="47" spans="1:6" x14ac:dyDescent="0.25">
      <c r="A47" s="42" t="s">
        <v>19</v>
      </c>
      <c r="B47" s="44">
        <f>32000</f>
        <v>32000</v>
      </c>
      <c r="C47" s="44">
        <f>96000</f>
        <v>96000</v>
      </c>
      <c r="D47" s="44">
        <f t="shared" si="2"/>
        <v>-64000</v>
      </c>
      <c r="E47" s="45">
        <f t="shared" si="3"/>
        <v>0.33333333333333331</v>
      </c>
      <c r="F47" s="38" t="str">
        <f>VLOOKUP(A47,'BvA Nov 21'!A:F,6,FALSE)</f>
        <v>Contracted Services</v>
      </c>
    </row>
    <row r="48" spans="1:6" x14ac:dyDescent="0.25">
      <c r="A48" s="42" t="s">
        <v>108</v>
      </c>
      <c r="B48" s="44">
        <f>17488.54</f>
        <v>17488.54</v>
      </c>
      <c r="C48" s="44">
        <f>38020</f>
        <v>38020</v>
      </c>
      <c r="D48" s="44">
        <f t="shared" si="2"/>
        <v>-20531.46</v>
      </c>
      <c r="E48" s="45">
        <f t="shared" si="3"/>
        <v>0.45998264071541295</v>
      </c>
      <c r="F48" s="38" t="str">
        <f>VLOOKUP(A48,'BvA Nov 21'!A:F,6,FALSE)</f>
        <v>Contracted Services</v>
      </c>
    </row>
    <row r="49" spans="1:6" x14ac:dyDescent="0.25">
      <c r="A49" s="42" t="s">
        <v>20</v>
      </c>
      <c r="B49" s="43"/>
      <c r="C49" s="44">
        <f>20000</f>
        <v>20000</v>
      </c>
      <c r="D49" s="44">
        <f t="shared" si="2"/>
        <v>-20000</v>
      </c>
      <c r="E49" s="45">
        <f t="shared" si="3"/>
        <v>0</v>
      </c>
      <c r="F49" s="38" t="str">
        <f>VLOOKUP(A49,'BvA Nov 21'!A:F,6,FALSE)</f>
        <v>Contracted Services</v>
      </c>
    </row>
    <row r="50" spans="1:6" x14ac:dyDescent="0.25">
      <c r="A50" s="42" t="s">
        <v>107</v>
      </c>
      <c r="B50" s="44">
        <f>4866.64</f>
        <v>4866.6400000000003</v>
      </c>
      <c r="C50" s="44">
        <f>17500</f>
        <v>17500</v>
      </c>
      <c r="D50" s="44">
        <f t="shared" si="2"/>
        <v>-12633.36</v>
      </c>
      <c r="E50" s="45">
        <f t="shared" si="3"/>
        <v>0.27809371428571428</v>
      </c>
      <c r="F50" s="38" t="str">
        <f>VLOOKUP(A50,'BvA Nov 21'!A:F,6,FALSE)</f>
        <v>Contracted Services</v>
      </c>
    </row>
    <row r="51" spans="1:6" x14ac:dyDescent="0.25">
      <c r="A51" s="42" t="s">
        <v>145</v>
      </c>
      <c r="B51" s="43"/>
      <c r="C51" s="44">
        <f>11250</f>
        <v>11250</v>
      </c>
      <c r="D51" s="44">
        <f t="shared" si="2"/>
        <v>-11250</v>
      </c>
      <c r="E51" s="45">
        <f t="shared" si="3"/>
        <v>0</v>
      </c>
      <c r="F51" s="38" t="str">
        <f>VLOOKUP(A51,'BvA Nov 21'!A:F,6,FALSE)</f>
        <v>Contracted Services</v>
      </c>
    </row>
    <row r="52" spans="1:6" x14ac:dyDescent="0.25">
      <c r="A52" s="42" t="s">
        <v>144</v>
      </c>
      <c r="B52" s="43"/>
      <c r="C52" s="44">
        <f>9500</f>
        <v>9500</v>
      </c>
      <c r="D52" s="44">
        <f t="shared" si="2"/>
        <v>-9500</v>
      </c>
      <c r="E52" s="45">
        <f t="shared" si="3"/>
        <v>0</v>
      </c>
      <c r="F52" s="38" t="str">
        <f>VLOOKUP(A52,'BvA Nov 21'!A:F,6,FALSE)</f>
        <v>Contracted Services</v>
      </c>
    </row>
    <row r="53" spans="1:6" x14ac:dyDescent="0.25">
      <c r="A53" s="42" t="s">
        <v>143</v>
      </c>
      <c r="B53" s="44">
        <f>10760.75</f>
        <v>10760.75</v>
      </c>
      <c r="C53" s="44">
        <f>37070</f>
        <v>37070</v>
      </c>
      <c r="D53" s="44">
        <f t="shared" si="2"/>
        <v>-26309.25</v>
      </c>
      <c r="E53" s="45">
        <f t="shared" si="3"/>
        <v>0.2902818991097923</v>
      </c>
      <c r="F53" s="38" t="str">
        <f>VLOOKUP(A53,'BvA Nov 21'!A:F,6,FALSE)</f>
        <v>Contracted Services</v>
      </c>
    </row>
    <row r="54" spans="1:6" x14ac:dyDescent="0.25">
      <c r="A54" s="42" t="s">
        <v>142</v>
      </c>
      <c r="B54" s="44">
        <f>270.23</f>
        <v>270.23</v>
      </c>
      <c r="C54" s="44">
        <f>5000</f>
        <v>5000</v>
      </c>
      <c r="D54" s="44">
        <f t="shared" si="2"/>
        <v>-4729.7700000000004</v>
      </c>
      <c r="E54" s="45">
        <f t="shared" si="3"/>
        <v>5.4046000000000004E-2</v>
      </c>
      <c r="F54" s="38" t="str">
        <f>VLOOKUP(A54,'BvA Nov 21'!A:F,6,FALSE)</f>
        <v>School Operations</v>
      </c>
    </row>
    <row r="55" spans="1:6" x14ac:dyDescent="0.25">
      <c r="A55" s="42" t="s">
        <v>21</v>
      </c>
      <c r="B55" s="44">
        <f>1712</f>
        <v>1712</v>
      </c>
      <c r="C55" s="44">
        <f>1470</f>
        <v>1470</v>
      </c>
      <c r="D55" s="44">
        <f t="shared" si="2"/>
        <v>242</v>
      </c>
      <c r="E55" s="45">
        <f t="shared" si="3"/>
        <v>1.1646258503401361</v>
      </c>
      <c r="F55" s="38" t="str">
        <f>VLOOKUP(A55,'BvA Nov 21'!A:F,6,FALSE)</f>
        <v>School Operations</v>
      </c>
    </row>
    <row r="56" spans="1:6" x14ac:dyDescent="0.25">
      <c r="A56" s="42" t="s">
        <v>23</v>
      </c>
      <c r="B56" s="44">
        <f>3333.32</f>
        <v>3333.32</v>
      </c>
      <c r="C56" s="44">
        <f>11250</f>
        <v>11250</v>
      </c>
      <c r="D56" s="44">
        <f t="shared" si="2"/>
        <v>-7916.68</v>
      </c>
      <c r="E56" s="45">
        <f t="shared" si="3"/>
        <v>0.29629511111111112</v>
      </c>
      <c r="F56" s="38" t="str">
        <f>VLOOKUP(A56,'BvA Nov 21'!A:F,6,FALSE)</f>
        <v>School Operations</v>
      </c>
    </row>
    <row r="57" spans="1:6" x14ac:dyDescent="0.25">
      <c r="A57" s="42" t="s">
        <v>24</v>
      </c>
      <c r="B57" s="44">
        <f>19838.75</f>
        <v>19838.75</v>
      </c>
      <c r="C57" s="44">
        <f>61000</f>
        <v>61000</v>
      </c>
      <c r="D57" s="44">
        <f t="shared" si="2"/>
        <v>-41161.25</v>
      </c>
      <c r="E57" s="45">
        <f t="shared" si="3"/>
        <v>0.32522540983606557</v>
      </c>
      <c r="F57" s="38" t="str">
        <f>VLOOKUP(A57,'BvA Nov 21'!A:F,6,FALSE)</f>
        <v>School Operations</v>
      </c>
    </row>
    <row r="58" spans="1:6" x14ac:dyDescent="0.25">
      <c r="A58" s="42" t="s">
        <v>106</v>
      </c>
      <c r="B58" s="44">
        <f>46.08</f>
        <v>46.08</v>
      </c>
      <c r="C58" s="44">
        <f>6345</f>
        <v>6345</v>
      </c>
      <c r="D58" s="44">
        <f t="shared" si="2"/>
        <v>-6298.92</v>
      </c>
      <c r="E58" s="45">
        <f t="shared" si="3"/>
        <v>7.2624113475177306E-3</v>
      </c>
      <c r="F58" s="38" t="str">
        <f>VLOOKUP(A58,'BvA Nov 21'!A:F,6,FALSE)</f>
        <v>School Operations</v>
      </c>
    </row>
    <row r="59" spans="1:6" x14ac:dyDescent="0.25">
      <c r="A59" s="42" t="s">
        <v>141</v>
      </c>
      <c r="B59" s="43"/>
      <c r="C59" s="44">
        <f>7050</f>
        <v>7050</v>
      </c>
      <c r="D59" s="44">
        <f t="shared" si="2"/>
        <v>-7050</v>
      </c>
      <c r="E59" s="45">
        <f t="shared" si="3"/>
        <v>0</v>
      </c>
      <c r="F59" s="38" t="str">
        <f>VLOOKUP(A59,'BvA Nov 21'!A:F,6,FALSE)</f>
        <v>School Operations</v>
      </c>
    </row>
    <row r="60" spans="1:6" x14ac:dyDescent="0.25">
      <c r="A60" s="42" t="s">
        <v>140</v>
      </c>
      <c r="B60" s="44">
        <f>592.22</f>
        <v>592.22</v>
      </c>
      <c r="C60" s="43"/>
      <c r="D60" s="44">
        <f t="shared" si="2"/>
        <v>592.22</v>
      </c>
      <c r="E60" s="45" t="str">
        <f t="shared" si="3"/>
        <v/>
      </c>
      <c r="F60" s="38" t="str">
        <f>VLOOKUP(A60,'BvA Nov 21'!A:F,6,FALSE)</f>
        <v>School Operations</v>
      </c>
    </row>
    <row r="61" spans="1:6" x14ac:dyDescent="0.25">
      <c r="A61" s="42" t="s">
        <v>25</v>
      </c>
      <c r="B61" s="44">
        <f>7708.26</f>
        <v>7708.26</v>
      </c>
      <c r="C61" s="44">
        <f>58000</f>
        <v>58000</v>
      </c>
      <c r="D61" s="44">
        <f t="shared" si="2"/>
        <v>-50291.74</v>
      </c>
      <c r="E61" s="45">
        <f t="shared" si="3"/>
        <v>0.13290103448275861</v>
      </c>
      <c r="F61" s="38" t="str">
        <f>VLOOKUP(A61,'BvA Nov 21'!A:F,6,FALSE)</f>
        <v>School Operations</v>
      </c>
    </row>
    <row r="62" spans="1:6" x14ac:dyDescent="0.25">
      <c r="A62" s="42" t="s">
        <v>26</v>
      </c>
      <c r="B62" s="44">
        <f>2817.93</f>
        <v>2817.93</v>
      </c>
      <c r="C62" s="44">
        <f>7680</f>
        <v>7680</v>
      </c>
      <c r="D62" s="44">
        <f t="shared" si="2"/>
        <v>-4862.07</v>
      </c>
      <c r="E62" s="45">
        <f t="shared" si="3"/>
        <v>0.36691796874999999</v>
      </c>
      <c r="F62" s="38" t="str">
        <f>VLOOKUP(A62,'BvA Nov 21'!A:F,6,FALSE)</f>
        <v>School Operations</v>
      </c>
    </row>
    <row r="63" spans="1:6" x14ac:dyDescent="0.25">
      <c r="A63" s="42" t="s">
        <v>27</v>
      </c>
      <c r="B63" s="44">
        <f>2410.26</f>
        <v>2410.2600000000002</v>
      </c>
      <c r="C63" s="44">
        <f>14701</f>
        <v>14701</v>
      </c>
      <c r="D63" s="44">
        <f t="shared" si="2"/>
        <v>-12290.74</v>
      </c>
      <c r="E63" s="45">
        <f t="shared" si="3"/>
        <v>0.16395211210121763</v>
      </c>
      <c r="F63" s="38" t="str">
        <f>VLOOKUP(A63,'BvA Nov 21'!A:F,6,FALSE)</f>
        <v>School Operations</v>
      </c>
    </row>
    <row r="64" spans="1:6" x14ac:dyDescent="0.25">
      <c r="A64" s="42" t="s">
        <v>28</v>
      </c>
      <c r="B64" s="44">
        <f>10269.16</f>
        <v>10269.16</v>
      </c>
      <c r="C64" s="44">
        <f>27591</f>
        <v>27591</v>
      </c>
      <c r="D64" s="44">
        <f t="shared" si="2"/>
        <v>-17321.84</v>
      </c>
      <c r="E64" s="45">
        <f t="shared" si="3"/>
        <v>0.37219238157370155</v>
      </c>
      <c r="F64" s="38" t="str">
        <f>VLOOKUP(A64,'BvA Nov 21'!A:F,6,FALSE)</f>
        <v>School Operations</v>
      </c>
    </row>
    <row r="65" spans="1:6" x14ac:dyDescent="0.25">
      <c r="A65" s="42" t="s">
        <v>105</v>
      </c>
      <c r="B65" s="43"/>
      <c r="C65" s="44">
        <f>7030</f>
        <v>7030</v>
      </c>
      <c r="D65" s="44">
        <f t="shared" si="2"/>
        <v>-7030</v>
      </c>
      <c r="E65" s="45">
        <f t="shared" si="3"/>
        <v>0</v>
      </c>
      <c r="F65" s="38" t="str">
        <f>VLOOKUP(A65,'BvA Nov 21'!A:F,6,FALSE)</f>
        <v>School Operations</v>
      </c>
    </row>
    <row r="66" spans="1:6" x14ac:dyDescent="0.25">
      <c r="A66" s="42" t="s">
        <v>139</v>
      </c>
      <c r="B66" s="43"/>
      <c r="C66" s="44">
        <f>8930</f>
        <v>8930</v>
      </c>
      <c r="D66" s="44">
        <f t="shared" si="2"/>
        <v>-8930</v>
      </c>
      <c r="E66" s="45">
        <f t="shared" si="3"/>
        <v>0</v>
      </c>
      <c r="F66" s="38" t="str">
        <f>VLOOKUP(A66,'BvA Nov 21'!A:F,6,FALSE)</f>
        <v>School Operations</v>
      </c>
    </row>
    <row r="67" spans="1:6" x14ac:dyDescent="0.25">
      <c r="A67" s="42" t="s">
        <v>138</v>
      </c>
      <c r="B67" s="43"/>
      <c r="C67" s="44">
        <f>2350</f>
        <v>2350</v>
      </c>
      <c r="D67" s="44">
        <f t="shared" si="2"/>
        <v>-2350</v>
      </c>
      <c r="E67" s="45">
        <f t="shared" si="3"/>
        <v>0</v>
      </c>
      <c r="F67" s="38" t="str">
        <f>VLOOKUP(A67,'BvA Nov 21'!A:F,6,FALSE)</f>
        <v>School Operations</v>
      </c>
    </row>
    <row r="68" spans="1:6" x14ac:dyDescent="0.25">
      <c r="A68" s="42" t="s">
        <v>168</v>
      </c>
      <c r="B68" s="44">
        <f>96.12</f>
        <v>96.12</v>
      </c>
      <c r="C68" s="43"/>
      <c r="D68" s="44">
        <f t="shared" si="2"/>
        <v>96.12</v>
      </c>
      <c r="E68" s="45" t="str">
        <f t="shared" si="3"/>
        <v/>
      </c>
      <c r="F68" s="38" t="str">
        <f>VLOOKUP(A68,'BvA Nov 21'!A:F,6,FALSE)</f>
        <v>School Operations</v>
      </c>
    </row>
    <row r="69" spans="1:6" x14ac:dyDescent="0.25">
      <c r="A69" s="42" t="s">
        <v>29</v>
      </c>
      <c r="B69" s="44">
        <f>2080.75</f>
        <v>2080.75</v>
      </c>
      <c r="C69" s="44">
        <f>7000</f>
        <v>7000</v>
      </c>
      <c r="D69" s="44">
        <f t="shared" si="2"/>
        <v>-4919.25</v>
      </c>
      <c r="E69" s="45">
        <f t="shared" si="3"/>
        <v>0.29725000000000001</v>
      </c>
      <c r="F69" s="38" t="str">
        <f>VLOOKUP(A69,'BvA Nov 21'!A:F,6,FALSE)</f>
        <v>School Operations</v>
      </c>
    </row>
    <row r="70" spans="1:6" x14ac:dyDescent="0.25">
      <c r="A70" s="42" t="s">
        <v>30</v>
      </c>
      <c r="B70" s="44">
        <f>1698.71</f>
        <v>1698.71</v>
      </c>
      <c r="C70" s="44">
        <f>4950</f>
        <v>4950</v>
      </c>
      <c r="D70" s="44">
        <f t="shared" si="2"/>
        <v>-3251.29</v>
      </c>
      <c r="E70" s="45">
        <f t="shared" si="3"/>
        <v>0.34317373737373741</v>
      </c>
      <c r="F70" s="38" t="str">
        <f>VLOOKUP(A70,'BvA Nov 21'!A:F,6,FALSE)</f>
        <v>School Operations</v>
      </c>
    </row>
    <row r="71" spans="1:6" x14ac:dyDescent="0.25">
      <c r="A71" s="42" t="s">
        <v>31</v>
      </c>
      <c r="B71" s="44">
        <f>20.25</f>
        <v>20.25</v>
      </c>
      <c r="C71" s="44">
        <f>2000</f>
        <v>2000</v>
      </c>
      <c r="D71" s="44">
        <f t="shared" si="2"/>
        <v>-1979.75</v>
      </c>
      <c r="E71" s="45">
        <f t="shared" si="3"/>
        <v>1.0125E-2</v>
      </c>
      <c r="F71" s="38" t="str">
        <f>VLOOKUP(A71,'BvA Nov 21'!A:F,6,FALSE)</f>
        <v>School Operations</v>
      </c>
    </row>
    <row r="72" spans="1:6" x14ac:dyDescent="0.25">
      <c r="A72" s="42" t="s">
        <v>32</v>
      </c>
      <c r="B72" s="44">
        <f>394.73</f>
        <v>394.73</v>
      </c>
      <c r="C72" s="44">
        <f>3000</f>
        <v>3000</v>
      </c>
      <c r="D72" s="44">
        <f t="shared" si="2"/>
        <v>-2605.27</v>
      </c>
      <c r="E72" s="45">
        <f t="shared" si="3"/>
        <v>0.13157666666666668</v>
      </c>
      <c r="F72" s="38" t="str">
        <f>VLOOKUP(A72,'BvA Nov 21'!A:F,6,FALSE)</f>
        <v>School Operations</v>
      </c>
    </row>
    <row r="73" spans="1:6" x14ac:dyDescent="0.25">
      <c r="A73" s="42" t="s">
        <v>56</v>
      </c>
      <c r="B73" s="44">
        <f>17621.15</f>
        <v>17621.150000000001</v>
      </c>
      <c r="C73" s="44">
        <f>106278.02</f>
        <v>106278.02</v>
      </c>
      <c r="D73" s="44">
        <f t="shared" si="2"/>
        <v>-88656.87</v>
      </c>
      <c r="E73" s="45">
        <f t="shared" si="3"/>
        <v>0.16580239263019766</v>
      </c>
      <c r="F73" s="38" t="str">
        <f>VLOOKUP(A73,'BvA Nov 21'!A:F,6,FALSE)</f>
        <v>School Operations</v>
      </c>
    </row>
    <row r="74" spans="1:6" x14ac:dyDescent="0.25">
      <c r="A74" s="42" t="s">
        <v>33</v>
      </c>
      <c r="B74" s="43"/>
      <c r="C74" s="44">
        <f>2500</f>
        <v>2500</v>
      </c>
      <c r="D74" s="44">
        <f t="shared" si="2"/>
        <v>-2500</v>
      </c>
      <c r="E74" s="45">
        <f t="shared" si="3"/>
        <v>0</v>
      </c>
      <c r="F74" s="38" t="str">
        <f>VLOOKUP(A74,'BvA Nov 21'!A:F,6,FALSE)</f>
        <v>School Operations</v>
      </c>
    </row>
    <row r="75" spans="1:6" x14ac:dyDescent="0.25">
      <c r="A75" s="42" t="s">
        <v>137</v>
      </c>
      <c r="B75" s="44">
        <f>454.05</f>
        <v>454.05</v>
      </c>
      <c r="C75" s="44">
        <f>6250</f>
        <v>6250</v>
      </c>
      <c r="D75" s="44">
        <f t="shared" si="2"/>
        <v>-5795.95</v>
      </c>
      <c r="E75" s="45">
        <f t="shared" si="3"/>
        <v>7.2648000000000004E-2</v>
      </c>
      <c r="F75" s="38" t="str">
        <f>VLOOKUP(A75,'BvA Nov 21'!A:F,6,FALSE)</f>
        <v>School Operations</v>
      </c>
    </row>
    <row r="76" spans="1:6" x14ac:dyDescent="0.25">
      <c r="A76" s="42" t="s">
        <v>136</v>
      </c>
      <c r="B76" s="43"/>
      <c r="C76" s="44">
        <f>39600</f>
        <v>39600</v>
      </c>
      <c r="D76" s="44">
        <f t="shared" si="2"/>
        <v>-39600</v>
      </c>
      <c r="E76" s="45">
        <f t="shared" si="3"/>
        <v>0</v>
      </c>
      <c r="F76" s="38" t="str">
        <f>VLOOKUP(A76,'BvA Nov 21'!A:F,6,FALSE)</f>
        <v>School Operations</v>
      </c>
    </row>
    <row r="77" spans="1:6" x14ac:dyDescent="0.25">
      <c r="A77" s="42" t="s">
        <v>186</v>
      </c>
      <c r="B77" s="43"/>
      <c r="C77" s="44">
        <f>44185.32</f>
        <v>44185.32</v>
      </c>
      <c r="D77" s="44">
        <f t="shared" si="2"/>
        <v>-44185.32</v>
      </c>
      <c r="E77" s="45">
        <f t="shared" si="3"/>
        <v>0</v>
      </c>
      <c r="F77" s="38" t="s">
        <v>216</v>
      </c>
    </row>
    <row r="78" spans="1:6" x14ac:dyDescent="0.25">
      <c r="A78" s="42" t="s">
        <v>34</v>
      </c>
      <c r="B78" s="44">
        <f>3486.34</f>
        <v>3486.34</v>
      </c>
      <c r="C78" s="44">
        <f>12500</f>
        <v>12500</v>
      </c>
      <c r="D78" s="44">
        <f t="shared" si="2"/>
        <v>-9013.66</v>
      </c>
      <c r="E78" s="45">
        <f t="shared" si="3"/>
        <v>0.27890720000000002</v>
      </c>
      <c r="F78" s="38" t="str">
        <f>VLOOKUP(A78,'BvA Nov 21'!A:F,6,FALSE)</f>
        <v>Facility Operations &amp; Maintenance</v>
      </c>
    </row>
    <row r="79" spans="1:6" x14ac:dyDescent="0.25">
      <c r="A79" s="42" t="s">
        <v>55</v>
      </c>
      <c r="B79" s="44">
        <f>877.41</f>
        <v>877.41</v>
      </c>
      <c r="C79" s="43"/>
      <c r="D79" s="44">
        <f t="shared" si="2"/>
        <v>877.41</v>
      </c>
      <c r="E79" s="45" t="str">
        <f t="shared" si="3"/>
        <v/>
      </c>
      <c r="F79" s="38" t="str">
        <f>VLOOKUP(A79,'BvA Nov 21'!A:F,6,FALSE)</f>
        <v>Facility Operations &amp; Maintenance</v>
      </c>
    </row>
    <row r="80" spans="1:6" x14ac:dyDescent="0.25">
      <c r="A80" s="42" t="s">
        <v>35</v>
      </c>
      <c r="B80" s="44">
        <f>56437.01</f>
        <v>56437.01</v>
      </c>
      <c r="C80" s="44">
        <f>154992.94</f>
        <v>154992.94</v>
      </c>
      <c r="D80" s="44">
        <f t="shared" si="2"/>
        <v>-98555.93</v>
      </c>
      <c r="E80" s="45">
        <f t="shared" si="3"/>
        <v>0.36412632730239197</v>
      </c>
      <c r="F80" s="38" t="str">
        <f>VLOOKUP(A80,'BvA Nov 21'!A:F,6,FALSE)</f>
        <v>Facility Operations &amp; Maintenance</v>
      </c>
    </row>
    <row r="81" spans="1:6" x14ac:dyDescent="0.25">
      <c r="A81" s="42" t="s">
        <v>134</v>
      </c>
      <c r="B81" s="44">
        <f>107.8</f>
        <v>107.8</v>
      </c>
      <c r="C81" s="44">
        <f>3000</f>
        <v>3000</v>
      </c>
      <c r="D81" s="44">
        <f t="shared" si="2"/>
        <v>-2892.2</v>
      </c>
      <c r="E81" s="45">
        <f t="shared" si="3"/>
        <v>3.5933333333333331E-2</v>
      </c>
      <c r="F81" s="38" t="str">
        <f>VLOOKUP(A81,'BvA Nov 21'!A:F,6,FALSE)</f>
        <v>Facility Operations &amp; Maintenance</v>
      </c>
    </row>
    <row r="82" spans="1:6" x14ac:dyDescent="0.25">
      <c r="A82" s="42" t="s">
        <v>133</v>
      </c>
      <c r="B82" s="43"/>
      <c r="C82" s="44">
        <f>2500</f>
        <v>2500</v>
      </c>
      <c r="D82" s="44">
        <f t="shared" si="2"/>
        <v>-2500</v>
      </c>
      <c r="E82" s="45">
        <f t="shared" si="3"/>
        <v>0</v>
      </c>
      <c r="F82" s="38" t="str">
        <f>VLOOKUP(A82,'BvA Nov 21'!A:F,6,FALSE)</f>
        <v>Facility Operations &amp; Maintenance</v>
      </c>
    </row>
    <row r="83" spans="1:6" x14ac:dyDescent="0.25">
      <c r="A83" s="42" t="s">
        <v>132</v>
      </c>
      <c r="B83" s="43"/>
      <c r="C83" s="44">
        <f>20250</f>
        <v>20250</v>
      </c>
      <c r="D83" s="44">
        <f t="shared" si="2"/>
        <v>-20250</v>
      </c>
      <c r="E83" s="45">
        <f t="shared" si="3"/>
        <v>0</v>
      </c>
      <c r="F83" s="38" t="str">
        <f>VLOOKUP(A83,'BvA Nov 21'!A:F,6,FALSE)</f>
        <v>Facility Operations &amp; Maintenance</v>
      </c>
    </row>
    <row r="84" spans="1:6" x14ac:dyDescent="0.25">
      <c r="A84" s="42" t="s">
        <v>36</v>
      </c>
      <c r="B84" s="46">
        <f>((((((((((((((((((((((((((((((((((((((((((((((((((((((B29)+(B30))+(B31))+(B32))+(B33))+(B34))+(B35))+(B36))+(B37))+(B38))+(B39))+(B40))+(B41))+(B42))+(B43))+(B44))+(B45))+(B46))+(B47))+(B48))+(B49))+(B50))+(B51))+(B52))+(B53))+(B54))+(B55))+(B56))+(B57))+(B58))+(B59))+(B60))+(B61))+(B62))+(B63))+(B64))+(B65))+(B66))+(B67))+(B68))+(B69))+(B70))+(B71))+(B72))+(B73))+(B74))+(B75))+(B76))+(B77))+(B78))+(B79))+(B80))+(B81))+(B82))+(B83)</f>
        <v>522910.54000000004</v>
      </c>
      <c r="C84" s="46">
        <f>((((((((((((((((((((((((((((((((((((((((((((((((((((((C29)+(C30))+(C31))+(C32))+(C33))+(C34))+(C35))+(C36))+(C37))+(C38))+(C39))+(C40))+(C41))+(C42))+(C43))+(C44))+(C45))+(C46))+(C47))+(C48))+(C49))+(C50))+(C51))+(C52))+(C53))+(C54))+(C55))+(C56))+(C57))+(C58))+(C59))+(C60))+(C61))+(C62))+(C63))+(C64))+(C65))+(C66))+(C67))+(C68))+(C69))+(C70))+(C71))+(C72))+(C73))+(C74))+(C75))+(C76))+(C77))+(C78))+(C79))+(C80))+(C81))+(C82))+(C83)</f>
        <v>1893988.7700000003</v>
      </c>
      <c r="D84" s="46">
        <f t="shared" si="2"/>
        <v>-1371078.2300000002</v>
      </c>
      <c r="E84" s="47">
        <f t="shared" si="3"/>
        <v>0.27608956731037004</v>
      </c>
    </row>
    <row r="85" spans="1:6" x14ac:dyDescent="0.25">
      <c r="A85" s="42" t="s">
        <v>37</v>
      </c>
      <c r="B85" s="46">
        <f>(B27)-(B84)</f>
        <v>90602.040000000037</v>
      </c>
      <c r="C85" s="46">
        <f>(C27)-(C84)</f>
        <v>-44778.880000000121</v>
      </c>
      <c r="D85" s="46">
        <f t="shared" si="2"/>
        <v>135380.92000000016</v>
      </c>
      <c r="E85" s="47">
        <f t="shared" si="3"/>
        <v>-2.0233208155273155</v>
      </c>
    </row>
    <row r="86" spans="1:6" x14ac:dyDescent="0.25">
      <c r="A86" s="42" t="s">
        <v>131</v>
      </c>
      <c r="B86" s="43"/>
      <c r="C86" s="43"/>
      <c r="D86" s="43"/>
      <c r="E86" s="43"/>
    </row>
    <row r="87" spans="1:6" x14ac:dyDescent="0.25">
      <c r="A87" s="42" t="s">
        <v>130</v>
      </c>
      <c r="B87" s="43"/>
      <c r="C87" s="44">
        <f>94883</f>
        <v>94883</v>
      </c>
      <c r="D87" s="44">
        <f>(B87)-(C87)</f>
        <v>-94883</v>
      </c>
      <c r="E87" s="45">
        <f>IF(C87=0,"",(B87)/(C87))</f>
        <v>0</v>
      </c>
      <c r="F87" s="38" t="str">
        <f>VLOOKUP(A87,'BvA Nov 21'!A:F,6,FALSE)</f>
        <v>Facility Operations &amp; Maintenance</v>
      </c>
    </row>
    <row r="88" spans="1:6" x14ac:dyDescent="0.25">
      <c r="A88" s="42" t="s">
        <v>129</v>
      </c>
      <c r="B88" s="46">
        <f>B87</f>
        <v>0</v>
      </c>
      <c r="C88" s="46">
        <f>C87</f>
        <v>94883</v>
      </c>
      <c r="D88" s="46">
        <f>(B88)-(C88)</f>
        <v>-94883</v>
      </c>
      <c r="E88" s="47">
        <f>IF(C88=0,"",(B88)/(C88))</f>
        <v>0</v>
      </c>
    </row>
    <row r="89" spans="1:6" x14ac:dyDescent="0.25">
      <c r="A89" s="42" t="s">
        <v>128</v>
      </c>
      <c r="B89" s="46">
        <f>(0)-(B88)</f>
        <v>0</v>
      </c>
      <c r="C89" s="46">
        <f>(0)-(C88)</f>
        <v>-94883</v>
      </c>
      <c r="D89" s="46">
        <f>(B89)-(C89)</f>
        <v>94883</v>
      </c>
      <c r="E89" s="47">
        <f>IF(C89=0,"",(B89)/(C89))</f>
        <v>0</v>
      </c>
    </row>
    <row r="90" spans="1:6" x14ac:dyDescent="0.25">
      <c r="A90" s="42" t="s">
        <v>38</v>
      </c>
      <c r="B90" s="46">
        <f>(B85)+(B89)</f>
        <v>90602.040000000037</v>
      </c>
      <c r="C90" s="46">
        <f>(C85)+(C89)</f>
        <v>-139661.88000000012</v>
      </c>
      <c r="D90" s="46">
        <f>(B90)-(C90)</f>
        <v>230263.92000000016</v>
      </c>
      <c r="E90" s="47">
        <f>IF(C90=0,"",(B90)/(C90))</f>
        <v>-0.64872419016556238</v>
      </c>
    </row>
    <row r="91" spans="1:6" x14ac:dyDescent="0.25">
      <c r="A91" s="42"/>
      <c r="B91" s="43"/>
      <c r="C91" s="43"/>
      <c r="D91" s="43"/>
      <c r="E91" s="43"/>
    </row>
    <row r="92" spans="1:6" x14ac:dyDescent="0.25">
      <c r="A92" s="39"/>
      <c r="B92" s="39"/>
      <c r="C92" s="39"/>
      <c r="D92" s="39"/>
      <c r="E92" s="39"/>
    </row>
    <row r="93" spans="1:6" x14ac:dyDescent="0.25">
      <c r="A93" s="39"/>
      <c r="B93" s="39"/>
      <c r="C93" s="39"/>
      <c r="D93" s="39"/>
      <c r="E93" s="39"/>
    </row>
    <row r="94" spans="1:6" x14ac:dyDescent="0.25">
      <c r="A94" s="80" t="s">
        <v>217</v>
      </c>
      <c r="B94" s="81"/>
      <c r="C94" s="81"/>
      <c r="D94" s="81"/>
      <c r="E94" s="81"/>
    </row>
  </sheetData>
  <mergeCells count="5">
    <mergeCell ref="B5:E5"/>
    <mergeCell ref="A94:E94"/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Report</vt:lpstr>
      <vt:lpstr>BvA Aug 21</vt:lpstr>
      <vt:lpstr>BS Aug 21</vt:lpstr>
      <vt:lpstr>BS Sep 21</vt:lpstr>
      <vt:lpstr>BvA Sep 21</vt:lpstr>
      <vt:lpstr>BS Oct 21</vt:lpstr>
      <vt:lpstr>BvA Oct 21</vt:lpstr>
      <vt:lpstr>BvA Nov 21</vt:lpstr>
      <vt:lpstr>BvA Dec 21</vt:lpstr>
      <vt:lpstr>BS Jan 22</vt:lpstr>
      <vt:lpstr>BvA Jan 22</vt:lpstr>
      <vt:lpstr>BvA Apr 22</vt:lpstr>
      <vt:lpstr>BS Apr 22</vt:lpstr>
      <vt:lpstr>BvA Mar 22</vt:lpstr>
      <vt:lpstr>BS Mar 22</vt:lpstr>
      <vt:lpstr>BS Feb 22</vt:lpstr>
      <vt:lpstr>BvA Feb 22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mpaolini p</cp:lastModifiedBy>
  <cp:lastPrinted>2022-02-17T00:25:00Z</cp:lastPrinted>
  <dcterms:created xsi:type="dcterms:W3CDTF">2021-08-06T13:43:11Z</dcterms:created>
  <dcterms:modified xsi:type="dcterms:W3CDTF">2022-05-16T22:48:41Z</dcterms:modified>
</cp:coreProperties>
</file>