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matth\Box\FC\"/>
    </mc:Choice>
  </mc:AlternateContent>
  <xr:revisionPtr revIDLastSave="0" documentId="13_ncr:1_{5AAAE681-D6CF-40CA-B0F4-B653BA6154EA}" xr6:coauthVersionLast="47" xr6:coauthVersionMax="47" xr10:uidLastSave="{00000000-0000-0000-0000-000000000000}"/>
  <bookViews>
    <workbookView xWindow="-120" yWindow="-120" windowWidth="29040" windowHeight="15720" xr2:uid="{B4561C46-DCA8-4907-92B7-2DEBEB3BFE9C}"/>
  </bookViews>
  <sheets>
    <sheet name="FF - Tracker" sheetId="1" r:id="rId1"/>
    <sheet name="Financial Deliverables" sheetId="2" r:id="rId2"/>
    <sheet name="Statement of Financial Position"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83" i="1" l="1"/>
  <c r="F82" i="1"/>
  <c r="F81" i="1"/>
  <c r="F80" i="1"/>
  <c r="F79" i="1"/>
  <c r="F78" i="1"/>
  <c r="F77" i="1"/>
  <c r="F76" i="1"/>
  <c r="F64" i="1"/>
  <c r="F63" i="1"/>
  <c r="F62" i="1"/>
  <c r="F61" i="1"/>
  <c r="F60" i="1"/>
  <c r="F59" i="1"/>
  <c r="F58" i="1"/>
  <c r="F25" i="1"/>
  <c r="F24" i="1"/>
  <c r="F23" i="1"/>
  <c r="F22" i="1"/>
  <c r="F21" i="1"/>
  <c r="F20" i="1"/>
  <c r="F19" i="1"/>
  <c r="F12" i="1" l="1"/>
  <c r="F11" i="1"/>
  <c r="F10" i="1"/>
  <c r="F9" i="1"/>
  <c r="F8" i="1"/>
  <c r="F7" i="1"/>
  <c r="F6" i="1"/>
  <c r="B9" i="3"/>
  <c r="C9" i="3"/>
  <c r="D9" i="3"/>
  <c r="E9" i="3"/>
  <c r="F9" i="3"/>
  <c r="G9" i="3"/>
  <c r="G12" i="3" s="1"/>
  <c r="G19" i="3" s="1"/>
  <c r="H9" i="3"/>
  <c r="B10" i="3"/>
  <c r="C10" i="3"/>
  <c r="C12" i="3" s="1"/>
  <c r="D10" i="3"/>
  <c r="E10" i="3"/>
  <c r="F10" i="3"/>
  <c r="F12" i="3" s="1"/>
  <c r="F19" i="3" s="1"/>
  <c r="G10" i="3"/>
  <c r="H10" i="3"/>
  <c r="H12" i="3" s="1"/>
  <c r="H19" i="3" s="1"/>
  <c r="B11" i="3"/>
  <c r="C11" i="3"/>
  <c r="D11" i="3"/>
  <c r="E11" i="3"/>
  <c r="F11" i="3"/>
  <c r="G11" i="3"/>
  <c r="H11" i="3"/>
  <c r="B12" i="3"/>
  <c r="B19" i="3" s="1"/>
  <c r="D12" i="3"/>
  <c r="D19" i="3" s="1"/>
  <c r="E12" i="3"/>
  <c r="B14" i="3"/>
  <c r="C14" i="3"/>
  <c r="C15" i="3" s="1"/>
  <c r="D14" i="3"/>
  <c r="E14" i="3"/>
  <c r="E15" i="3" s="1"/>
  <c r="F14" i="3"/>
  <c r="G14" i="3"/>
  <c r="H14" i="3"/>
  <c r="B15" i="3"/>
  <c r="D15" i="3"/>
  <c r="F15" i="3"/>
  <c r="G15" i="3"/>
  <c r="H15" i="3"/>
  <c r="B17" i="3"/>
  <c r="C17" i="3"/>
  <c r="C18" i="3" s="1"/>
  <c r="D17" i="3"/>
  <c r="E17" i="3"/>
  <c r="E18" i="3" s="1"/>
  <c r="F17" i="3"/>
  <c r="G17" i="3"/>
  <c r="G18" i="3" s="1"/>
  <c r="H17" i="3"/>
  <c r="B18" i="3"/>
  <c r="D18" i="3"/>
  <c r="F18" i="3"/>
  <c r="H18" i="3"/>
  <c r="B21" i="3"/>
  <c r="C21" i="3" s="1"/>
  <c r="E21" i="3"/>
  <c r="F21" i="3"/>
  <c r="G21" i="3" s="1"/>
  <c r="B22" i="3"/>
  <c r="C22" i="3"/>
  <c r="D22" i="3" s="1"/>
  <c r="E22" i="3"/>
  <c r="F22" i="3" s="1"/>
  <c r="B23" i="3"/>
  <c r="C23" i="3" s="1"/>
  <c r="D23" i="3" s="1"/>
  <c r="E23" i="3" s="1"/>
  <c r="B24" i="3"/>
  <c r="C24" i="3"/>
  <c r="D24" i="3"/>
  <c r="E24" i="3"/>
  <c r="F24" i="3"/>
  <c r="G24" i="3" s="1"/>
  <c r="H24" i="3" s="1"/>
  <c r="B31" i="3"/>
  <c r="C31" i="3"/>
  <c r="D31" i="3"/>
  <c r="D32" i="3" s="1"/>
  <c r="E31" i="3"/>
  <c r="F31" i="3"/>
  <c r="F32" i="3" s="1"/>
  <c r="F42" i="3" s="1"/>
  <c r="F46" i="3" s="1"/>
  <c r="G31" i="3"/>
  <c r="H31" i="3"/>
  <c r="H32" i="3" s="1"/>
  <c r="B32" i="3"/>
  <c r="B42" i="3" s="1"/>
  <c r="C32" i="3"/>
  <c r="E32" i="3"/>
  <c r="G32" i="3"/>
  <c r="G42" i="3" s="1"/>
  <c r="G46" i="3" s="1"/>
  <c r="B34" i="3"/>
  <c r="C34" i="3"/>
  <c r="D34" i="3"/>
  <c r="E34" i="3"/>
  <c r="F34" i="3"/>
  <c r="G34" i="3"/>
  <c r="H34" i="3"/>
  <c r="B35" i="3"/>
  <c r="C35" i="3"/>
  <c r="D35" i="3"/>
  <c r="D41" i="3" s="1"/>
  <c r="E35" i="3"/>
  <c r="F35" i="3"/>
  <c r="G35" i="3"/>
  <c r="G41" i="3" s="1"/>
  <c r="H35" i="3"/>
  <c r="B36" i="3"/>
  <c r="C36" i="3"/>
  <c r="D36" i="3"/>
  <c r="E36" i="3"/>
  <c r="E41" i="3" s="1"/>
  <c r="F36" i="3"/>
  <c r="G36" i="3"/>
  <c r="H36" i="3"/>
  <c r="C37" i="3"/>
  <c r="D37" i="3"/>
  <c r="E37" i="3"/>
  <c r="F37" i="3"/>
  <c r="F41" i="3" s="1"/>
  <c r="G37" i="3"/>
  <c r="H37" i="3" s="1"/>
  <c r="H41" i="3" s="1"/>
  <c r="B38" i="3"/>
  <c r="C38" i="3"/>
  <c r="D38" i="3"/>
  <c r="E38" i="3"/>
  <c r="F38" i="3"/>
  <c r="G38" i="3"/>
  <c r="H38" i="3"/>
  <c r="B39" i="3"/>
  <c r="C39" i="3"/>
  <c r="D39" i="3"/>
  <c r="E39" i="3"/>
  <c r="F39" i="3"/>
  <c r="G39" i="3"/>
  <c r="H39" i="3"/>
  <c r="B40" i="3"/>
  <c r="C40" i="3"/>
  <c r="D40" i="3"/>
  <c r="E40" i="3"/>
  <c r="F40" i="3"/>
  <c r="G40" i="3"/>
  <c r="H40" i="3" s="1"/>
  <c r="B41" i="3"/>
  <c r="C41" i="3"/>
  <c r="C42" i="3"/>
  <c r="C46" i="3" s="1"/>
  <c r="B44" i="3"/>
  <c r="B45" i="3" s="1"/>
  <c r="C44" i="3"/>
  <c r="D44" i="3"/>
  <c r="D45" i="3" s="1"/>
  <c r="E44" i="3"/>
  <c r="E45" i="3" s="1"/>
  <c r="F44" i="3"/>
  <c r="G44" i="3"/>
  <c r="H44" i="3"/>
  <c r="H45" i="3" s="1"/>
  <c r="C45" i="3"/>
  <c r="F45" i="3"/>
  <c r="G45" i="3"/>
  <c r="B48" i="3"/>
  <c r="C48" i="3"/>
  <c r="D48" i="3" s="1"/>
  <c r="E48" i="3"/>
  <c r="E51" i="3" s="1"/>
  <c r="H48" i="3"/>
  <c r="H51" i="3" s="1"/>
  <c r="B49" i="3"/>
  <c r="C49" i="3" s="1"/>
  <c r="E49" i="3"/>
  <c r="F49" i="3"/>
  <c r="G49" i="3" s="1"/>
  <c r="H49" i="3"/>
  <c r="B50" i="3"/>
  <c r="B51" i="3" s="1"/>
  <c r="C50" i="3"/>
  <c r="D50" i="3"/>
  <c r="E50" i="3"/>
  <c r="F50" i="3"/>
  <c r="G50" i="3"/>
  <c r="H50" i="3"/>
  <c r="D21" i="3" l="1"/>
  <c r="D25" i="3" s="1"/>
  <c r="C25" i="3"/>
  <c r="D49" i="3"/>
  <c r="D51" i="3" s="1"/>
  <c r="C51" i="3"/>
  <c r="C52" i="3" s="1"/>
  <c r="E42" i="3"/>
  <c r="E46" i="3" s="1"/>
  <c r="E52" i="3" s="1"/>
  <c r="G22" i="3"/>
  <c r="H22" i="3" s="1"/>
  <c r="D42" i="3"/>
  <c r="D46" i="3" s="1"/>
  <c r="E19" i="3"/>
  <c r="E26" i="3" s="1"/>
  <c r="D26" i="3"/>
  <c r="B46" i="3"/>
  <c r="B52" i="3" s="1"/>
  <c r="F23" i="3"/>
  <c r="G23" i="3" s="1"/>
  <c r="H23" i="3" s="1"/>
  <c r="E25" i="3"/>
  <c r="H42" i="3"/>
  <c r="H46" i="3" s="1"/>
  <c r="H52" i="3" s="1"/>
  <c r="G25" i="3"/>
  <c r="G26" i="3" s="1"/>
  <c r="H21" i="3"/>
  <c r="H25" i="3" s="1"/>
  <c r="H26" i="3" s="1"/>
  <c r="B26" i="3"/>
  <c r="C19" i="3"/>
  <c r="C26" i="3" s="1"/>
  <c r="F48" i="3"/>
  <c r="B25" i="3"/>
  <c r="F25" i="3" l="1"/>
  <c r="F26" i="3" s="1"/>
  <c r="D52" i="3"/>
  <c r="F51" i="3"/>
  <c r="F52" i="3" s="1"/>
  <c r="G48" i="3"/>
  <c r="G51" i="3" s="1"/>
  <c r="G52" i="3" s="1"/>
</calcChain>
</file>

<file path=xl/sharedStrings.xml><?xml version="1.0" encoding="utf-8"?>
<sst xmlns="http://schemas.openxmlformats.org/spreadsheetml/2006/main" count="233" uniqueCount="128">
  <si>
    <t>Financial Framework Condensed Tracker (2021-22)</t>
  </si>
  <si>
    <t xml:space="preserve">See full details at </t>
  </si>
  <si>
    <t xml:space="preserve">https://mypcm21.box.com/s/qm93erqar4thxauovwcbbcwjdci87qbt </t>
  </si>
  <si>
    <t>1.a.</t>
  </si>
  <si>
    <t>Meets</t>
  </si>
  <si>
    <t>Does Not Meet</t>
  </si>
  <si>
    <t>Stage 1 (Years 1-2):</t>
  </si>
  <si>
    <t xml:space="preserve">Upon evidence from the performance framework, quarterly reports, notice of concerns, and investigation and review, the Commission identifies significant financial risk such that heightened monitoring and/or intervention are warranted. </t>
  </si>
  <si>
    <t>May</t>
  </si>
  <si>
    <t>Aug</t>
  </si>
  <si>
    <t>Sep</t>
  </si>
  <si>
    <t>Oct</t>
  </si>
  <si>
    <t>Nov</t>
  </si>
  <si>
    <t>Dec</t>
  </si>
  <si>
    <t xml:space="preserve">Jan </t>
  </si>
  <si>
    <t>Feb</t>
  </si>
  <si>
    <t>Mar</t>
  </si>
  <si>
    <t>Apr</t>
  </si>
  <si>
    <t>Jun</t>
  </si>
  <si>
    <t>Jul</t>
  </si>
  <si>
    <t>Measure</t>
  </si>
  <si>
    <t>Metric</t>
  </si>
  <si>
    <t>Montly Progress Notes</t>
  </si>
  <si>
    <t>Month</t>
  </si>
  <si>
    <t>Notes</t>
  </si>
  <si>
    <t>Current Ratio is greater 
than or equal to 1.0 OR Any concerns have been adequately addressed based on additional information such that the Commission concludes that performance against the standard indicates sound financial viability.</t>
  </si>
  <si>
    <t>1.b.</t>
  </si>
  <si>
    <t>30 Days Cash OR Any concerns have been
adequately addressed based on additional
information such that the Commission
concludes that performance against the
standard indicates sound financial viability.</t>
  </si>
  <si>
    <t>1.c.</t>
  </si>
  <si>
    <t>Stage 1 &amp; 2 (Years 1-2 and year 3 and beyond):</t>
  </si>
  <si>
    <t>Shool is not in default of loan covenant(s) and/or is not delinquent with debt service OR Any concerns have been adequately addressed based on additional information such that the Commission concludes that performance against the standard indicates sound financial viability.</t>
  </si>
  <si>
    <t>2.a.</t>
  </si>
  <si>
    <t>Total Margin and Aggregated Three-year Total Margin – Sustainability
Indicator</t>
  </si>
  <si>
    <t>30 Total Margin must be positive both years OR Any concerns have been
adequately addressed based on additional
information such that the Commission
concludes that performance against the
standard indicates sound financial viability.</t>
  </si>
  <si>
    <t>2.b.</t>
  </si>
  <si>
    <t>Debt to Asset Ratio is less than 0.90 OR Any concerns have been
adequately addressed based on additional
information such that the Commission
concludes that performance against the
standard indicates sound financial viability.</t>
  </si>
  <si>
    <t>Cash Flow – Sustainability Indicator</t>
  </si>
  <si>
    <t>Default – Near Term Indicator</t>
  </si>
  <si>
    <t>Unrestricted Days Cash – Near Term Indicator</t>
  </si>
  <si>
    <t>Current Ratio – Near Term Indicator</t>
  </si>
  <si>
    <t>Debt to Asset Ratio – Sustainability
Indicator</t>
  </si>
  <si>
    <t>2.c.</t>
  </si>
  <si>
    <t>Stage 1 (Years 1):</t>
  </si>
  <si>
    <t>N/A for year 1 (Year 2: Positive one-year Cash Flow)</t>
  </si>
  <si>
    <t>NA</t>
  </si>
  <si>
    <t>Enrollment Variance – Near Term Indicator</t>
  </si>
  <si>
    <t>This measure is informational only</t>
  </si>
  <si>
    <r>
      <rPr>
        <b/>
        <sz val="9"/>
        <color theme="1"/>
        <rFont val="Nirmala UI"/>
        <family val="2"/>
      </rPr>
      <t xml:space="preserve">Definition </t>
    </r>
    <r>
      <rPr>
        <sz val="9"/>
        <color theme="1"/>
        <rFont val="Nirmala UI"/>
        <family val="2"/>
      </rPr>
      <t xml:space="preserve">
Enrollment variance indicates whether or not the school is meeting its enrollment projections.  As enrollment is a key driver of revenue, variance is important to track the sufficiency of revenues generated to fund ongoing operations. 
</t>
    </r>
    <r>
      <rPr>
        <b/>
        <sz val="9"/>
        <color theme="1"/>
        <rFont val="Nirmala UI"/>
        <family val="2"/>
      </rPr>
      <t xml:space="preserve">Overview </t>
    </r>
    <r>
      <rPr>
        <sz val="9"/>
        <color theme="1"/>
        <rFont val="Nirmala UI"/>
        <family val="2"/>
      </rPr>
      <t xml:space="preserve">
The enrollment variance depicts actual versus projected enrollment.  A school budgets based on projected enrollment but is funded based on actual enrollment; therefore, a school that does not meet its enrollment targets may not be able to meet its budgeted expenses.  In the State of Washington, charter schools in their first year of operations receive funds based on their projected enrollment, meaning that schools that have not met enrollment targets may be able to operate smoothly through their first year without budget adjustments.  However, schools must reconcile with OSPI and repay any overpayments from the school’s first year of operation during its second year; thus, if a school misses enrollment targets in the first year, it is important that the school modify its budget appropriately in year 1 to avoid having a significant shortfall in year 2 or subsequent years.  The consequences of missing enrollment targets and the associated impact on a school’s budget are delayed for new schools, but budgetary adjustments should not be delayed. 
Though enrollment is not the singular driver of revenues for a school, it is highly correlated at a minimum.  As school budgets are generally designed to match expenses with projected revenues, a poor enrollment variance is a substantial indicator of potential financial issues.   
Schools less than five years old may have greater fluctuations in their enrollment because they have not yet established themselves in the community.  However, mature schools with large, unexplained fluctuations in enrollment may be in financial distress if they are not able to adjust accordingly.  Often, financially stable schools will purposefully underestimate enrollment so that they may budget more conservatively. </t>
    </r>
  </si>
  <si>
    <t xml:space="preserve">All Years: (meets) enrollment Variance equals or exceeds 95%, if not appropriate budget modifications have been made. </t>
  </si>
  <si>
    <t>Variance (2021-22)</t>
  </si>
  <si>
    <t>Epicenter upload</t>
  </si>
  <si>
    <t>Due Date</t>
  </si>
  <si>
    <t>Submitted?</t>
  </si>
  <si>
    <t>YES</t>
  </si>
  <si>
    <t>Financial Audit Letter of Engagement</t>
  </si>
  <si>
    <t>Fourth Fiscal Quarter Financial Report</t>
  </si>
  <si>
    <t>F-196 Form</t>
  </si>
  <si>
    <t>First Fiscal Quarter Financial Report</t>
  </si>
  <si>
    <t>-------------------  NONE  -------------------</t>
  </si>
  <si>
    <t>Independent Audit Report</t>
  </si>
  <si>
    <t>Second Fiscal Quarter Financial Report</t>
  </si>
  <si>
    <t>F-203, F-195, F-195F Forms</t>
  </si>
  <si>
    <t>Proposed Annual Budget</t>
  </si>
  <si>
    <t>Third Fiscal Quarter Financial Report</t>
  </si>
  <si>
    <t>Annual Budget Publication</t>
  </si>
  <si>
    <t>Board Approved Budget</t>
  </si>
  <si>
    <t>Monday, Apr 18, 2022 08:39:26 AM GMT-7 - Accrual Basis</t>
  </si>
  <si>
    <t>TOTAL LIABILITIES AND EQUITY</t>
  </si>
  <si>
    <t xml:space="preserve">   Total Equity</t>
  </si>
  <si>
    <t xml:space="preserve">      Net Revenue</t>
  </si>
  <si>
    <t xml:space="preserve">      2999 Restricted Net Assets</t>
  </si>
  <si>
    <t xml:space="preserve">      2998 Unrestricted Net Assets</t>
  </si>
  <si>
    <t xml:space="preserve">   Equity</t>
  </si>
  <si>
    <t xml:space="preserve">   Total Liabilities</t>
  </si>
  <si>
    <t xml:space="preserve">      Total Long-Term Liabilities</t>
  </si>
  <si>
    <t xml:space="preserve">         2501 Construction Loan Payable</t>
  </si>
  <si>
    <t xml:space="preserve">      Long-Term Liabilities</t>
  </si>
  <si>
    <t xml:space="preserve">      Total Current Liabilities</t>
  </si>
  <si>
    <t xml:space="preserve">         Total Other Current Liabilities</t>
  </si>
  <si>
    <t xml:space="preserve">            2202 Loan Payable - short-term</t>
  </si>
  <si>
    <t xml:space="preserve">            2171 Use Tax Payable</t>
  </si>
  <si>
    <t xml:space="preserve">            2158 LTD Payable</t>
  </si>
  <si>
    <t xml:space="preserve">            2157 HSA/FSA/DCAP Payable - SEBB</t>
  </si>
  <si>
    <t xml:space="preserve">            2156 Health Insurance Payable - SEBB</t>
  </si>
  <si>
    <t xml:space="preserve">            2155 Retirement Payable - DRS</t>
  </si>
  <si>
    <t xml:space="preserve">            2101 Accrued Accounts &amp; Payroll Payable</t>
  </si>
  <si>
    <t xml:space="preserve">         Other Current Liabilities</t>
  </si>
  <si>
    <t xml:space="preserve">         Total Accounts Payable</t>
  </si>
  <si>
    <t xml:space="preserve">            2100 Accounts Payable</t>
  </si>
  <si>
    <t xml:space="preserve">         Accounts Payable</t>
  </si>
  <si>
    <t xml:space="preserve">      Current Liabilities</t>
  </si>
  <si>
    <t xml:space="preserve">   Liabilities</t>
  </si>
  <si>
    <t>LIABILITIES AND EQUITY</t>
  </si>
  <si>
    <t>TOTAL ASSETS</t>
  </si>
  <si>
    <t xml:space="preserve">   Total Fixed Assets</t>
  </si>
  <si>
    <t xml:space="preserve">      1510 Facilities - In Progress</t>
  </si>
  <si>
    <t xml:space="preserve">      1504 Fixed Assets-Furniture, Fixtures &amp; Other</t>
  </si>
  <si>
    <t xml:space="preserve">      1503 Fixed Assets-Leasehold Improvements</t>
  </si>
  <si>
    <t xml:space="preserve">      1501 Fixed Assets-Capitalized Equipment</t>
  </si>
  <si>
    <t xml:space="preserve">   Fixed Assets</t>
  </si>
  <si>
    <t xml:space="preserve">   Total Current Assets</t>
  </si>
  <si>
    <t xml:space="preserve">      Total Other Current Assets</t>
  </si>
  <si>
    <t xml:space="preserve">         1150 Prepaids &amp; Other Assets</t>
  </si>
  <si>
    <t xml:space="preserve">      Other Current Assets</t>
  </si>
  <si>
    <t xml:space="preserve">      Total Accounts Receivable</t>
  </si>
  <si>
    <t xml:space="preserve">         1100 Accounts Receivable (A/R)</t>
  </si>
  <si>
    <t xml:space="preserve">      Accounts Receivable</t>
  </si>
  <si>
    <t xml:space="preserve">      Total Bank Accounts</t>
  </si>
  <si>
    <t xml:space="preserve">         1005 Banner Bank x3234 - PUBLIC Savings</t>
  </si>
  <si>
    <t xml:space="preserve">         1001 Banner Bank x4695 - PRIVATE Checking</t>
  </si>
  <si>
    <t xml:space="preserve">         1000 Banner Bank x4353 - PUBLIC Checking</t>
  </si>
  <si>
    <t xml:space="preserve">      Bank Accounts</t>
  </si>
  <si>
    <t xml:space="preserve">   Current Assets</t>
  </si>
  <si>
    <t>ASSETS</t>
  </si>
  <si>
    <t>Mar 2022</t>
  </si>
  <si>
    <t>Feb 2022</t>
  </si>
  <si>
    <t>Jan 2022</t>
  </si>
  <si>
    <t>Dec 2021</t>
  </si>
  <si>
    <t>Nov 2021</t>
  </si>
  <si>
    <t>Oct 2021</t>
  </si>
  <si>
    <t>Sep 2021</t>
  </si>
  <si>
    <t>As of March 31, 2022</t>
  </si>
  <si>
    <t>Balance Sheet</t>
  </si>
  <si>
    <t>Pullman Community Montessori</t>
  </si>
  <si>
    <t>Total Expenses</t>
  </si>
  <si>
    <t>Met</t>
  </si>
  <si>
    <t>Projected to meet</t>
  </si>
  <si>
    <t>Budget revision passed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</si>
</sst>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mm/dd"/>
    <numFmt numFmtId="165" formatCode="m/d"/>
    <numFmt numFmtId="166" formatCode="#,##0.00\ _€"/>
    <numFmt numFmtId="167" formatCode="&quot;$&quot;* #,##0.00\ _€"/>
  </numFmts>
  <fonts count="17" x14ac:knownFonts="1">
    <font>
      <sz val="11"/>
      <color theme="1"/>
      <name val="Calibri"/>
      <family val="2"/>
      <scheme val="minor"/>
    </font>
    <font>
      <sz val="12"/>
      <color theme="1"/>
      <name val="Nirmala UI"/>
      <family val="2"/>
    </font>
    <font>
      <b/>
      <sz val="12"/>
      <color theme="1"/>
      <name val="Nirmala UI"/>
      <family val="2"/>
    </font>
    <font>
      <u/>
      <sz val="11"/>
      <color theme="10"/>
      <name val="Calibri"/>
      <family val="2"/>
      <scheme val="minor"/>
    </font>
    <font>
      <sz val="9"/>
      <color theme="1"/>
      <name val="Nirmala UI"/>
      <family val="2"/>
    </font>
    <font>
      <b/>
      <sz val="9"/>
      <color theme="1"/>
      <name val="Nirmala UI"/>
      <family val="2"/>
    </font>
    <font>
      <b/>
      <sz val="18"/>
      <color theme="1"/>
      <name val="Nirmala UI"/>
      <family val="2"/>
    </font>
    <font>
      <b/>
      <sz val="12"/>
      <color theme="1"/>
      <name val="Arial"/>
      <family val="2"/>
    </font>
    <font>
      <sz val="10"/>
      <color theme="1"/>
      <name val="Arial"/>
      <family val="2"/>
    </font>
    <font>
      <sz val="10"/>
      <name val="Arial"/>
      <family val="2"/>
    </font>
    <font>
      <sz val="11"/>
      <color theme="1"/>
      <name val="Calibri"/>
      <family val="2"/>
      <scheme val="minor"/>
    </font>
    <font>
      <sz val="11"/>
      <color indexed="8"/>
      <name val="Calibri"/>
      <family val="2"/>
      <scheme val="minor"/>
    </font>
    <font>
      <sz val="8"/>
      <color indexed="8"/>
      <name val="Arial"/>
      <family val="2"/>
    </font>
    <font>
      <b/>
      <sz val="8"/>
      <color indexed="8"/>
      <name val="Arial"/>
      <family val="2"/>
    </font>
    <font>
      <b/>
      <sz val="9"/>
      <color indexed="8"/>
      <name val="Arial"/>
      <family val="2"/>
    </font>
    <font>
      <b/>
      <sz val="10"/>
      <color indexed="8"/>
      <name val="Arial"/>
      <family val="2"/>
    </font>
    <font>
      <b/>
      <sz val="14"/>
      <color indexed="8"/>
      <name val="Arial"/>
      <family val="2"/>
    </font>
  </fonts>
  <fills count="12">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34998626667073579"/>
        <bgColor rgb="FFEFEFEF"/>
      </patternFill>
    </fill>
    <fill>
      <patternFill patternType="solid">
        <fgColor theme="0" tint="-0.34998626667073579"/>
        <bgColor rgb="FF00FF00"/>
      </patternFill>
    </fill>
    <fill>
      <patternFill patternType="solid">
        <fgColor rgb="FFEFEFEF"/>
        <bgColor rgb="FFEFEFEF"/>
      </patternFill>
    </fill>
    <fill>
      <patternFill patternType="solid">
        <fgColor rgb="FF00FF00"/>
        <bgColor rgb="FF00FF00"/>
      </patternFill>
    </fill>
    <fill>
      <patternFill patternType="solid">
        <fgColor theme="0" tint="-0.34998626667073579"/>
        <bgColor indexed="64"/>
      </patternFill>
    </fill>
    <fill>
      <patternFill patternType="solid">
        <fgColor rgb="FFF4CCCC"/>
        <bgColor rgb="FFF4CCCC"/>
      </patternFill>
    </fill>
    <fill>
      <patternFill patternType="solid">
        <fgColor rgb="FF66FF33"/>
        <bgColor rgb="FFEFEFEF"/>
      </patternFill>
    </fill>
  </fills>
  <borders count="35">
    <border>
      <left/>
      <right/>
      <top/>
      <bottom/>
      <diagonal/>
    </border>
    <border>
      <left style="hair">
        <color theme="2" tint="-0.749961851863155"/>
      </left>
      <right style="hair">
        <color theme="2" tint="-0.749961851863155"/>
      </right>
      <top style="hair">
        <color theme="2" tint="-0.749961851863155"/>
      </top>
      <bottom style="hair">
        <color theme="2" tint="-0.749961851863155"/>
      </bottom>
      <diagonal/>
    </border>
    <border>
      <left style="thin">
        <color indexed="64"/>
      </left>
      <right style="thin">
        <color indexed="64"/>
      </right>
      <top style="thin">
        <color indexed="64"/>
      </top>
      <bottom style="thin">
        <color indexed="64"/>
      </bottom>
      <diagonal/>
    </border>
    <border>
      <left style="hair">
        <color theme="2" tint="-0.749961851863155"/>
      </left>
      <right style="hair">
        <color theme="2" tint="-0.749961851863155"/>
      </right>
      <top/>
      <bottom style="hair">
        <color theme="2" tint="-0.749961851863155"/>
      </bottom>
      <diagonal/>
    </border>
    <border>
      <left style="hair">
        <color theme="2" tint="-0.749961851863155"/>
      </left>
      <right style="thin">
        <color indexed="64"/>
      </right>
      <top/>
      <bottom style="hair">
        <color theme="2" tint="-0.749961851863155"/>
      </bottom>
      <diagonal/>
    </border>
    <border>
      <left style="hair">
        <color theme="2" tint="-0.749961851863155"/>
      </left>
      <right style="thin">
        <color indexed="64"/>
      </right>
      <top style="hair">
        <color theme="2" tint="-0.749961851863155"/>
      </top>
      <bottom style="hair">
        <color theme="2" tint="-0.749961851863155"/>
      </bottom>
      <diagonal/>
    </border>
    <border>
      <left style="hair">
        <color theme="2" tint="-0.749961851863155"/>
      </left>
      <right style="hair">
        <color theme="2" tint="-0.749961851863155"/>
      </right>
      <top style="hair">
        <color theme="2" tint="-0.749961851863155"/>
      </top>
      <bottom style="thin">
        <color indexed="64"/>
      </bottom>
      <diagonal/>
    </border>
    <border>
      <left style="hair">
        <color theme="2" tint="-0.749961851863155"/>
      </left>
      <right style="thin">
        <color indexed="64"/>
      </right>
      <top style="hair">
        <color theme="2" tint="-0.749961851863155"/>
      </top>
      <bottom style="thin">
        <color indexed="64"/>
      </bottom>
      <diagonal/>
    </border>
    <border>
      <left/>
      <right style="thin">
        <color indexed="64"/>
      </right>
      <top style="thin">
        <color indexed="64"/>
      </top>
      <bottom style="thin">
        <color indexed="64"/>
      </bottom>
      <diagonal/>
    </border>
    <border>
      <left/>
      <right style="hair">
        <color theme="2" tint="-0.749961851863155"/>
      </right>
      <top/>
      <bottom style="hair">
        <color theme="2" tint="-0.749961851863155"/>
      </bottom>
      <diagonal/>
    </border>
    <border>
      <left/>
      <right style="hair">
        <color theme="2" tint="-0.749961851863155"/>
      </right>
      <top style="hair">
        <color theme="2" tint="-0.749961851863155"/>
      </top>
      <bottom style="hair">
        <color theme="2" tint="-0.749961851863155"/>
      </bottom>
      <diagonal/>
    </border>
    <border>
      <left/>
      <right style="hair">
        <color theme="2" tint="-0.749961851863155"/>
      </right>
      <top style="hair">
        <color theme="2" tint="-0.749961851863155"/>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theme="2" tint="-0.749961851863155"/>
      </right>
      <top style="thin">
        <color indexed="64"/>
      </top>
      <bottom/>
      <diagonal/>
    </border>
    <border>
      <left/>
      <right style="hair">
        <color theme="2" tint="-0.749961851863155"/>
      </right>
      <top/>
      <bottom/>
      <diagonal/>
    </border>
    <border>
      <left/>
      <right style="hair">
        <color theme="2" tint="-0.749961851863155"/>
      </right>
      <top/>
      <bottom style="thin">
        <color indexed="64"/>
      </bottom>
      <diagonal/>
    </border>
    <border>
      <left style="hair">
        <color theme="2" tint="-0.749961851863155"/>
      </left>
      <right/>
      <top style="thin">
        <color indexed="64"/>
      </top>
      <bottom/>
      <diagonal/>
    </border>
    <border>
      <left style="hair">
        <color theme="2" tint="-0.749961851863155"/>
      </left>
      <right/>
      <top/>
      <bottom/>
      <diagonal/>
    </border>
    <border>
      <left style="hair">
        <color theme="2" tint="-0.749961851863155"/>
      </left>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auto="1"/>
      </top>
      <bottom/>
      <diagonal/>
    </border>
    <border>
      <left/>
      <right/>
      <top/>
      <bottom style="thin">
        <color auto="1"/>
      </bottom>
      <diagonal/>
    </border>
    <border>
      <left/>
      <right style="hair">
        <color theme="2" tint="-0.749961851863155"/>
      </right>
      <top style="hair">
        <color theme="2" tint="-0.749961851863155"/>
      </top>
      <bottom/>
      <diagonal/>
    </border>
    <border>
      <left style="hair">
        <color theme="2" tint="-0.749961851863155"/>
      </left>
      <right style="hair">
        <color theme="2" tint="-0.749961851863155"/>
      </right>
      <top style="hair">
        <color theme="2" tint="-0.749961851863155"/>
      </top>
      <bottom/>
      <diagonal/>
    </border>
    <border>
      <left style="hair">
        <color theme="2" tint="-0.749961851863155"/>
      </left>
      <right style="thin">
        <color indexed="64"/>
      </right>
      <top style="hair">
        <color theme="2" tint="-0.749961851863155"/>
      </top>
      <bottom/>
      <diagonal/>
    </border>
    <border>
      <left style="hair">
        <color theme="2" tint="-0.749961851863155"/>
      </left>
      <right style="thin">
        <color indexed="64"/>
      </right>
      <top/>
      <bottom style="thin">
        <color indexed="64"/>
      </bottom>
      <diagonal/>
    </border>
  </borders>
  <cellStyleXfs count="6">
    <xf numFmtId="0" fontId="0" fillId="0" borderId="0"/>
    <xf numFmtId="0" fontId="3" fillId="0" borderId="0" applyNumberForma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1" fillId="0" borderId="0"/>
  </cellStyleXfs>
  <cellXfs count="102">
    <xf numFmtId="0" fontId="0" fillId="0" borderId="0" xfId="0"/>
    <xf numFmtId="0" fontId="1" fillId="0" borderId="0" xfId="0" applyFont="1"/>
    <xf numFmtId="0" fontId="2" fillId="0" borderId="0" xfId="0" applyFont="1"/>
    <xf numFmtId="0" fontId="3" fillId="0" borderId="0" xfId="1"/>
    <xf numFmtId="0" fontId="1" fillId="0" borderId="0" xfId="0" applyFont="1" applyAlignment="1">
      <alignment horizontal="left"/>
    </xf>
    <xf numFmtId="0" fontId="1" fillId="0" borderId="0" xfId="0" applyFont="1" applyAlignment="1">
      <alignment horizontal="left" vertical="top"/>
    </xf>
    <xf numFmtId="0" fontId="1" fillId="0" borderId="1" xfId="0" applyFont="1" applyBorder="1" applyAlignment="1">
      <alignment horizontal="left" vertical="top"/>
    </xf>
    <xf numFmtId="0" fontId="1" fillId="0" borderId="1" xfId="0" applyFont="1" applyBorder="1"/>
    <xf numFmtId="0" fontId="1" fillId="0" borderId="3" xfId="0" applyFont="1" applyBorder="1" applyAlignment="1">
      <alignment horizontal="left" vertical="top"/>
    </xf>
    <xf numFmtId="0" fontId="1" fillId="0" borderId="5" xfId="0" applyFont="1" applyBorder="1"/>
    <xf numFmtId="0" fontId="1" fillId="0" borderId="6" xfId="0" applyFont="1" applyBorder="1"/>
    <xf numFmtId="0" fontId="2" fillId="3" borderId="2" xfId="0" applyFont="1" applyFill="1" applyBorder="1" applyAlignment="1">
      <alignment horizontal="center"/>
    </xf>
    <xf numFmtId="0" fontId="2" fillId="3" borderId="8" xfId="0" applyFont="1" applyFill="1" applyBorder="1" applyAlignment="1">
      <alignment horizontal="center"/>
    </xf>
    <xf numFmtId="0" fontId="2" fillId="3" borderId="2" xfId="0" applyFont="1" applyFill="1" applyBorder="1" applyAlignment="1">
      <alignment horizontal="left" wrapText="1"/>
    </xf>
    <xf numFmtId="0" fontId="7" fillId="0" borderId="25" xfId="0" applyFont="1" applyBorder="1" applyAlignment="1">
      <alignment horizontal="center"/>
    </xf>
    <xf numFmtId="164" fontId="8" fillId="5" borderId="25" xfId="0" applyNumberFormat="1" applyFont="1" applyFill="1" applyBorder="1" applyAlignment="1">
      <alignment horizontal="center"/>
    </xf>
    <xf numFmtId="0" fontId="8" fillId="6" borderId="25" xfId="0" applyFont="1" applyFill="1" applyBorder="1" applyAlignment="1">
      <alignment horizontal="center"/>
    </xf>
    <xf numFmtId="164" fontId="8" fillId="7" borderId="25" xfId="0" applyNumberFormat="1" applyFont="1" applyFill="1" applyBorder="1" applyAlignment="1">
      <alignment horizontal="center"/>
    </xf>
    <xf numFmtId="0" fontId="8" fillId="8" borderId="25" xfId="0" applyFont="1" applyFill="1" applyBorder="1" applyAlignment="1">
      <alignment horizontal="center"/>
    </xf>
    <xf numFmtId="164" fontId="8" fillId="9" borderId="25" xfId="0" applyNumberFormat="1" applyFont="1" applyFill="1" applyBorder="1" applyAlignment="1">
      <alignment horizontal="center"/>
    </xf>
    <xf numFmtId="165" fontId="8" fillId="0" borderId="25" xfId="0" applyNumberFormat="1" applyFont="1" applyBorder="1" applyAlignment="1">
      <alignment horizontal="center"/>
    </xf>
    <xf numFmtId="164" fontId="8" fillId="11" borderId="25" xfId="0" applyNumberFormat="1" applyFont="1" applyFill="1" applyBorder="1" applyAlignment="1">
      <alignment horizontal="center"/>
    </xf>
    <xf numFmtId="164" fontId="8" fillId="0" borderId="25" xfId="0" applyNumberFormat="1" applyFont="1" applyBorder="1" applyAlignment="1">
      <alignment horizontal="center"/>
    </xf>
    <xf numFmtId="0" fontId="7" fillId="0" borderId="25" xfId="0" applyFont="1" applyBorder="1" applyAlignment="1">
      <alignment wrapText="1"/>
    </xf>
    <xf numFmtId="0" fontId="8" fillId="5" borderId="25" xfId="0" applyFont="1" applyFill="1" applyBorder="1" applyAlignment="1">
      <alignment wrapText="1"/>
    </xf>
    <xf numFmtId="0" fontId="8" fillId="7" borderId="25" xfId="0" applyFont="1" applyFill="1" applyBorder="1" applyAlignment="1">
      <alignment wrapText="1"/>
    </xf>
    <xf numFmtId="0" fontId="8" fillId="9" borderId="25" xfId="0" applyFont="1" applyFill="1" applyBorder="1" applyAlignment="1">
      <alignment wrapText="1"/>
    </xf>
    <xf numFmtId="0" fontId="8" fillId="0" borderId="25" xfId="0" applyFont="1" applyBorder="1" applyAlignment="1">
      <alignment wrapText="1"/>
    </xf>
    <xf numFmtId="0" fontId="0" fillId="0" borderId="0" xfId="0" applyAlignment="1">
      <alignment wrapText="1"/>
    </xf>
    <xf numFmtId="0" fontId="6" fillId="0" borderId="0" xfId="0" applyFont="1" applyAlignment="1">
      <alignment horizontal="left"/>
    </xf>
    <xf numFmtId="0" fontId="1" fillId="0" borderId="21"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xf>
    <xf numFmtId="0" fontId="1" fillId="0" borderId="17" xfId="0" applyFont="1" applyBorder="1" applyAlignment="1">
      <alignment horizontal="center" vertical="center"/>
    </xf>
    <xf numFmtId="0" fontId="1" fillId="0" borderId="12" xfId="0" applyFont="1" applyBorder="1" applyAlignment="1">
      <alignment horizontal="right" vertical="top" wrapText="1"/>
    </xf>
    <xf numFmtId="0" fontId="1" fillId="0" borderId="15" xfId="0" applyFont="1" applyBorder="1" applyAlignment="1">
      <alignment horizontal="right" vertical="top" wrapText="1"/>
    </xf>
    <xf numFmtId="0" fontId="1" fillId="0" borderId="13" xfId="0" applyFont="1" applyBorder="1" applyAlignment="1">
      <alignment horizontal="right" vertical="top" wrapText="1"/>
    </xf>
    <xf numFmtId="0" fontId="1" fillId="0" borderId="16" xfId="0" applyFont="1" applyBorder="1" applyAlignment="1">
      <alignment horizontal="right" vertical="top" wrapText="1"/>
    </xf>
    <xf numFmtId="0" fontId="1" fillId="0" borderId="14" xfId="0" applyFont="1" applyBorder="1" applyAlignment="1">
      <alignment horizontal="right" vertical="top" wrapText="1"/>
    </xf>
    <xf numFmtId="0" fontId="1" fillId="0" borderId="17" xfId="0" applyFont="1" applyBorder="1" applyAlignment="1">
      <alignment horizontal="right" vertical="top" wrapText="1"/>
    </xf>
    <xf numFmtId="0" fontId="2" fillId="3" borderId="24" xfId="0" applyFont="1" applyFill="1" applyBorder="1" applyAlignment="1">
      <alignment horizontal="center"/>
    </xf>
    <xf numFmtId="0" fontId="2" fillId="3" borderId="8" xfId="0" applyFont="1" applyFill="1" applyBorder="1" applyAlignment="1">
      <alignment horizontal="center"/>
    </xf>
    <xf numFmtId="0" fontId="4" fillId="0" borderId="12" xfId="0" applyFont="1" applyBorder="1" applyAlignment="1">
      <alignment horizontal="left" vertical="top" wrapText="1"/>
    </xf>
    <xf numFmtId="0" fontId="4" fillId="0" borderId="18" xfId="0" applyFont="1" applyBorder="1" applyAlignment="1">
      <alignment horizontal="left" vertical="top" wrapText="1"/>
    </xf>
    <xf numFmtId="0" fontId="4" fillId="0" borderId="13" xfId="0" applyFont="1" applyBorder="1" applyAlignment="1">
      <alignment horizontal="left" vertical="top" wrapText="1"/>
    </xf>
    <xf numFmtId="0" fontId="4" fillId="0" borderId="19" xfId="0" applyFont="1" applyBorder="1" applyAlignment="1">
      <alignment horizontal="left" vertical="top" wrapText="1"/>
    </xf>
    <xf numFmtId="0" fontId="4" fillId="0" borderId="14" xfId="0" applyFont="1" applyBorder="1" applyAlignment="1">
      <alignment horizontal="left" vertical="top" wrapText="1"/>
    </xf>
    <xf numFmtId="0" fontId="4" fillId="0" borderId="20" xfId="0" applyFont="1" applyBorder="1" applyAlignment="1">
      <alignment horizontal="left" vertical="top" wrapText="1"/>
    </xf>
    <xf numFmtId="0" fontId="2" fillId="3" borderId="24" xfId="0" applyFont="1" applyFill="1" applyBorder="1" applyAlignment="1">
      <alignment horizontal="center" wrapText="1"/>
    </xf>
    <xf numFmtId="0" fontId="2" fillId="3" borderId="8" xfId="0" applyFont="1" applyFill="1" applyBorder="1" applyAlignment="1">
      <alignment horizontal="center"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3" xfId="0" applyFont="1" applyBorder="1" applyAlignment="1">
      <alignment horizontal="left" vertical="top" wrapText="1"/>
    </xf>
    <xf numFmtId="0" fontId="1" fillId="0" borderId="1" xfId="0" applyFont="1" applyBorder="1" applyAlignment="1">
      <alignment horizontal="left" vertical="top" wrapText="1"/>
    </xf>
    <xf numFmtId="0" fontId="1" fillId="0" borderId="6" xfId="0" applyFont="1" applyBorder="1" applyAlignment="1">
      <alignment horizontal="left" vertical="top" wrapText="1"/>
    </xf>
    <xf numFmtId="0" fontId="1" fillId="0" borderId="1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0" xfId="0" applyFont="1" applyBorder="1" applyAlignment="1">
      <alignment horizontal="center" vertical="center" wrapText="1"/>
    </xf>
    <xf numFmtId="0" fontId="2" fillId="2" borderId="2" xfId="0" applyFont="1" applyFill="1" applyBorder="1" applyAlignment="1">
      <alignment horizontal="center"/>
    </xf>
    <xf numFmtId="0" fontId="1" fillId="0" borderId="0" xfId="0" applyFont="1" applyAlignment="1">
      <alignment horizontal="right"/>
    </xf>
    <xf numFmtId="0" fontId="1" fillId="0" borderId="12" xfId="0" applyFont="1" applyBorder="1" applyAlignment="1">
      <alignment horizontal="right" vertical="top"/>
    </xf>
    <xf numFmtId="0" fontId="1" fillId="0" borderId="15" xfId="0" applyFont="1" applyBorder="1" applyAlignment="1">
      <alignment horizontal="right" vertical="top"/>
    </xf>
    <xf numFmtId="0" fontId="1" fillId="0" borderId="13" xfId="0" applyFont="1" applyBorder="1" applyAlignment="1">
      <alignment horizontal="right" vertical="top"/>
    </xf>
    <xf numFmtId="0" fontId="1" fillId="0" borderId="16" xfId="0" applyFont="1" applyBorder="1" applyAlignment="1">
      <alignment horizontal="right" vertical="top"/>
    </xf>
    <xf numFmtId="0" fontId="1" fillId="0" borderId="14" xfId="0" applyFont="1" applyBorder="1" applyAlignment="1">
      <alignment horizontal="right" vertical="top"/>
    </xf>
    <xf numFmtId="0" fontId="1" fillId="0" borderId="17" xfId="0" applyFont="1" applyBorder="1" applyAlignment="1">
      <alignment horizontal="right" vertical="top"/>
    </xf>
    <xf numFmtId="0" fontId="2" fillId="2" borderId="8" xfId="0" applyFont="1" applyFill="1" applyBorder="1" applyAlignment="1">
      <alignment horizontal="center"/>
    </xf>
    <xf numFmtId="0" fontId="8" fillId="10" borderId="26" xfId="0" applyFont="1" applyFill="1" applyBorder="1" applyAlignment="1">
      <alignment horizontal="center"/>
    </xf>
    <xf numFmtId="0" fontId="9" fillId="0" borderId="27" xfId="0" applyFont="1" applyBorder="1"/>
    <xf numFmtId="0" fontId="9" fillId="0" borderId="28" xfId="0" applyFont="1" applyBorder="1"/>
    <xf numFmtId="0" fontId="11" fillId="0" borderId="0" xfId="5"/>
    <xf numFmtId="0" fontId="11" fillId="0" borderId="0" xfId="5"/>
    <xf numFmtId="0" fontId="12" fillId="0" borderId="0" xfId="5" applyFont="1" applyAlignment="1">
      <alignment horizontal="center"/>
    </xf>
    <xf numFmtId="166" fontId="12" fillId="0" borderId="0" xfId="5" applyNumberFormat="1" applyFont="1" applyAlignment="1">
      <alignment wrapText="1"/>
    </xf>
    <xf numFmtId="0" fontId="13" fillId="0" borderId="0" xfId="5" applyFont="1" applyAlignment="1">
      <alignment horizontal="left" wrapText="1"/>
    </xf>
    <xf numFmtId="167" fontId="13" fillId="0" borderId="29" xfId="5" applyNumberFormat="1" applyFont="1" applyBorder="1" applyAlignment="1">
      <alignment horizontal="right" wrapText="1"/>
    </xf>
    <xf numFmtId="166" fontId="12" fillId="0" borderId="0" xfId="5" applyNumberFormat="1" applyFont="1" applyAlignment="1">
      <alignment horizontal="right" wrapText="1"/>
    </xf>
    <xf numFmtId="0" fontId="14" fillId="0" borderId="30" xfId="5" applyFont="1" applyBorder="1" applyAlignment="1">
      <alignment horizontal="center" wrapText="1"/>
    </xf>
    <xf numFmtId="0" fontId="11" fillId="0" borderId="0" xfId="5" applyAlignment="1">
      <alignment wrapText="1"/>
    </xf>
    <xf numFmtId="0" fontId="15" fillId="0" borderId="0" xfId="5" applyFont="1" applyAlignment="1">
      <alignment horizontal="center"/>
    </xf>
    <xf numFmtId="0" fontId="16" fillId="0" borderId="0" xfId="5" applyFont="1" applyAlignment="1">
      <alignment horizontal="center"/>
    </xf>
    <xf numFmtId="0" fontId="1" fillId="0" borderId="5" xfId="0" applyFont="1" applyBorder="1" applyAlignment="1">
      <alignment horizontal="center"/>
    </xf>
    <xf numFmtId="0" fontId="1" fillId="0" borderId="7" xfId="0" applyFont="1" applyBorder="1" applyAlignment="1">
      <alignment horizontal="center"/>
    </xf>
    <xf numFmtId="44" fontId="1" fillId="0" borderId="0" xfId="3" applyFont="1"/>
    <xf numFmtId="0" fontId="1" fillId="0" borderId="31" xfId="0" applyFont="1" applyBorder="1" applyAlignment="1">
      <alignment horizontal="left" vertical="top" wrapText="1"/>
    </xf>
    <xf numFmtId="0" fontId="1" fillId="0" borderId="32" xfId="0" applyFont="1" applyBorder="1" applyAlignment="1">
      <alignment horizontal="left" vertical="top" wrapText="1"/>
    </xf>
    <xf numFmtId="0" fontId="1" fillId="0" borderId="32" xfId="0" applyFont="1" applyBorder="1"/>
    <xf numFmtId="0" fontId="1" fillId="0" borderId="33" xfId="0" applyFont="1" applyBorder="1" applyAlignment="1">
      <alignment horizontal="center"/>
    </xf>
    <xf numFmtId="9" fontId="1" fillId="4" borderId="4" xfId="4" applyFont="1" applyFill="1" applyBorder="1" applyAlignment="1">
      <alignment horizontal="left" vertical="top"/>
    </xf>
    <xf numFmtId="43" fontId="1" fillId="2" borderId="5" xfId="2" applyFont="1" applyFill="1" applyBorder="1" applyAlignment="1">
      <alignment horizontal="center"/>
    </xf>
    <xf numFmtId="0" fontId="1" fillId="2" borderId="4" xfId="0" applyFont="1" applyFill="1" applyBorder="1" applyAlignment="1">
      <alignment horizontal="center" vertical="top"/>
    </xf>
    <xf numFmtId="0" fontId="1" fillId="2" borderId="5" xfId="0" applyFont="1" applyFill="1" applyBorder="1" applyAlignment="1">
      <alignment horizontal="center"/>
    </xf>
    <xf numFmtId="43" fontId="1" fillId="2" borderId="4" xfId="2" applyFont="1" applyFill="1" applyBorder="1" applyAlignment="1">
      <alignment horizontal="center" vertical="top"/>
    </xf>
    <xf numFmtId="43" fontId="1" fillId="4" borderId="5" xfId="2" applyFont="1" applyFill="1" applyBorder="1" applyAlignment="1">
      <alignment horizontal="center"/>
    </xf>
    <xf numFmtId="9" fontId="1" fillId="2" borderId="4" xfId="4" applyFont="1" applyFill="1" applyBorder="1" applyAlignment="1">
      <alignment horizontal="left" vertical="top"/>
    </xf>
    <xf numFmtId="0" fontId="1" fillId="0" borderId="34" xfId="0" applyFont="1" applyBorder="1"/>
  </cellXfs>
  <cellStyles count="6">
    <cellStyle name="Comma" xfId="2" builtinId="3"/>
    <cellStyle name="Currency" xfId="3" builtinId="4"/>
    <cellStyle name="Hyperlink" xfId="1" builtinId="8"/>
    <cellStyle name="Normal" xfId="0" builtinId="0"/>
    <cellStyle name="Normal 2" xfId="5" xr:uid="{8B20852A-A9D6-490F-A9B0-DEC4FD201FF7}"/>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26670</xdr:colOff>
      <xdr:row>21</xdr:row>
      <xdr:rowOff>3810</xdr:rowOff>
    </xdr:from>
    <xdr:to>
      <xdr:col>1</xdr:col>
      <xdr:colOff>986790</xdr:colOff>
      <xdr:row>23</xdr:row>
      <xdr:rowOff>72602</xdr:rowOff>
    </xdr:to>
    <xdr:pic>
      <xdr:nvPicPr>
        <xdr:cNvPr id="2" name="Picture 1">
          <a:extLst>
            <a:ext uri="{FF2B5EF4-FFF2-40B4-BE49-F238E27FC236}">
              <a16:creationId xmlns:a16="http://schemas.microsoft.com/office/drawing/2014/main" id="{09B6C4B2-0661-4059-8686-89729FFE7113}"/>
            </a:ext>
          </a:extLst>
        </xdr:cNvPr>
        <xdr:cNvPicPr>
          <a:picLocks noChangeAspect="1"/>
        </xdr:cNvPicPr>
      </xdr:nvPicPr>
      <xdr:blipFill rotWithShape="1">
        <a:blip xmlns:r="http://schemas.openxmlformats.org/officeDocument/2006/relationships" r:embed="rId1"/>
        <a:srcRect t="-1" r="57992" b="-392"/>
        <a:stretch/>
      </xdr:blipFill>
      <xdr:spPr>
        <a:xfrm>
          <a:off x="26670" y="5696398"/>
          <a:ext cx="1307502" cy="517028"/>
        </a:xfrm>
        <a:prstGeom prst="rect">
          <a:avLst/>
        </a:prstGeom>
      </xdr:spPr>
    </xdr:pic>
    <xdr:clientData/>
  </xdr:twoCellAnchor>
  <xdr:twoCellAnchor editAs="oneCell">
    <xdr:from>
      <xdr:col>0</xdr:col>
      <xdr:colOff>26670</xdr:colOff>
      <xdr:row>23</xdr:row>
      <xdr:rowOff>64770</xdr:rowOff>
    </xdr:from>
    <xdr:to>
      <xdr:col>1</xdr:col>
      <xdr:colOff>1443990</xdr:colOff>
      <xdr:row>25</xdr:row>
      <xdr:rowOff>118972</xdr:rowOff>
    </xdr:to>
    <xdr:pic>
      <xdr:nvPicPr>
        <xdr:cNvPr id="3" name="Picture 2">
          <a:extLst>
            <a:ext uri="{FF2B5EF4-FFF2-40B4-BE49-F238E27FC236}">
              <a16:creationId xmlns:a16="http://schemas.microsoft.com/office/drawing/2014/main" id="{E6BF51F7-5720-445F-8001-5CAF2B10B4D4}"/>
            </a:ext>
          </a:extLst>
        </xdr:cNvPr>
        <xdr:cNvPicPr>
          <a:picLocks noChangeAspect="1"/>
        </xdr:cNvPicPr>
      </xdr:nvPicPr>
      <xdr:blipFill rotWithShape="1">
        <a:blip xmlns:r="http://schemas.openxmlformats.org/officeDocument/2006/relationships" r:embed="rId1"/>
        <a:srcRect l="42556"/>
        <a:stretch/>
      </xdr:blipFill>
      <xdr:spPr>
        <a:xfrm>
          <a:off x="26670" y="6205594"/>
          <a:ext cx="1764702" cy="502437"/>
        </a:xfrm>
        <a:prstGeom prst="rect">
          <a:avLst/>
        </a:prstGeom>
      </xdr:spPr>
    </xdr:pic>
    <xdr:clientData/>
  </xdr:twoCellAnchor>
  <xdr:twoCellAnchor editAs="oneCell">
    <xdr:from>
      <xdr:col>0</xdr:col>
      <xdr:colOff>2</xdr:colOff>
      <xdr:row>45</xdr:row>
      <xdr:rowOff>68580</xdr:rowOff>
    </xdr:from>
    <xdr:to>
      <xdr:col>1</xdr:col>
      <xdr:colOff>1443232</xdr:colOff>
      <xdr:row>46</xdr:row>
      <xdr:rowOff>186690</xdr:rowOff>
    </xdr:to>
    <xdr:pic>
      <xdr:nvPicPr>
        <xdr:cNvPr id="7" name="Picture 6">
          <a:extLst>
            <a:ext uri="{FF2B5EF4-FFF2-40B4-BE49-F238E27FC236}">
              <a16:creationId xmlns:a16="http://schemas.microsoft.com/office/drawing/2014/main" id="{8F04360C-D00D-4CF0-8C93-AC243EDB5AD2}"/>
            </a:ext>
          </a:extLst>
        </xdr:cNvPr>
        <xdr:cNvPicPr>
          <a:picLocks noChangeAspect="1"/>
        </xdr:cNvPicPr>
      </xdr:nvPicPr>
      <xdr:blipFill rotWithShape="1">
        <a:blip xmlns:r="http://schemas.openxmlformats.org/officeDocument/2006/relationships" r:embed="rId2"/>
        <a:srcRect l="44525" t="29313"/>
        <a:stretch/>
      </xdr:blipFill>
      <xdr:spPr>
        <a:xfrm>
          <a:off x="2" y="12226962"/>
          <a:ext cx="1790612" cy="342228"/>
        </a:xfrm>
        <a:prstGeom prst="rect">
          <a:avLst/>
        </a:prstGeom>
      </xdr:spPr>
    </xdr:pic>
    <xdr:clientData/>
  </xdr:twoCellAnchor>
  <xdr:twoCellAnchor editAs="oneCell">
    <xdr:from>
      <xdr:col>0</xdr:col>
      <xdr:colOff>0</xdr:colOff>
      <xdr:row>47</xdr:row>
      <xdr:rowOff>59055</xdr:rowOff>
    </xdr:from>
    <xdr:to>
      <xdr:col>1</xdr:col>
      <xdr:colOff>1443740</xdr:colOff>
      <xdr:row>49</xdr:row>
      <xdr:rowOff>34291</xdr:rowOff>
    </xdr:to>
    <xdr:pic>
      <xdr:nvPicPr>
        <xdr:cNvPr id="8" name="Picture 7">
          <a:extLst>
            <a:ext uri="{FF2B5EF4-FFF2-40B4-BE49-F238E27FC236}">
              <a16:creationId xmlns:a16="http://schemas.microsoft.com/office/drawing/2014/main" id="{11236D72-BE24-4960-B65A-8F1503C3E1E6}"/>
            </a:ext>
          </a:extLst>
        </xdr:cNvPr>
        <xdr:cNvPicPr>
          <a:picLocks noChangeAspect="1"/>
        </xdr:cNvPicPr>
      </xdr:nvPicPr>
      <xdr:blipFill rotWithShape="1">
        <a:blip xmlns:r="http://schemas.openxmlformats.org/officeDocument/2006/relationships" r:embed="rId3"/>
        <a:srcRect r="36504"/>
        <a:stretch/>
      </xdr:blipFill>
      <xdr:spPr>
        <a:xfrm>
          <a:off x="0" y="12665673"/>
          <a:ext cx="1791122" cy="423471"/>
        </a:xfrm>
        <a:prstGeom prst="rect">
          <a:avLst/>
        </a:prstGeom>
      </xdr:spPr>
    </xdr:pic>
    <xdr:clientData/>
  </xdr:twoCellAnchor>
  <xdr:twoCellAnchor editAs="oneCell">
    <xdr:from>
      <xdr:col>1</xdr:col>
      <xdr:colOff>184785</xdr:colOff>
      <xdr:row>48</xdr:row>
      <xdr:rowOff>179071</xdr:rowOff>
    </xdr:from>
    <xdr:to>
      <xdr:col>1</xdr:col>
      <xdr:colOff>1443990</xdr:colOff>
      <xdr:row>51</xdr:row>
      <xdr:rowOff>859</xdr:rowOff>
    </xdr:to>
    <xdr:pic>
      <xdr:nvPicPr>
        <xdr:cNvPr id="9" name="Picture 8">
          <a:extLst>
            <a:ext uri="{FF2B5EF4-FFF2-40B4-BE49-F238E27FC236}">
              <a16:creationId xmlns:a16="http://schemas.microsoft.com/office/drawing/2014/main" id="{C40F2DEE-1729-4D88-87D4-92EF4B3EE593}"/>
            </a:ext>
          </a:extLst>
        </xdr:cNvPr>
        <xdr:cNvPicPr>
          <a:picLocks noChangeAspect="1"/>
        </xdr:cNvPicPr>
      </xdr:nvPicPr>
      <xdr:blipFill rotWithShape="1">
        <a:blip xmlns:r="http://schemas.openxmlformats.org/officeDocument/2006/relationships" r:embed="rId3"/>
        <a:srcRect l="63565"/>
        <a:stretch/>
      </xdr:blipFill>
      <xdr:spPr>
        <a:xfrm>
          <a:off x="532167" y="13009806"/>
          <a:ext cx="1259205" cy="494141"/>
        </a:xfrm>
        <a:prstGeom prst="rect">
          <a:avLst/>
        </a:prstGeom>
      </xdr:spPr>
    </xdr:pic>
    <xdr:clientData/>
  </xdr:twoCellAnchor>
  <xdr:twoCellAnchor editAs="oneCell">
    <xdr:from>
      <xdr:col>0</xdr:col>
      <xdr:colOff>287655</xdr:colOff>
      <xdr:row>58</xdr:row>
      <xdr:rowOff>3810</xdr:rowOff>
    </xdr:from>
    <xdr:to>
      <xdr:col>1</xdr:col>
      <xdr:colOff>1184105</xdr:colOff>
      <xdr:row>59</xdr:row>
      <xdr:rowOff>110489</xdr:rowOff>
    </xdr:to>
    <xdr:pic>
      <xdr:nvPicPr>
        <xdr:cNvPr id="12" name="Picture 11">
          <a:extLst>
            <a:ext uri="{FF2B5EF4-FFF2-40B4-BE49-F238E27FC236}">
              <a16:creationId xmlns:a16="http://schemas.microsoft.com/office/drawing/2014/main" id="{19CF1F05-23D8-40F8-B126-C1128113F338}"/>
            </a:ext>
          </a:extLst>
        </xdr:cNvPr>
        <xdr:cNvPicPr>
          <a:picLocks noChangeAspect="1"/>
        </xdr:cNvPicPr>
      </xdr:nvPicPr>
      <xdr:blipFill rotWithShape="1">
        <a:blip xmlns:r="http://schemas.openxmlformats.org/officeDocument/2006/relationships" r:embed="rId4"/>
        <a:srcRect r="44399" b="-841"/>
        <a:stretch/>
      </xdr:blipFill>
      <xdr:spPr>
        <a:xfrm>
          <a:off x="287655" y="15725663"/>
          <a:ext cx="1243832" cy="330797"/>
        </a:xfrm>
        <a:prstGeom prst="rect">
          <a:avLst/>
        </a:prstGeom>
      </xdr:spPr>
    </xdr:pic>
    <xdr:clientData/>
  </xdr:twoCellAnchor>
  <xdr:twoCellAnchor editAs="oneCell">
    <xdr:from>
      <xdr:col>0</xdr:col>
      <xdr:colOff>293370</xdr:colOff>
      <xdr:row>59</xdr:row>
      <xdr:rowOff>97155</xdr:rowOff>
    </xdr:from>
    <xdr:to>
      <xdr:col>1</xdr:col>
      <xdr:colOff>1062991</xdr:colOff>
      <xdr:row>61</xdr:row>
      <xdr:rowOff>674</xdr:rowOff>
    </xdr:to>
    <xdr:pic>
      <xdr:nvPicPr>
        <xdr:cNvPr id="13" name="Picture 12">
          <a:extLst>
            <a:ext uri="{FF2B5EF4-FFF2-40B4-BE49-F238E27FC236}">
              <a16:creationId xmlns:a16="http://schemas.microsoft.com/office/drawing/2014/main" id="{CF030463-0E45-495B-A48F-F27B6F194478}"/>
            </a:ext>
          </a:extLst>
        </xdr:cNvPr>
        <xdr:cNvPicPr>
          <a:picLocks noChangeAspect="1"/>
        </xdr:cNvPicPr>
      </xdr:nvPicPr>
      <xdr:blipFill rotWithShape="1">
        <a:blip xmlns:r="http://schemas.openxmlformats.org/officeDocument/2006/relationships" r:embed="rId4"/>
        <a:srcRect l="55508" t="1" b="-415"/>
        <a:stretch/>
      </xdr:blipFill>
      <xdr:spPr>
        <a:xfrm>
          <a:off x="293370" y="16043126"/>
          <a:ext cx="1117003" cy="351754"/>
        </a:xfrm>
        <a:prstGeom prst="rect">
          <a:avLst/>
        </a:prstGeom>
      </xdr:spPr>
    </xdr:pic>
    <xdr:clientData/>
  </xdr:twoCellAnchor>
  <xdr:twoCellAnchor editAs="oneCell">
    <xdr:from>
      <xdr:col>0</xdr:col>
      <xdr:colOff>11430</xdr:colOff>
      <xdr:row>71</xdr:row>
      <xdr:rowOff>66675</xdr:rowOff>
    </xdr:from>
    <xdr:to>
      <xdr:col>2</xdr:col>
      <xdr:colOff>1718310</xdr:colOff>
      <xdr:row>73</xdr:row>
      <xdr:rowOff>186285</xdr:rowOff>
    </xdr:to>
    <xdr:pic>
      <xdr:nvPicPr>
        <xdr:cNvPr id="16" name="Picture 15">
          <a:extLst>
            <a:ext uri="{FF2B5EF4-FFF2-40B4-BE49-F238E27FC236}">
              <a16:creationId xmlns:a16="http://schemas.microsoft.com/office/drawing/2014/main" id="{62ABCEA0-6091-4D6A-88A5-0F4CDA397571}"/>
            </a:ext>
          </a:extLst>
        </xdr:cNvPr>
        <xdr:cNvPicPr>
          <a:picLocks noChangeAspect="1"/>
        </xdr:cNvPicPr>
      </xdr:nvPicPr>
      <xdr:blipFill>
        <a:blip xmlns:r="http://schemas.openxmlformats.org/officeDocument/2006/relationships" r:embed="rId5"/>
        <a:stretch>
          <a:fillRect/>
        </a:stretch>
      </xdr:blipFill>
      <xdr:spPr>
        <a:xfrm>
          <a:off x="11430" y="19139087"/>
          <a:ext cx="3499821" cy="5678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mypcm21.box.com/s/qm93erqar4thxauovwcbbcwjdci87qb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7AFE4-D0B0-4DD8-8545-236CA2FFDD34}">
  <dimension ref="A1:I87"/>
  <sheetViews>
    <sheetView tabSelected="1" topLeftCell="A67" zoomScale="85" zoomScaleNormal="85" workbookViewId="0">
      <selection activeCell="I82" sqref="I82"/>
    </sheetView>
  </sheetViews>
  <sheetFormatPr defaultRowHeight="17.25" x14ac:dyDescent="0.3"/>
  <cols>
    <col min="1" max="1" width="5.28515625" style="1" customWidth="1"/>
    <col min="2" max="2" width="21.7109375" style="4" customWidth="1"/>
    <col min="3" max="3" width="52.7109375" style="1" customWidth="1"/>
    <col min="4" max="4" width="63.7109375" style="1" customWidth="1"/>
    <col min="5" max="5" width="8" style="1" customWidth="1"/>
    <col min="6" max="6" width="39.28515625" style="1" customWidth="1"/>
    <col min="7" max="8" width="9.140625" style="1"/>
    <col min="9" max="9" width="17.85546875" style="1" bestFit="1" customWidth="1"/>
    <col min="10" max="16384" width="9.140625" style="1"/>
  </cols>
  <sheetData>
    <row r="1" spans="1:6" ht="26.25" x14ac:dyDescent="0.45">
      <c r="A1" s="29" t="s">
        <v>0</v>
      </c>
      <c r="B1" s="29"/>
      <c r="C1" s="29"/>
      <c r="D1" s="29"/>
      <c r="E1" s="29"/>
      <c r="F1" s="29"/>
    </row>
    <row r="2" spans="1:6" x14ac:dyDescent="0.3">
      <c r="A2" s="65" t="s">
        <v>1</v>
      </c>
      <c r="B2" s="65"/>
      <c r="C2" s="3" t="s">
        <v>2</v>
      </c>
    </row>
    <row r="3" spans="1:6" x14ac:dyDescent="0.3">
      <c r="C3" s="3"/>
    </row>
    <row r="4" spans="1:6" x14ac:dyDescent="0.3">
      <c r="A4" s="64" t="s">
        <v>21</v>
      </c>
      <c r="B4" s="64"/>
      <c r="C4" s="72" t="s">
        <v>20</v>
      </c>
      <c r="D4" s="64"/>
      <c r="E4" s="64" t="s">
        <v>22</v>
      </c>
      <c r="F4" s="64"/>
    </row>
    <row r="5" spans="1:6" s="2" customFormat="1" ht="51.75" x14ac:dyDescent="0.3">
      <c r="A5" s="11" t="s">
        <v>3</v>
      </c>
      <c r="B5" s="13" t="s">
        <v>39</v>
      </c>
      <c r="C5" s="12" t="s">
        <v>4</v>
      </c>
      <c r="D5" s="11" t="s">
        <v>5</v>
      </c>
      <c r="E5" s="11" t="s">
        <v>23</v>
      </c>
      <c r="F5" s="11" t="s">
        <v>24</v>
      </c>
    </row>
    <row r="6" spans="1:6" s="5" customFormat="1" ht="17.25" customHeight="1" x14ac:dyDescent="0.3">
      <c r="A6" s="66" t="s">
        <v>6</v>
      </c>
      <c r="B6" s="67"/>
      <c r="C6" s="52" t="s">
        <v>25</v>
      </c>
      <c r="D6" s="55" t="s">
        <v>7</v>
      </c>
      <c r="E6" s="7" t="s">
        <v>10</v>
      </c>
      <c r="F6" s="95">
        <f>+'Statement of Financial Position'!B19/'Statement of Financial Position'!B41</f>
        <v>5.5082756438340859</v>
      </c>
    </row>
    <row r="7" spans="1:6" x14ac:dyDescent="0.3">
      <c r="A7" s="68"/>
      <c r="B7" s="69"/>
      <c r="C7" s="53"/>
      <c r="D7" s="56"/>
      <c r="E7" s="7" t="s">
        <v>11</v>
      </c>
      <c r="F7" s="95">
        <f>+'Statement of Financial Position'!C19/'Statement of Financial Position'!C41</f>
        <v>3.995028821760934</v>
      </c>
    </row>
    <row r="8" spans="1:6" x14ac:dyDescent="0.3">
      <c r="A8" s="68"/>
      <c r="B8" s="69"/>
      <c r="C8" s="53"/>
      <c r="D8" s="56"/>
      <c r="E8" s="7" t="s">
        <v>12</v>
      </c>
      <c r="F8" s="95">
        <f>+'Statement of Financial Position'!D19/'Statement of Financial Position'!D41</f>
        <v>3.2061615928592611</v>
      </c>
    </row>
    <row r="9" spans="1:6" x14ac:dyDescent="0.3">
      <c r="A9" s="68"/>
      <c r="B9" s="69"/>
      <c r="C9" s="53"/>
      <c r="D9" s="56"/>
      <c r="E9" s="7" t="s">
        <v>13</v>
      </c>
      <c r="F9" s="95">
        <f>+'Statement of Financial Position'!E19/'Statement of Financial Position'!E41</f>
        <v>5.1274628277472143</v>
      </c>
    </row>
    <row r="10" spans="1:6" x14ac:dyDescent="0.3">
      <c r="A10" s="68"/>
      <c r="B10" s="69"/>
      <c r="C10" s="53"/>
      <c r="D10" s="56"/>
      <c r="E10" s="7" t="s">
        <v>14</v>
      </c>
      <c r="F10" s="95">
        <f>+'Statement of Financial Position'!F19/'Statement of Financial Position'!F41</f>
        <v>10.300636054678041</v>
      </c>
    </row>
    <row r="11" spans="1:6" x14ac:dyDescent="0.3">
      <c r="A11" s="68"/>
      <c r="B11" s="69"/>
      <c r="C11" s="53"/>
      <c r="D11" s="56"/>
      <c r="E11" s="7" t="s">
        <v>15</v>
      </c>
      <c r="F11" s="95">
        <f>+'Statement of Financial Position'!G19/'Statement of Financial Position'!G41</f>
        <v>12.389618715674873</v>
      </c>
    </row>
    <row r="12" spans="1:6" x14ac:dyDescent="0.3">
      <c r="A12" s="68"/>
      <c r="B12" s="69"/>
      <c r="C12" s="53"/>
      <c r="D12" s="56"/>
      <c r="E12" s="7" t="s">
        <v>16</v>
      </c>
      <c r="F12" s="95">
        <f>+'Statement of Financial Position'!H19/'Statement of Financial Position'!H41</f>
        <v>10.666472763386015</v>
      </c>
    </row>
    <row r="13" spans="1:6" x14ac:dyDescent="0.3">
      <c r="A13" s="68"/>
      <c r="B13" s="69"/>
      <c r="C13" s="53"/>
      <c r="D13" s="56"/>
      <c r="E13" s="6" t="s">
        <v>17</v>
      </c>
      <c r="F13" s="87"/>
    </row>
    <row r="14" spans="1:6" x14ac:dyDescent="0.3">
      <c r="A14" s="68"/>
      <c r="B14" s="69"/>
      <c r="C14" s="53"/>
      <c r="D14" s="56"/>
      <c r="E14" s="7" t="s">
        <v>8</v>
      </c>
      <c r="F14" s="87"/>
    </row>
    <row r="15" spans="1:6" x14ac:dyDescent="0.3">
      <c r="A15" s="68"/>
      <c r="B15" s="69"/>
      <c r="C15" s="53"/>
      <c r="D15" s="56"/>
      <c r="E15" s="7" t="s">
        <v>18</v>
      </c>
      <c r="F15" s="87"/>
    </row>
    <row r="16" spans="1:6" x14ac:dyDescent="0.3">
      <c r="A16" s="68"/>
      <c r="B16" s="69"/>
      <c r="C16" s="90"/>
      <c r="D16" s="91"/>
      <c r="E16" s="7" t="s">
        <v>19</v>
      </c>
      <c r="F16" s="93"/>
    </row>
    <row r="17" spans="1:9" x14ac:dyDescent="0.3">
      <c r="A17" s="70"/>
      <c r="B17" s="71"/>
      <c r="C17" s="54"/>
      <c r="D17" s="57"/>
      <c r="E17" s="8" t="s">
        <v>9</v>
      </c>
      <c r="F17" s="88"/>
    </row>
    <row r="18" spans="1:9" ht="51.75" x14ac:dyDescent="0.3">
      <c r="A18" s="11" t="s">
        <v>26</v>
      </c>
      <c r="B18" s="13" t="s">
        <v>38</v>
      </c>
      <c r="C18" s="12" t="s">
        <v>4</v>
      </c>
      <c r="D18" s="11" t="s">
        <v>5</v>
      </c>
      <c r="E18" s="11" t="s">
        <v>23</v>
      </c>
      <c r="F18" s="11" t="s">
        <v>24</v>
      </c>
      <c r="I18" s="1" t="s">
        <v>124</v>
      </c>
    </row>
    <row r="19" spans="1:9" x14ac:dyDescent="0.3">
      <c r="A19" s="36" t="s">
        <v>6</v>
      </c>
      <c r="B19" s="37"/>
      <c r="C19" s="52" t="s">
        <v>27</v>
      </c>
      <c r="D19" s="55" t="s">
        <v>7</v>
      </c>
      <c r="E19" s="7" t="s">
        <v>10</v>
      </c>
      <c r="F19" s="95">
        <f>+'Statement of Financial Position'!B12/('FF - Tracker'!$I$19/365)</f>
        <v>63.586217709175259</v>
      </c>
      <c r="I19" s="89">
        <v>1780982.4885001616</v>
      </c>
    </row>
    <row r="20" spans="1:9" x14ac:dyDescent="0.3">
      <c r="A20" s="38"/>
      <c r="B20" s="39"/>
      <c r="C20" s="53"/>
      <c r="D20" s="56"/>
      <c r="E20" s="7" t="s">
        <v>11</v>
      </c>
      <c r="F20" s="95">
        <f>+'Statement of Financial Position'!C12/('FF - Tracker'!$I$19/365)</f>
        <v>40.754351723651666</v>
      </c>
    </row>
    <row r="21" spans="1:9" x14ac:dyDescent="0.3">
      <c r="A21" s="38"/>
      <c r="B21" s="39"/>
      <c r="C21" s="53"/>
      <c r="D21" s="56"/>
      <c r="E21" s="7" t="s">
        <v>12</v>
      </c>
      <c r="F21" s="95">
        <f>+'Statement of Financial Position'!D12/('FF - Tracker'!$I$19/365)</f>
        <v>31.474181589065587</v>
      </c>
    </row>
    <row r="22" spans="1:9" x14ac:dyDescent="0.3">
      <c r="A22" s="38"/>
      <c r="B22" s="39"/>
      <c r="C22" s="53"/>
      <c r="D22" s="56"/>
      <c r="E22" s="7" t="s">
        <v>13</v>
      </c>
      <c r="F22" s="95">
        <f>+'Statement of Financial Position'!E12/('FF - Tracker'!$I$19/365)</f>
        <v>46.170765198959757</v>
      </c>
    </row>
    <row r="23" spans="1:9" x14ac:dyDescent="0.3">
      <c r="A23" s="38"/>
      <c r="B23" s="39"/>
      <c r="C23" s="53"/>
      <c r="D23" s="56"/>
      <c r="E23" s="7" t="s">
        <v>14</v>
      </c>
      <c r="F23" s="99">
        <f>+'Statement of Financial Position'!F12/('FF - Tracker'!$I$19/365)</f>
        <v>26.420552169284136</v>
      </c>
    </row>
    <row r="24" spans="1:9" x14ac:dyDescent="0.3">
      <c r="A24" s="38"/>
      <c r="B24" s="39"/>
      <c r="C24" s="53"/>
      <c r="D24" s="56"/>
      <c r="E24" s="7" t="s">
        <v>15</v>
      </c>
      <c r="F24" s="95">
        <f>+'Statement of Financial Position'!G12/('FF - Tracker'!$I$19/365)</f>
        <v>42.337473325467322</v>
      </c>
    </row>
    <row r="25" spans="1:9" x14ac:dyDescent="0.3">
      <c r="A25" s="38"/>
      <c r="B25" s="39"/>
      <c r="C25" s="53"/>
      <c r="D25" s="56"/>
      <c r="E25" s="7" t="s">
        <v>16</v>
      </c>
      <c r="F25" s="95">
        <f>+'Statement of Financial Position'!H12/('FF - Tracker'!$I$19/365)</f>
        <v>31.721847078674895</v>
      </c>
    </row>
    <row r="26" spans="1:9" x14ac:dyDescent="0.3">
      <c r="A26" s="38"/>
      <c r="B26" s="39"/>
      <c r="C26" s="53"/>
      <c r="D26" s="56"/>
      <c r="E26" s="6" t="s">
        <v>17</v>
      </c>
      <c r="F26" s="87"/>
    </row>
    <row r="27" spans="1:9" x14ac:dyDescent="0.3">
      <c r="A27" s="38"/>
      <c r="B27" s="39"/>
      <c r="C27" s="53"/>
      <c r="D27" s="56"/>
      <c r="E27" s="7" t="s">
        <v>8</v>
      </c>
      <c r="F27" s="87"/>
    </row>
    <row r="28" spans="1:9" x14ac:dyDescent="0.3">
      <c r="A28" s="38"/>
      <c r="B28" s="39"/>
      <c r="C28" s="53"/>
      <c r="D28" s="56"/>
      <c r="E28" s="7" t="s">
        <v>18</v>
      </c>
      <c r="F28" s="87"/>
    </row>
    <row r="29" spans="1:9" x14ac:dyDescent="0.3">
      <c r="A29" s="38"/>
      <c r="B29" s="39"/>
      <c r="C29" s="90"/>
      <c r="D29" s="91"/>
      <c r="E29" s="92" t="s">
        <v>19</v>
      </c>
      <c r="F29" s="93"/>
    </row>
    <row r="30" spans="1:9" x14ac:dyDescent="0.3">
      <c r="A30" s="40"/>
      <c r="B30" s="41"/>
      <c r="C30" s="54"/>
      <c r="D30" s="57"/>
      <c r="E30" s="10" t="s">
        <v>9</v>
      </c>
      <c r="F30" s="88"/>
    </row>
    <row r="31" spans="1:9" s="2" customFormat="1" ht="34.5" x14ac:dyDescent="0.3">
      <c r="A31" s="11" t="s">
        <v>28</v>
      </c>
      <c r="B31" s="13" t="s">
        <v>37</v>
      </c>
      <c r="C31" s="12" t="s">
        <v>4</v>
      </c>
      <c r="D31" s="11" t="s">
        <v>5</v>
      </c>
      <c r="E31" s="11" t="s">
        <v>23</v>
      </c>
      <c r="F31" s="11" t="s">
        <v>24</v>
      </c>
    </row>
    <row r="32" spans="1:9" s="5" customFormat="1" ht="17.25" customHeight="1" x14ac:dyDescent="0.25">
      <c r="A32" s="36" t="s">
        <v>29</v>
      </c>
      <c r="B32" s="37"/>
      <c r="C32" s="52" t="s">
        <v>30</v>
      </c>
      <c r="D32" s="55" t="s">
        <v>7</v>
      </c>
      <c r="E32" s="8" t="s">
        <v>10</v>
      </c>
      <c r="F32" s="96" t="s">
        <v>125</v>
      </c>
    </row>
    <row r="33" spans="1:6" x14ac:dyDescent="0.3">
      <c r="A33" s="38"/>
      <c r="B33" s="39"/>
      <c r="C33" s="53"/>
      <c r="D33" s="56"/>
      <c r="E33" s="7" t="s">
        <v>11</v>
      </c>
      <c r="F33" s="96" t="s">
        <v>125</v>
      </c>
    </row>
    <row r="34" spans="1:6" x14ac:dyDescent="0.3">
      <c r="A34" s="38"/>
      <c r="B34" s="39"/>
      <c r="C34" s="53"/>
      <c r="D34" s="56"/>
      <c r="E34" s="7" t="s">
        <v>12</v>
      </c>
      <c r="F34" s="96" t="s">
        <v>125</v>
      </c>
    </row>
    <row r="35" spans="1:6" x14ac:dyDescent="0.3">
      <c r="A35" s="38"/>
      <c r="B35" s="39"/>
      <c r="C35" s="53"/>
      <c r="D35" s="56"/>
      <c r="E35" s="7" t="s">
        <v>13</v>
      </c>
      <c r="F35" s="96" t="s">
        <v>125</v>
      </c>
    </row>
    <row r="36" spans="1:6" x14ac:dyDescent="0.3">
      <c r="A36" s="38"/>
      <c r="B36" s="39"/>
      <c r="C36" s="53"/>
      <c r="D36" s="56"/>
      <c r="E36" s="7" t="s">
        <v>14</v>
      </c>
      <c r="F36" s="96" t="s">
        <v>125</v>
      </c>
    </row>
    <row r="37" spans="1:6" x14ac:dyDescent="0.3">
      <c r="A37" s="38"/>
      <c r="B37" s="39"/>
      <c r="C37" s="53"/>
      <c r="D37" s="56"/>
      <c r="E37" s="7" t="s">
        <v>15</v>
      </c>
      <c r="F37" s="96" t="s">
        <v>125</v>
      </c>
    </row>
    <row r="38" spans="1:6" x14ac:dyDescent="0.3">
      <c r="A38" s="38"/>
      <c r="B38" s="39"/>
      <c r="C38" s="53"/>
      <c r="D38" s="56"/>
      <c r="E38" s="7" t="s">
        <v>16</v>
      </c>
      <c r="F38" s="96" t="s">
        <v>125</v>
      </c>
    </row>
    <row r="39" spans="1:6" x14ac:dyDescent="0.3">
      <c r="A39" s="38"/>
      <c r="B39" s="39"/>
      <c r="C39" s="53"/>
      <c r="D39" s="56"/>
      <c r="E39" s="6" t="s">
        <v>17</v>
      </c>
      <c r="F39" s="87"/>
    </row>
    <row r="40" spans="1:6" x14ac:dyDescent="0.3">
      <c r="A40" s="38"/>
      <c r="B40" s="39"/>
      <c r="C40" s="53"/>
      <c r="D40" s="56"/>
      <c r="E40" s="7" t="s">
        <v>8</v>
      </c>
      <c r="F40" s="87"/>
    </row>
    <row r="41" spans="1:6" x14ac:dyDescent="0.3">
      <c r="A41" s="38"/>
      <c r="B41" s="39"/>
      <c r="C41" s="53"/>
      <c r="D41" s="56"/>
      <c r="E41" s="7" t="s">
        <v>18</v>
      </c>
      <c r="F41" s="87"/>
    </row>
    <row r="42" spans="1:6" x14ac:dyDescent="0.3">
      <c r="A42" s="38"/>
      <c r="B42" s="39"/>
      <c r="C42" s="90"/>
      <c r="D42" s="91"/>
      <c r="E42" s="92" t="s">
        <v>19</v>
      </c>
      <c r="F42" s="93"/>
    </row>
    <row r="43" spans="1:6" x14ac:dyDescent="0.3">
      <c r="A43" s="40"/>
      <c r="B43" s="41"/>
      <c r="C43" s="54"/>
      <c r="D43" s="57"/>
      <c r="E43" s="10" t="s">
        <v>9</v>
      </c>
      <c r="F43" s="88"/>
    </row>
    <row r="44" spans="1:6" ht="86.25" x14ac:dyDescent="0.3">
      <c r="A44" s="11" t="s">
        <v>31</v>
      </c>
      <c r="B44" s="13" t="s">
        <v>32</v>
      </c>
      <c r="C44" s="12" t="s">
        <v>4</v>
      </c>
      <c r="D44" s="11" t="s">
        <v>5</v>
      </c>
      <c r="E44" s="11" t="s">
        <v>23</v>
      </c>
      <c r="F44" s="11" t="s">
        <v>24</v>
      </c>
    </row>
    <row r="45" spans="1:6" x14ac:dyDescent="0.3">
      <c r="A45" s="36" t="s">
        <v>6</v>
      </c>
      <c r="B45" s="37"/>
      <c r="C45" s="52" t="s">
        <v>33</v>
      </c>
      <c r="D45" s="55" t="s">
        <v>7</v>
      </c>
      <c r="E45" s="8" t="s">
        <v>10</v>
      </c>
      <c r="F45" s="97" t="s">
        <v>126</v>
      </c>
    </row>
    <row r="46" spans="1:6" x14ac:dyDescent="0.3">
      <c r="A46" s="38"/>
      <c r="B46" s="39"/>
      <c r="C46" s="53"/>
      <c r="D46" s="56"/>
      <c r="E46" s="7" t="s">
        <v>11</v>
      </c>
      <c r="F46" s="97" t="s">
        <v>126</v>
      </c>
    </row>
    <row r="47" spans="1:6" x14ac:dyDescent="0.3">
      <c r="A47" s="38"/>
      <c r="B47" s="39"/>
      <c r="C47" s="53"/>
      <c r="D47" s="56"/>
      <c r="E47" s="7" t="s">
        <v>12</v>
      </c>
      <c r="F47" s="97" t="s">
        <v>126</v>
      </c>
    </row>
    <row r="48" spans="1:6" x14ac:dyDescent="0.3">
      <c r="A48" s="38"/>
      <c r="B48" s="39"/>
      <c r="C48" s="53"/>
      <c r="D48" s="56"/>
      <c r="E48" s="7" t="s">
        <v>13</v>
      </c>
      <c r="F48" s="97" t="s">
        <v>126</v>
      </c>
    </row>
    <row r="49" spans="1:6" x14ac:dyDescent="0.3">
      <c r="A49" s="38"/>
      <c r="B49" s="39"/>
      <c r="C49" s="53"/>
      <c r="D49" s="56"/>
      <c r="E49" s="7" t="s">
        <v>14</v>
      </c>
      <c r="F49" s="97" t="s">
        <v>126</v>
      </c>
    </row>
    <row r="50" spans="1:6" x14ac:dyDescent="0.3">
      <c r="A50" s="38"/>
      <c r="B50" s="39"/>
      <c r="C50" s="53"/>
      <c r="D50" s="56"/>
      <c r="E50" s="7" t="s">
        <v>15</v>
      </c>
      <c r="F50" s="97" t="s">
        <v>126</v>
      </c>
    </row>
    <row r="51" spans="1:6" x14ac:dyDescent="0.3">
      <c r="A51" s="38"/>
      <c r="B51" s="39"/>
      <c r="C51" s="53"/>
      <c r="D51" s="56"/>
      <c r="E51" s="7" t="s">
        <v>16</v>
      </c>
      <c r="F51" s="97" t="s">
        <v>126</v>
      </c>
    </row>
    <row r="52" spans="1:6" x14ac:dyDescent="0.3">
      <c r="A52" s="38"/>
      <c r="B52" s="39"/>
      <c r="C52" s="53"/>
      <c r="D52" s="56"/>
      <c r="E52" s="6" t="s">
        <v>17</v>
      </c>
      <c r="F52" s="87"/>
    </row>
    <row r="53" spans="1:6" x14ac:dyDescent="0.3">
      <c r="A53" s="38"/>
      <c r="B53" s="39"/>
      <c r="C53" s="53"/>
      <c r="D53" s="56"/>
      <c r="E53" s="7" t="s">
        <v>8</v>
      </c>
      <c r="F53" s="87"/>
    </row>
    <row r="54" spans="1:6" x14ac:dyDescent="0.3">
      <c r="A54" s="38"/>
      <c r="B54" s="39"/>
      <c r="C54" s="53"/>
      <c r="D54" s="56"/>
      <c r="E54" s="7" t="s">
        <v>18</v>
      </c>
      <c r="F54" s="87"/>
    </row>
    <row r="55" spans="1:6" x14ac:dyDescent="0.3">
      <c r="A55" s="38"/>
      <c r="B55" s="39"/>
      <c r="C55" s="90"/>
      <c r="D55" s="91"/>
      <c r="E55" s="92" t="s">
        <v>19</v>
      </c>
      <c r="F55" s="93"/>
    </row>
    <row r="56" spans="1:6" x14ac:dyDescent="0.3">
      <c r="A56" s="40"/>
      <c r="B56" s="41"/>
      <c r="C56" s="54"/>
      <c r="D56" s="57"/>
      <c r="E56" s="10" t="s">
        <v>9</v>
      </c>
      <c r="F56" s="88"/>
    </row>
    <row r="57" spans="1:6" ht="69" x14ac:dyDescent="0.3">
      <c r="A57" s="11" t="s">
        <v>34</v>
      </c>
      <c r="B57" s="13" t="s">
        <v>40</v>
      </c>
      <c r="C57" s="12" t="s">
        <v>4</v>
      </c>
      <c r="D57" s="11" t="s">
        <v>5</v>
      </c>
      <c r="E57" s="11" t="s">
        <v>23</v>
      </c>
      <c r="F57" s="11" t="s">
        <v>24</v>
      </c>
    </row>
    <row r="58" spans="1:6" x14ac:dyDescent="0.3">
      <c r="A58" s="36" t="s">
        <v>6</v>
      </c>
      <c r="B58" s="37"/>
      <c r="C58" s="52" t="s">
        <v>35</v>
      </c>
      <c r="D58" s="55" t="s">
        <v>7</v>
      </c>
      <c r="E58" s="8" t="s">
        <v>10</v>
      </c>
      <c r="F58" s="98">
        <f>+'Statement of Financial Position'!B46/'Statement of Financial Position'!B26</f>
        <v>0.56824616119045535</v>
      </c>
    </row>
    <row r="59" spans="1:6" x14ac:dyDescent="0.3">
      <c r="A59" s="38"/>
      <c r="B59" s="39"/>
      <c r="C59" s="53"/>
      <c r="D59" s="56"/>
      <c r="E59" s="7" t="s">
        <v>11</v>
      </c>
      <c r="F59" s="98">
        <f>+'Statement of Financial Position'!C46/'Statement of Financial Position'!C26</f>
        <v>0.54480901364406054</v>
      </c>
    </row>
    <row r="60" spans="1:6" x14ac:dyDescent="0.3">
      <c r="A60" s="38"/>
      <c r="B60" s="39"/>
      <c r="C60" s="53"/>
      <c r="D60" s="56"/>
      <c r="E60" s="7" t="s">
        <v>12</v>
      </c>
      <c r="F60" s="98">
        <f>+'Statement of Financial Position'!D46/'Statement of Financial Position'!D26</f>
        <v>0.62470759643719376</v>
      </c>
    </row>
    <row r="61" spans="1:6" x14ac:dyDescent="0.3">
      <c r="A61" s="38"/>
      <c r="B61" s="39"/>
      <c r="C61" s="53"/>
      <c r="D61" s="56"/>
      <c r="E61" s="7" t="s">
        <v>13</v>
      </c>
      <c r="F61" s="98">
        <f>+'Statement of Financial Position'!E46/'Statement of Financial Position'!E26</f>
        <v>0.51481331046686851</v>
      </c>
    </row>
    <row r="62" spans="1:6" x14ac:dyDescent="0.3">
      <c r="A62" s="38"/>
      <c r="B62" s="39"/>
      <c r="C62" s="53"/>
      <c r="D62" s="56"/>
      <c r="E62" s="7" t="s">
        <v>14</v>
      </c>
      <c r="F62" s="98">
        <f>+'Statement of Financial Position'!F46/'Statement of Financial Position'!F26</f>
        <v>0.53898609172275902</v>
      </c>
    </row>
    <row r="63" spans="1:6" x14ac:dyDescent="0.3">
      <c r="A63" s="38"/>
      <c r="B63" s="39"/>
      <c r="C63" s="53"/>
      <c r="D63" s="56"/>
      <c r="E63" s="7" t="s">
        <v>15</v>
      </c>
      <c r="F63" s="98">
        <f>+'Statement of Financial Position'!G46/'Statement of Financial Position'!G26</f>
        <v>0.54714977392312736</v>
      </c>
    </row>
    <row r="64" spans="1:6" x14ac:dyDescent="0.3">
      <c r="A64" s="38"/>
      <c r="B64" s="39"/>
      <c r="C64" s="53"/>
      <c r="D64" s="56"/>
      <c r="E64" s="7" t="s">
        <v>16</v>
      </c>
      <c r="F64" s="98">
        <f>+'Statement of Financial Position'!H46/'Statement of Financial Position'!H26</f>
        <v>0.55865496325014929</v>
      </c>
    </row>
    <row r="65" spans="1:6" x14ac:dyDescent="0.3">
      <c r="A65" s="38"/>
      <c r="B65" s="39"/>
      <c r="C65" s="53"/>
      <c r="D65" s="56"/>
      <c r="E65" s="6" t="s">
        <v>17</v>
      </c>
      <c r="F65" s="87"/>
    </row>
    <row r="66" spans="1:6" x14ac:dyDescent="0.3">
      <c r="A66" s="38"/>
      <c r="B66" s="39"/>
      <c r="C66" s="53"/>
      <c r="D66" s="56"/>
      <c r="E66" s="7" t="s">
        <v>8</v>
      </c>
      <c r="F66" s="87"/>
    </row>
    <row r="67" spans="1:6" x14ac:dyDescent="0.3">
      <c r="A67" s="38"/>
      <c r="B67" s="39"/>
      <c r="C67" s="53"/>
      <c r="D67" s="56"/>
      <c r="E67" s="7" t="s">
        <v>18</v>
      </c>
      <c r="F67" s="87"/>
    </row>
    <row r="68" spans="1:6" x14ac:dyDescent="0.3">
      <c r="A68" s="38"/>
      <c r="B68" s="39"/>
      <c r="C68" s="53"/>
      <c r="D68" s="56"/>
      <c r="E68" s="7" t="s">
        <v>19</v>
      </c>
      <c r="F68" s="87"/>
    </row>
    <row r="69" spans="1:6" x14ac:dyDescent="0.3">
      <c r="A69" s="40"/>
      <c r="B69" s="41"/>
      <c r="C69" s="54"/>
      <c r="D69" s="57"/>
      <c r="E69" s="10" t="s">
        <v>9</v>
      </c>
      <c r="F69" s="88"/>
    </row>
    <row r="70" spans="1:6" ht="51.75" x14ac:dyDescent="0.3">
      <c r="A70" s="11" t="s">
        <v>41</v>
      </c>
      <c r="B70" s="13" t="s">
        <v>36</v>
      </c>
      <c r="C70" s="12" t="s">
        <v>4</v>
      </c>
      <c r="D70" s="11" t="s">
        <v>5</v>
      </c>
      <c r="E70" s="11" t="s">
        <v>23</v>
      </c>
      <c r="F70" s="11" t="s">
        <v>24</v>
      </c>
    </row>
    <row r="71" spans="1:6" ht="17.25" customHeight="1" x14ac:dyDescent="0.3">
      <c r="A71" s="36" t="s">
        <v>42</v>
      </c>
      <c r="B71" s="37"/>
      <c r="C71" s="58" t="s">
        <v>43</v>
      </c>
      <c r="D71" s="59"/>
      <c r="E71" s="30" t="s">
        <v>44</v>
      </c>
      <c r="F71" s="31"/>
    </row>
    <row r="72" spans="1:6" x14ac:dyDescent="0.3">
      <c r="A72" s="38"/>
      <c r="B72" s="39"/>
      <c r="C72" s="60"/>
      <c r="D72" s="61"/>
      <c r="E72" s="32"/>
      <c r="F72" s="33"/>
    </row>
    <row r="73" spans="1:6" x14ac:dyDescent="0.3">
      <c r="A73" s="38"/>
      <c r="B73" s="39"/>
      <c r="C73" s="60"/>
      <c r="D73" s="61"/>
      <c r="E73" s="32"/>
      <c r="F73" s="33"/>
    </row>
    <row r="74" spans="1:6" x14ac:dyDescent="0.3">
      <c r="A74" s="40"/>
      <c r="B74" s="41"/>
      <c r="C74" s="62"/>
      <c r="D74" s="63"/>
      <c r="E74" s="34"/>
      <c r="F74" s="35"/>
    </row>
    <row r="75" spans="1:6" ht="36" customHeight="1" x14ac:dyDescent="0.3">
      <c r="A75" s="50" t="s">
        <v>45</v>
      </c>
      <c r="B75" s="51"/>
      <c r="C75" s="42" t="s">
        <v>46</v>
      </c>
      <c r="D75" s="43"/>
      <c r="E75" s="11" t="s">
        <v>23</v>
      </c>
      <c r="F75" s="11" t="s">
        <v>49</v>
      </c>
    </row>
    <row r="76" spans="1:6" x14ac:dyDescent="0.3">
      <c r="A76" s="36" t="s">
        <v>48</v>
      </c>
      <c r="B76" s="37"/>
      <c r="C76" s="44" t="s">
        <v>47</v>
      </c>
      <c r="D76" s="45"/>
      <c r="E76" s="8" t="s">
        <v>10</v>
      </c>
      <c r="F76" s="94">
        <f>79/94</f>
        <v>0.84042553191489366</v>
      </c>
    </row>
    <row r="77" spans="1:6" x14ac:dyDescent="0.3">
      <c r="A77" s="38"/>
      <c r="B77" s="39"/>
      <c r="C77" s="46"/>
      <c r="D77" s="47"/>
      <c r="E77" s="7" t="s">
        <v>10</v>
      </c>
      <c r="F77" s="94">
        <f>79/94</f>
        <v>0.84042553191489366</v>
      </c>
    </row>
    <row r="78" spans="1:6" x14ac:dyDescent="0.3">
      <c r="A78" s="38"/>
      <c r="B78" s="39"/>
      <c r="C78" s="46"/>
      <c r="D78" s="47"/>
      <c r="E78" s="7" t="s">
        <v>11</v>
      </c>
      <c r="F78" s="94">
        <f>76/94</f>
        <v>0.80851063829787229</v>
      </c>
    </row>
    <row r="79" spans="1:6" x14ac:dyDescent="0.3">
      <c r="A79" s="38"/>
      <c r="B79" s="39"/>
      <c r="C79" s="46"/>
      <c r="D79" s="47"/>
      <c r="E79" s="7" t="s">
        <v>12</v>
      </c>
      <c r="F79" s="94">
        <f>76/94</f>
        <v>0.80851063829787229</v>
      </c>
    </row>
    <row r="80" spans="1:6" x14ac:dyDescent="0.3">
      <c r="A80" s="38"/>
      <c r="B80" s="39"/>
      <c r="C80" s="46"/>
      <c r="D80" s="47"/>
      <c r="E80" s="7" t="s">
        <v>13</v>
      </c>
      <c r="F80" s="94">
        <f>76/94</f>
        <v>0.80851063829787229</v>
      </c>
    </row>
    <row r="81" spans="1:7" x14ac:dyDescent="0.3">
      <c r="A81" s="38"/>
      <c r="B81" s="39"/>
      <c r="C81" s="46"/>
      <c r="D81" s="47"/>
      <c r="E81" s="7" t="s">
        <v>14</v>
      </c>
      <c r="F81" s="94">
        <f>75/94</f>
        <v>0.7978723404255319</v>
      </c>
    </row>
    <row r="82" spans="1:7" x14ac:dyDescent="0.3">
      <c r="A82" s="38"/>
      <c r="B82" s="39"/>
      <c r="C82" s="46"/>
      <c r="D82" s="47"/>
      <c r="E82" s="7" t="s">
        <v>15</v>
      </c>
      <c r="F82" s="100">
        <f>71/73.5</f>
        <v>0.96598639455782309</v>
      </c>
      <c r="G82" s="1" t="s">
        <v>127</v>
      </c>
    </row>
    <row r="83" spans="1:7" x14ac:dyDescent="0.3">
      <c r="A83" s="38"/>
      <c r="B83" s="39"/>
      <c r="C83" s="46"/>
      <c r="D83" s="47"/>
      <c r="E83" s="7" t="s">
        <v>16</v>
      </c>
      <c r="F83" s="100">
        <f>70/73.5</f>
        <v>0.95238095238095233</v>
      </c>
    </row>
    <row r="84" spans="1:7" x14ac:dyDescent="0.3">
      <c r="A84" s="38"/>
      <c r="B84" s="39"/>
      <c r="C84" s="46"/>
      <c r="D84" s="47"/>
      <c r="E84" s="6" t="s">
        <v>17</v>
      </c>
      <c r="F84" s="9"/>
    </row>
    <row r="85" spans="1:7" x14ac:dyDescent="0.3">
      <c r="A85" s="38"/>
      <c r="B85" s="39"/>
      <c r="C85" s="46"/>
      <c r="D85" s="47"/>
      <c r="E85" s="7" t="s">
        <v>8</v>
      </c>
      <c r="F85" s="9"/>
    </row>
    <row r="86" spans="1:7" x14ac:dyDescent="0.3">
      <c r="A86" s="38"/>
      <c r="B86" s="39"/>
      <c r="C86" s="46"/>
      <c r="D86" s="47"/>
      <c r="E86" s="7" t="s">
        <v>18</v>
      </c>
      <c r="F86" s="9"/>
    </row>
    <row r="87" spans="1:7" x14ac:dyDescent="0.3">
      <c r="A87" s="40"/>
      <c r="B87" s="41"/>
      <c r="C87" s="48"/>
      <c r="D87" s="49"/>
      <c r="E87" s="10" t="s">
        <v>19</v>
      </c>
      <c r="F87" s="101"/>
    </row>
  </sheetData>
  <mergeCells count="27">
    <mergeCell ref="D45:D56"/>
    <mergeCell ref="E4:F4"/>
    <mergeCell ref="A2:B2"/>
    <mergeCell ref="A6:B17"/>
    <mergeCell ref="A19:B30"/>
    <mergeCell ref="C19:C30"/>
    <mergeCell ref="D19:D30"/>
    <mergeCell ref="C6:C17"/>
    <mergeCell ref="D6:D17"/>
    <mergeCell ref="A4:B4"/>
    <mergeCell ref="C4:D4"/>
    <mergeCell ref="A1:F1"/>
    <mergeCell ref="E71:F74"/>
    <mergeCell ref="A76:B87"/>
    <mergeCell ref="C75:D75"/>
    <mergeCell ref="C76:D87"/>
    <mergeCell ref="A75:B75"/>
    <mergeCell ref="A58:B69"/>
    <mergeCell ref="C58:C69"/>
    <mergeCell ref="D58:D69"/>
    <mergeCell ref="A71:B74"/>
    <mergeCell ref="C71:D74"/>
    <mergeCell ref="A32:B43"/>
    <mergeCell ref="C32:C43"/>
    <mergeCell ref="D32:D43"/>
    <mergeCell ref="A45:B56"/>
    <mergeCell ref="C45:C56"/>
  </mergeCells>
  <hyperlinks>
    <hyperlink ref="C2" r:id="rId1" xr:uid="{E3590474-CB78-4131-87A0-A58355766DF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D4B11-6DC1-4B59-A4BA-1042719253D0}">
  <dimension ref="A1:C13"/>
  <sheetViews>
    <sheetView workbookViewId="0">
      <selection activeCell="A8" sqref="A8"/>
    </sheetView>
  </sheetViews>
  <sheetFormatPr defaultRowHeight="15" x14ac:dyDescent="0.25"/>
  <cols>
    <col min="1" max="1" width="49" style="28" customWidth="1"/>
    <col min="2" max="2" width="12.85546875" customWidth="1"/>
    <col min="3" max="3" width="14" bestFit="1" customWidth="1"/>
  </cols>
  <sheetData>
    <row r="1" spans="1:3" ht="15.75" x14ac:dyDescent="0.25">
      <c r="A1" s="23" t="s">
        <v>50</v>
      </c>
      <c r="B1" s="14" t="s">
        <v>51</v>
      </c>
      <c r="C1" s="14" t="s">
        <v>52</v>
      </c>
    </row>
    <row r="2" spans="1:3" x14ac:dyDescent="0.25">
      <c r="A2" s="26" t="s">
        <v>54</v>
      </c>
      <c r="B2" s="19">
        <v>44470</v>
      </c>
      <c r="C2" s="16" t="s">
        <v>44</v>
      </c>
    </row>
    <row r="3" spans="1:3" x14ac:dyDescent="0.25">
      <c r="A3" s="27" t="s">
        <v>55</v>
      </c>
      <c r="B3" s="20">
        <v>44484</v>
      </c>
      <c r="C3" s="16" t="s">
        <v>44</v>
      </c>
    </row>
    <row r="4" spans="1:3" x14ac:dyDescent="0.25">
      <c r="A4" s="27" t="s">
        <v>56</v>
      </c>
      <c r="B4" s="20">
        <v>44494</v>
      </c>
      <c r="C4" s="16" t="s">
        <v>44</v>
      </c>
    </row>
    <row r="5" spans="1:3" x14ac:dyDescent="0.25">
      <c r="A5" s="25" t="s">
        <v>57</v>
      </c>
      <c r="B5" s="17">
        <v>44211</v>
      </c>
      <c r="C5" s="18" t="s">
        <v>53</v>
      </c>
    </row>
    <row r="6" spans="1:3" x14ac:dyDescent="0.25">
      <c r="A6" s="73" t="s">
        <v>58</v>
      </c>
      <c r="B6" s="74"/>
      <c r="C6" s="75"/>
    </row>
    <row r="7" spans="1:3" x14ac:dyDescent="0.25">
      <c r="A7" s="24" t="s">
        <v>59</v>
      </c>
      <c r="B7" s="15">
        <v>44256</v>
      </c>
      <c r="C7" s="16" t="s">
        <v>44</v>
      </c>
    </row>
    <row r="8" spans="1:3" x14ac:dyDescent="0.25">
      <c r="A8" s="27" t="s">
        <v>60</v>
      </c>
      <c r="B8" s="22">
        <v>44301</v>
      </c>
      <c r="C8" s="21" t="s">
        <v>53</v>
      </c>
    </row>
    <row r="9" spans="1:3" x14ac:dyDescent="0.25">
      <c r="A9" s="25" t="s">
        <v>61</v>
      </c>
      <c r="B9" s="17">
        <v>44387</v>
      </c>
      <c r="C9" s="17">
        <v>44387</v>
      </c>
    </row>
    <row r="10" spans="1:3" x14ac:dyDescent="0.25">
      <c r="A10" s="25" t="s">
        <v>62</v>
      </c>
      <c r="B10" s="17">
        <v>44387</v>
      </c>
      <c r="C10" s="17">
        <v>44387</v>
      </c>
    </row>
    <row r="11" spans="1:3" x14ac:dyDescent="0.25">
      <c r="A11" s="25" t="s">
        <v>63</v>
      </c>
      <c r="B11" s="17">
        <v>44392</v>
      </c>
      <c r="C11" s="17">
        <v>44392</v>
      </c>
    </row>
    <row r="12" spans="1:3" x14ac:dyDescent="0.25">
      <c r="A12" s="27" t="s">
        <v>64</v>
      </c>
      <c r="B12" s="22">
        <v>44423</v>
      </c>
      <c r="C12" s="22">
        <v>44423</v>
      </c>
    </row>
    <row r="13" spans="1:3" x14ac:dyDescent="0.25">
      <c r="A13" s="27" t="s">
        <v>65</v>
      </c>
      <c r="B13" s="22">
        <v>44423</v>
      </c>
      <c r="C13" s="22">
        <v>44423</v>
      </c>
    </row>
  </sheetData>
  <mergeCells count="1">
    <mergeCell ref="A6:C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EDA6C-F2DA-491E-A44D-407757EF3680}">
  <dimension ref="A1:H56"/>
  <sheetViews>
    <sheetView topLeftCell="A13" workbookViewId="0">
      <selection activeCell="F18" sqref="F18"/>
    </sheetView>
  </sheetViews>
  <sheetFormatPr defaultRowHeight="15" x14ac:dyDescent="0.25"/>
  <cols>
    <col min="1" max="1" width="44.7109375" style="76" customWidth="1"/>
    <col min="2" max="2" width="12" style="76" customWidth="1"/>
    <col min="3" max="4" width="10.28515625" style="76" customWidth="1"/>
    <col min="5" max="5" width="12" style="76" customWidth="1"/>
    <col min="6" max="8" width="10.28515625" style="76" customWidth="1"/>
    <col min="9" max="16384" width="9.140625" style="76"/>
  </cols>
  <sheetData>
    <row r="1" spans="1:8" ht="18" x14ac:dyDescent="0.25">
      <c r="A1" s="86" t="s">
        <v>123</v>
      </c>
      <c r="B1" s="77"/>
      <c r="C1" s="77"/>
      <c r="D1" s="77"/>
      <c r="E1" s="77"/>
      <c r="F1" s="77"/>
      <c r="G1" s="77"/>
      <c r="H1" s="77"/>
    </row>
    <row r="2" spans="1:8" ht="18" x14ac:dyDescent="0.25">
      <c r="A2" s="86" t="s">
        <v>122</v>
      </c>
      <c r="B2" s="77"/>
      <c r="C2" s="77"/>
      <c r="D2" s="77"/>
      <c r="E2" s="77"/>
      <c r="F2" s="77"/>
      <c r="G2" s="77"/>
      <c r="H2" s="77"/>
    </row>
    <row r="3" spans="1:8" x14ac:dyDescent="0.25">
      <c r="A3" s="85" t="s">
        <v>121</v>
      </c>
      <c r="B3" s="77"/>
      <c r="C3" s="77"/>
      <c r="D3" s="77"/>
      <c r="E3" s="77"/>
      <c r="F3" s="77"/>
      <c r="G3" s="77"/>
      <c r="H3" s="77"/>
    </row>
    <row r="5" spans="1:8" x14ac:dyDescent="0.25">
      <c r="A5" s="84"/>
      <c r="B5" s="83" t="s">
        <v>120</v>
      </c>
      <c r="C5" s="83" t="s">
        <v>119</v>
      </c>
      <c r="D5" s="83" t="s">
        <v>118</v>
      </c>
      <c r="E5" s="83" t="s">
        <v>117</v>
      </c>
      <c r="F5" s="83" t="s">
        <v>116</v>
      </c>
      <c r="G5" s="83" t="s">
        <v>115</v>
      </c>
      <c r="H5" s="83" t="s">
        <v>114</v>
      </c>
    </row>
    <row r="6" spans="1:8" x14ac:dyDescent="0.25">
      <c r="A6" s="80" t="s">
        <v>113</v>
      </c>
      <c r="B6" s="79"/>
      <c r="C6" s="79"/>
      <c r="D6" s="79"/>
      <c r="E6" s="79"/>
      <c r="F6" s="79"/>
      <c r="G6" s="79"/>
      <c r="H6" s="79"/>
    </row>
    <row r="7" spans="1:8" x14ac:dyDescent="0.25">
      <c r="A7" s="80" t="s">
        <v>112</v>
      </c>
      <c r="B7" s="79"/>
      <c r="C7" s="79"/>
      <c r="D7" s="79"/>
      <c r="E7" s="79"/>
      <c r="F7" s="79"/>
      <c r="G7" s="79"/>
      <c r="H7" s="79"/>
    </row>
    <row r="8" spans="1:8" x14ac:dyDescent="0.25">
      <c r="A8" s="80" t="s">
        <v>111</v>
      </c>
      <c r="B8" s="79"/>
      <c r="C8" s="79"/>
      <c r="D8" s="79"/>
      <c r="E8" s="79"/>
      <c r="F8" s="79"/>
      <c r="G8" s="79"/>
      <c r="H8" s="79"/>
    </row>
    <row r="9" spans="1:8" x14ac:dyDescent="0.25">
      <c r="A9" s="80" t="s">
        <v>110</v>
      </c>
      <c r="B9" s="82">
        <f>307300.6</f>
        <v>307300.59999999998</v>
      </c>
      <c r="C9" s="82">
        <f>195897.68</f>
        <v>195897.68</v>
      </c>
      <c r="D9" s="82">
        <f>151241.51</f>
        <v>151241.51</v>
      </c>
      <c r="E9" s="82">
        <f>222955.06</f>
        <v>222955.06</v>
      </c>
      <c r="F9" s="82">
        <f>126588.77</f>
        <v>126588.77</v>
      </c>
      <c r="G9" s="82">
        <f>204256.84</f>
        <v>204256.84</v>
      </c>
      <c r="H9" s="82">
        <f>152461.9</f>
        <v>152461.9</v>
      </c>
    </row>
    <row r="10" spans="1:8" x14ac:dyDescent="0.25">
      <c r="A10" s="80" t="s">
        <v>109</v>
      </c>
      <c r="B10" s="82">
        <f>1866.93</f>
        <v>1866.93</v>
      </c>
      <c r="C10" s="82">
        <f>1863.93</f>
        <v>1863.93</v>
      </c>
      <c r="D10" s="82">
        <f>1238.38</f>
        <v>1238.3800000000001</v>
      </c>
      <c r="E10" s="82">
        <f>1235.38</f>
        <v>1235.3800000000001</v>
      </c>
      <c r="F10" s="82">
        <f>1232.38</f>
        <v>1232.3800000000001</v>
      </c>
      <c r="G10" s="82">
        <f>1229.38</f>
        <v>1229.3800000000001</v>
      </c>
      <c r="H10" s="82">
        <f>1226.38</f>
        <v>1226.3800000000001</v>
      </c>
    </row>
    <row r="11" spans="1:8" x14ac:dyDescent="0.25">
      <c r="A11" s="80" t="s">
        <v>108</v>
      </c>
      <c r="B11" s="82">
        <f>1095.32</f>
        <v>1095.32</v>
      </c>
      <c r="C11" s="82">
        <f>1095.34</f>
        <v>1095.3399999999999</v>
      </c>
      <c r="D11" s="82">
        <f>1095.36</f>
        <v>1095.3599999999999</v>
      </c>
      <c r="E11" s="82">
        <f>1095.38</f>
        <v>1095.3800000000001</v>
      </c>
      <c r="F11" s="82">
        <f>1095.4</f>
        <v>1095.4000000000001</v>
      </c>
      <c r="G11" s="82">
        <f>1095.42</f>
        <v>1095.42</v>
      </c>
      <c r="H11" s="82">
        <f>1095.43</f>
        <v>1095.43</v>
      </c>
    </row>
    <row r="12" spans="1:8" x14ac:dyDescent="0.25">
      <c r="A12" s="80" t="s">
        <v>107</v>
      </c>
      <c r="B12" s="81">
        <f>((B9)+(B10))+(B11)</f>
        <v>310262.84999999998</v>
      </c>
      <c r="C12" s="81">
        <f>((C9)+(C10))+(C11)</f>
        <v>198856.94999999998</v>
      </c>
      <c r="D12" s="81">
        <f>((D9)+(D10))+(D11)</f>
        <v>153575.25</v>
      </c>
      <c r="E12" s="81">
        <f>((E9)+(E10))+(E11)</f>
        <v>225285.82</v>
      </c>
      <c r="F12" s="81">
        <f>((F9)+(F10))+(F11)</f>
        <v>128916.55</v>
      </c>
      <c r="G12" s="81">
        <f>((G9)+(G10))+(G11)</f>
        <v>206581.64</v>
      </c>
      <c r="H12" s="81">
        <f>((H9)+(H10))+(H11)</f>
        <v>154783.71</v>
      </c>
    </row>
    <row r="13" spans="1:8" x14ac:dyDescent="0.25">
      <c r="A13" s="80" t="s">
        <v>106</v>
      </c>
      <c r="B13" s="79"/>
      <c r="C13" s="79"/>
      <c r="D13" s="79"/>
      <c r="E13" s="79"/>
      <c r="F13" s="79"/>
      <c r="G13" s="79"/>
      <c r="H13" s="79"/>
    </row>
    <row r="14" spans="1:8" x14ac:dyDescent="0.25">
      <c r="A14" s="80" t="s">
        <v>105</v>
      </c>
      <c r="B14" s="82">
        <f>219601.56</f>
        <v>219601.56</v>
      </c>
      <c r="C14" s="82">
        <f>204343.68</f>
        <v>204343.67999999999</v>
      </c>
      <c r="D14" s="82">
        <f>201384.36</f>
        <v>201384.36</v>
      </c>
      <c r="E14" s="82">
        <f>262031.9</f>
        <v>262031.9</v>
      </c>
      <c r="F14" s="82">
        <f>219082.95</f>
        <v>219082.95</v>
      </c>
      <c r="G14" s="82">
        <f>169059.68</f>
        <v>169059.68</v>
      </c>
      <c r="H14" s="82">
        <f>166026.22</f>
        <v>166026.22</v>
      </c>
    </row>
    <row r="15" spans="1:8" x14ac:dyDescent="0.25">
      <c r="A15" s="80" t="s">
        <v>104</v>
      </c>
      <c r="B15" s="81">
        <f>B14</f>
        <v>219601.56</v>
      </c>
      <c r="C15" s="81">
        <f>C14</f>
        <v>204343.67999999999</v>
      </c>
      <c r="D15" s="81">
        <f>D14</f>
        <v>201384.36</v>
      </c>
      <c r="E15" s="81">
        <f>E14</f>
        <v>262031.9</v>
      </c>
      <c r="F15" s="81">
        <f>F14</f>
        <v>219082.95</v>
      </c>
      <c r="G15" s="81">
        <f>G14</f>
        <v>169059.68</v>
      </c>
      <c r="H15" s="81">
        <f>H14</f>
        <v>166026.22</v>
      </c>
    </row>
    <row r="16" spans="1:8" x14ac:dyDescent="0.25">
      <c r="A16" s="80" t="s">
        <v>103</v>
      </c>
      <c r="B16" s="79"/>
      <c r="C16" s="79"/>
      <c r="D16" s="79"/>
      <c r="E16" s="79"/>
      <c r="F16" s="79"/>
      <c r="G16" s="79"/>
      <c r="H16" s="79"/>
    </row>
    <row r="17" spans="1:8" x14ac:dyDescent="0.25">
      <c r="A17" s="80" t="s">
        <v>102</v>
      </c>
      <c r="B17" s="82">
        <f>18803.69</f>
        <v>18803.689999999999</v>
      </c>
      <c r="C17" s="82">
        <f>16764.63</f>
        <v>16764.63</v>
      </c>
      <c r="D17" s="82">
        <f>14725.57</f>
        <v>14725.57</v>
      </c>
      <c r="E17" s="82">
        <f>12686.51</f>
        <v>12686.51</v>
      </c>
      <c r="F17" s="82">
        <f>10192.14</f>
        <v>10192.14</v>
      </c>
      <c r="G17" s="82">
        <f>8160.2</f>
        <v>8160.2</v>
      </c>
      <c r="H17" s="82">
        <f>6128.34</f>
        <v>6128.34</v>
      </c>
    </row>
    <row r="18" spans="1:8" x14ac:dyDescent="0.25">
      <c r="A18" s="80" t="s">
        <v>101</v>
      </c>
      <c r="B18" s="81">
        <f>B17</f>
        <v>18803.689999999999</v>
      </c>
      <c r="C18" s="81">
        <f>C17</f>
        <v>16764.63</v>
      </c>
      <c r="D18" s="81">
        <f>D17</f>
        <v>14725.57</v>
      </c>
      <c r="E18" s="81">
        <f>E17</f>
        <v>12686.51</v>
      </c>
      <c r="F18" s="81">
        <f>F17</f>
        <v>10192.14</v>
      </c>
      <c r="G18" s="81">
        <f>G17</f>
        <v>8160.2</v>
      </c>
      <c r="H18" s="81">
        <f>H17</f>
        <v>6128.34</v>
      </c>
    </row>
    <row r="19" spans="1:8" x14ac:dyDescent="0.25">
      <c r="A19" s="80" t="s">
        <v>100</v>
      </c>
      <c r="B19" s="81">
        <f>((B12)+(B15))+(B18)</f>
        <v>548668.09999999986</v>
      </c>
      <c r="C19" s="81">
        <f>((C12)+(C15))+(C18)</f>
        <v>419965.26</v>
      </c>
      <c r="D19" s="81">
        <f>((D12)+(D15))+(D18)</f>
        <v>369685.18</v>
      </c>
      <c r="E19" s="81">
        <f>((E12)+(E15))+(E18)</f>
        <v>500004.23</v>
      </c>
      <c r="F19" s="81">
        <f>((F12)+(F15))+(F18)</f>
        <v>358191.64</v>
      </c>
      <c r="G19" s="81">
        <f>((G12)+(G15))+(G18)</f>
        <v>383801.52</v>
      </c>
      <c r="H19" s="81">
        <f>((H12)+(H15))+(H18)</f>
        <v>326938.27</v>
      </c>
    </row>
    <row r="20" spans="1:8" x14ac:dyDescent="0.25">
      <c r="A20" s="80" t="s">
        <v>99</v>
      </c>
      <c r="B20" s="79"/>
      <c r="C20" s="79"/>
      <c r="D20" s="79"/>
      <c r="E20" s="79"/>
      <c r="F20" s="79"/>
      <c r="G20" s="79"/>
      <c r="H20" s="79"/>
    </row>
    <row r="21" spans="1:8" x14ac:dyDescent="0.25">
      <c r="A21" s="80" t="s">
        <v>98</v>
      </c>
      <c r="B21" s="82">
        <f>41233</f>
        <v>41233</v>
      </c>
      <c r="C21" s="82">
        <f>B21</f>
        <v>41233</v>
      </c>
      <c r="D21" s="82">
        <f>C21</f>
        <v>41233</v>
      </c>
      <c r="E21" s="82">
        <f>46770.36</f>
        <v>46770.36</v>
      </c>
      <c r="F21" s="82">
        <f>E21</f>
        <v>46770.36</v>
      </c>
      <c r="G21" s="82">
        <f>F21</f>
        <v>46770.36</v>
      </c>
      <c r="H21" s="82">
        <f>G21</f>
        <v>46770.36</v>
      </c>
    </row>
    <row r="22" spans="1:8" x14ac:dyDescent="0.25">
      <c r="A22" s="80" t="s">
        <v>97</v>
      </c>
      <c r="B22" s="82">
        <f>384664.11</f>
        <v>384664.11</v>
      </c>
      <c r="C22" s="82">
        <f>B22</f>
        <v>384664.11</v>
      </c>
      <c r="D22" s="82">
        <f>C22</f>
        <v>384664.11</v>
      </c>
      <c r="E22" s="82">
        <f>391802.62</f>
        <v>391802.62</v>
      </c>
      <c r="F22" s="82">
        <f>E22</f>
        <v>391802.62</v>
      </c>
      <c r="G22" s="82">
        <f>F22</f>
        <v>391802.62</v>
      </c>
      <c r="H22" s="82">
        <f>G22</f>
        <v>391802.62</v>
      </c>
    </row>
    <row r="23" spans="1:8" x14ac:dyDescent="0.25">
      <c r="A23" s="80" t="s">
        <v>96</v>
      </c>
      <c r="B23" s="82">
        <f>68838.42</f>
        <v>68838.42</v>
      </c>
      <c r="C23" s="82">
        <f>B23</f>
        <v>68838.42</v>
      </c>
      <c r="D23" s="82">
        <f>C23</f>
        <v>68838.42</v>
      </c>
      <c r="E23" s="82">
        <f>D23</f>
        <v>68838.42</v>
      </c>
      <c r="F23" s="82">
        <f>E23</f>
        <v>68838.42</v>
      </c>
      <c r="G23" s="82">
        <f>F23</f>
        <v>68838.42</v>
      </c>
      <c r="H23" s="82">
        <f>G23</f>
        <v>68838.42</v>
      </c>
    </row>
    <row r="24" spans="1:8" x14ac:dyDescent="0.25">
      <c r="A24" s="80" t="s">
        <v>95</v>
      </c>
      <c r="B24" s="82">
        <f>9175.94</f>
        <v>9175.94</v>
      </c>
      <c r="C24" s="82">
        <f>B24</f>
        <v>9175.94</v>
      </c>
      <c r="D24" s="82">
        <f>95707.81</f>
        <v>95707.81</v>
      </c>
      <c r="E24" s="82">
        <f>D24</f>
        <v>95707.81</v>
      </c>
      <c r="F24" s="82">
        <f>95705.81</f>
        <v>95705.81</v>
      </c>
      <c r="G24" s="82">
        <f>F24</f>
        <v>95705.81</v>
      </c>
      <c r="H24" s="82">
        <f>G24</f>
        <v>95705.81</v>
      </c>
    </row>
    <row r="25" spans="1:8" x14ac:dyDescent="0.25">
      <c r="A25" s="80" t="s">
        <v>94</v>
      </c>
      <c r="B25" s="81">
        <f>(((B21)+(B22))+(B23))+(B24)</f>
        <v>503911.47</v>
      </c>
      <c r="C25" s="81">
        <f>(((C21)+(C22))+(C23))+(C24)</f>
        <v>503911.47</v>
      </c>
      <c r="D25" s="81">
        <f>(((D21)+(D22))+(D23))+(D24)</f>
        <v>590443.34</v>
      </c>
      <c r="E25" s="81">
        <f>(((E21)+(E22))+(E23))+(E24)</f>
        <v>603119.21</v>
      </c>
      <c r="F25" s="81">
        <f>(((F21)+(F22))+(F23))+(F24)</f>
        <v>603117.21</v>
      </c>
      <c r="G25" s="81">
        <f>(((G21)+(G22))+(G23))+(G24)</f>
        <v>603117.21</v>
      </c>
      <c r="H25" s="81">
        <f>(((H21)+(H22))+(H23))+(H24)</f>
        <v>603117.21</v>
      </c>
    </row>
    <row r="26" spans="1:8" x14ac:dyDescent="0.25">
      <c r="A26" s="80" t="s">
        <v>93</v>
      </c>
      <c r="B26" s="81">
        <f>(B19)+(B25)</f>
        <v>1052579.5699999998</v>
      </c>
      <c r="C26" s="81">
        <f>(C19)+(C25)</f>
        <v>923876.73</v>
      </c>
      <c r="D26" s="81">
        <f>(D19)+(D25)</f>
        <v>960128.52</v>
      </c>
      <c r="E26" s="81">
        <f>(E19)+(E25)</f>
        <v>1103123.44</v>
      </c>
      <c r="F26" s="81">
        <f>(F19)+(F25)</f>
        <v>961308.85</v>
      </c>
      <c r="G26" s="81">
        <f>(G19)+(G25)</f>
        <v>986918.73</v>
      </c>
      <c r="H26" s="81">
        <f>(H19)+(H25)</f>
        <v>930055.48</v>
      </c>
    </row>
    <row r="27" spans="1:8" x14ac:dyDescent="0.25">
      <c r="A27" s="80" t="s">
        <v>92</v>
      </c>
      <c r="B27" s="79"/>
      <c r="C27" s="79"/>
      <c r="D27" s="79"/>
      <c r="E27" s="79"/>
      <c r="F27" s="79"/>
      <c r="G27" s="79"/>
      <c r="H27" s="79"/>
    </row>
    <row r="28" spans="1:8" x14ac:dyDescent="0.25">
      <c r="A28" s="80" t="s">
        <v>91</v>
      </c>
      <c r="B28" s="79"/>
      <c r="C28" s="79"/>
      <c r="D28" s="79"/>
      <c r="E28" s="79"/>
      <c r="F28" s="79"/>
      <c r="G28" s="79"/>
      <c r="H28" s="79"/>
    </row>
    <row r="29" spans="1:8" x14ac:dyDescent="0.25">
      <c r="A29" s="80" t="s">
        <v>90</v>
      </c>
      <c r="B29" s="79"/>
      <c r="C29" s="79"/>
      <c r="D29" s="79"/>
      <c r="E29" s="79"/>
      <c r="F29" s="79"/>
      <c r="G29" s="79"/>
      <c r="H29" s="79"/>
    </row>
    <row r="30" spans="1:8" x14ac:dyDescent="0.25">
      <c r="A30" s="80" t="s">
        <v>89</v>
      </c>
      <c r="B30" s="79"/>
      <c r="C30" s="79"/>
      <c r="D30" s="79"/>
      <c r="E30" s="79"/>
      <c r="F30" s="79"/>
      <c r="G30" s="79"/>
      <c r="H30" s="79"/>
    </row>
    <row r="31" spans="1:8" x14ac:dyDescent="0.25">
      <c r="A31" s="80" t="s">
        <v>88</v>
      </c>
      <c r="B31" s="82">
        <f>122602.16</f>
        <v>122602.16</v>
      </c>
      <c r="C31" s="82">
        <f>20670.63</f>
        <v>20670.63</v>
      </c>
      <c r="D31" s="82">
        <f>18727.11</f>
        <v>18727.11</v>
      </c>
      <c r="E31" s="82">
        <f>2858.82</f>
        <v>2858.82</v>
      </c>
      <c r="F31" s="82">
        <f>13881.76</f>
        <v>13881.76</v>
      </c>
      <c r="G31" s="82">
        <f>37580.44</f>
        <v>37580.44</v>
      </c>
      <c r="H31" s="82">
        <f>15717.4</f>
        <v>15717.4</v>
      </c>
    </row>
    <row r="32" spans="1:8" x14ac:dyDescent="0.25">
      <c r="A32" s="80" t="s">
        <v>87</v>
      </c>
      <c r="B32" s="81">
        <f>B31</f>
        <v>122602.16</v>
      </c>
      <c r="C32" s="81">
        <f>C31</f>
        <v>20670.63</v>
      </c>
      <c r="D32" s="81">
        <f>D31</f>
        <v>18727.11</v>
      </c>
      <c r="E32" s="81">
        <f>E31</f>
        <v>2858.82</v>
      </c>
      <c r="F32" s="81">
        <f>F31</f>
        <v>13881.76</v>
      </c>
      <c r="G32" s="81">
        <f>G31</f>
        <v>37580.44</v>
      </c>
      <c r="H32" s="81">
        <f>H31</f>
        <v>15717.4</v>
      </c>
    </row>
    <row r="33" spans="1:8" x14ac:dyDescent="0.25">
      <c r="A33" s="80" t="s">
        <v>86</v>
      </c>
      <c r="B33" s="79"/>
      <c r="C33" s="79"/>
      <c r="D33" s="79"/>
      <c r="E33" s="79"/>
      <c r="F33" s="79"/>
      <c r="G33" s="79"/>
      <c r="H33" s="79"/>
    </row>
    <row r="34" spans="1:8" x14ac:dyDescent="0.25">
      <c r="A34" s="80" t="s">
        <v>85</v>
      </c>
      <c r="B34" s="82">
        <f>39331.31</f>
        <v>39331.31</v>
      </c>
      <c r="C34" s="82">
        <f>37886.27</f>
        <v>37886.269999999997</v>
      </c>
      <c r="D34" s="82">
        <f>41292.16</f>
        <v>41292.160000000003</v>
      </c>
      <c r="E34" s="82">
        <f>34522.52</f>
        <v>34522.519999999997</v>
      </c>
      <c r="F34" s="82">
        <f>37091.25</f>
        <v>37091.25</v>
      </c>
      <c r="G34" s="82">
        <f>34476.24</f>
        <v>34476.239999999998</v>
      </c>
      <c r="H34" s="82">
        <f>38390.4</f>
        <v>38390.400000000001</v>
      </c>
    </row>
    <row r="35" spans="1:8" x14ac:dyDescent="0.25">
      <c r="A35" s="80" t="s">
        <v>84</v>
      </c>
      <c r="B35" s="82">
        <f>12120.07</f>
        <v>12120.07</v>
      </c>
      <c r="C35" s="82">
        <f>11611.55</f>
        <v>11611.55</v>
      </c>
      <c r="D35" s="82">
        <f>22553.67</f>
        <v>22553.67</v>
      </c>
      <c r="E35" s="82">
        <f>11515.56</f>
        <v>11515.56</v>
      </c>
      <c r="F35" s="82">
        <f>9360.3</f>
        <v>9360.2999999999993</v>
      </c>
      <c r="G35" s="82">
        <f>9270.21</f>
        <v>9270.2099999999991</v>
      </c>
      <c r="H35" s="82">
        <f>9532.88</f>
        <v>9532.8799999999992</v>
      </c>
    </row>
    <row r="36" spans="1:8" x14ac:dyDescent="0.25">
      <c r="A36" s="80" t="s">
        <v>83</v>
      </c>
      <c r="B36" s="82">
        <f>-21037</f>
        <v>-21037</v>
      </c>
      <c r="C36" s="82">
        <f>-14166</f>
        <v>-14166</v>
      </c>
      <c r="D36" s="82">
        <f>-18795.5</f>
        <v>-18795.5</v>
      </c>
      <c r="E36" s="82">
        <f>-19969</f>
        <v>-19969</v>
      </c>
      <c r="F36" s="82">
        <f>-20205.5</f>
        <v>-20205.5</v>
      </c>
      <c r="G36" s="82">
        <f>-21389</f>
        <v>-21389</v>
      </c>
      <c r="H36" s="82">
        <f>-17811</f>
        <v>-17811</v>
      </c>
    </row>
    <row r="37" spans="1:8" x14ac:dyDescent="0.25">
      <c r="A37" s="80" t="s">
        <v>82</v>
      </c>
      <c r="B37" s="79"/>
      <c r="C37" s="82">
        <f>160</f>
        <v>160</v>
      </c>
      <c r="D37" s="82">
        <f>160</f>
        <v>160</v>
      </c>
      <c r="E37" s="82">
        <f>0</f>
        <v>0</v>
      </c>
      <c r="F37" s="82">
        <f>E37</f>
        <v>0</v>
      </c>
      <c r="G37" s="82">
        <f>F37</f>
        <v>0</v>
      </c>
      <c r="H37" s="82">
        <f>G37</f>
        <v>0</v>
      </c>
    </row>
    <row r="38" spans="1:8" x14ac:dyDescent="0.25">
      <c r="A38" s="80" t="s">
        <v>81</v>
      </c>
      <c r="B38" s="82">
        <f>44.67</f>
        <v>44.67</v>
      </c>
      <c r="C38" s="82">
        <f>134.01</f>
        <v>134.01</v>
      </c>
      <c r="D38" s="82">
        <f>223.35</f>
        <v>223.35</v>
      </c>
      <c r="E38" s="82">
        <f>316.11</f>
        <v>316.11</v>
      </c>
      <c r="F38" s="82">
        <f>0</f>
        <v>0</v>
      </c>
      <c r="G38" s="82">
        <f>0</f>
        <v>0</v>
      </c>
      <c r="H38" s="82">
        <f>118.74</f>
        <v>118.74</v>
      </c>
    </row>
    <row r="39" spans="1:8" x14ac:dyDescent="0.25">
      <c r="A39" s="80" t="s">
        <v>80</v>
      </c>
      <c r="B39" s="82">
        <f>7354.17</f>
        <v>7354.17</v>
      </c>
      <c r="C39" s="82">
        <f>7340.79</f>
        <v>7340.79</v>
      </c>
      <c r="D39" s="82">
        <f>C39</f>
        <v>7340.79</v>
      </c>
      <c r="E39" s="82">
        <f>8234.82</f>
        <v>8234.82</v>
      </c>
      <c r="F39" s="82">
        <f>8527.69</f>
        <v>8527.69</v>
      </c>
      <c r="G39" s="82">
        <f>8620.22</f>
        <v>8620.2199999999993</v>
      </c>
      <c r="H39" s="82">
        <f>420</f>
        <v>420</v>
      </c>
    </row>
    <row r="40" spans="1:8" x14ac:dyDescent="0.25">
      <c r="A40" s="80" t="s">
        <v>79</v>
      </c>
      <c r="B40" s="82">
        <f>61794.74</f>
        <v>61794.74</v>
      </c>
      <c r="C40" s="82">
        <f>62155.34</f>
        <v>62155.34</v>
      </c>
      <c r="D40" s="82">
        <f>62530.13</f>
        <v>62530.13</v>
      </c>
      <c r="E40" s="82">
        <f>62894.93</f>
        <v>62894.93</v>
      </c>
      <c r="F40" s="82">
        <f>0</f>
        <v>0</v>
      </c>
      <c r="G40" s="82">
        <f>F40</f>
        <v>0</v>
      </c>
      <c r="H40" s="82">
        <f>G40</f>
        <v>0</v>
      </c>
    </row>
    <row r="41" spans="1:8" x14ac:dyDescent="0.25">
      <c r="A41" s="80" t="s">
        <v>78</v>
      </c>
      <c r="B41" s="81">
        <f>((((((B34)+(B35))+(B36))+(B37))+(B38))+(B39))+(B40)</f>
        <v>99607.959999999992</v>
      </c>
      <c r="C41" s="81">
        <f>((((((C34)+(C35))+(C36))+(C37))+(C38))+(C39))+(C40)</f>
        <v>105121.95999999999</v>
      </c>
      <c r="D41" s="81">
        <f>((((((D34)+(D35))+(D36))+(D37))+(D38))+(D39))+(D40)</f>
        <v>115304.6</v>
      </c>
      <c r="E41" s="81">
        <f>((((((E34)+(E35))+(E36))+(E37))+(E38))+(E39))+(E40)</f>
        <v>97514.94</v>
      </c>
      <c r="F41" s="81">
        <f>((((((F34)+(F35))+(F36))+(F37))+(F38))+(F39))+(F40)</f>
        <v>34773.740000000005</v>
      </c>
      <c r="G41" s="81">
        <f>((((((G34)+(G35))+(G36))+(G37))+(G38))+(G39))+(G40)</f>
        <v>30977.67</v>
      </c>
      <c r="H41" s="81">
        <f>((((((H34)+(H35))+(H36))+(H37))+(H38))+(H39))+(H40)</f>
        <v>30651.02</v>
      </c>
    </row>
    <row r="42" spans="1:8" x14ac:dyDescent="0.25">
      <c r="A42" s="80" t="s">
        <v>77</v>
      </c>
      <c r="B42" s="81">
        <f>(B32)+(B41)</f>
        <v>222210.12</v>
      </c>
      <c r="C42" s="81">
        <f>(C32)+(C41)</f>
        <v>125792.59</v>
      </c>
      <c r="D42" s="81">
        <f>(D32)+(D41)</f>
        <v>134031.71000000002</v>
      </c>
      <c r="E42" s="81">
        <f>(E32)+(E41)</f>
        <v>100373.76000000001</v>
      </c>
      <c r="F42" s="81">
        <f>(F32)+(F41)</f>
        <v>48655.500000000007</v>
      </c>
      <c r="G42" s="81">
        <f>(G32)+(G41)</f>
        <v>68558.11</v>
      </c>
      <c r="H42" s="81">
        <f>(H32)+(H41)</f>
        <v>46368.42</v>
      </c>
    </row>
    <row r="43" spans="1:8" x14ac:dyDescent="0.25">
      <c r="A43" s="80" t="s">
        <v>76</v>
      </c>
      <c r="B43" s="79"/>
      <c r="C43" s="79"/>
      <c r="D43" s="79"/>
      <c r="E43" s="79"/>
      <c r="F43" s="79"/>
      <c r="G43" s="79"/>
      <c r="H43" s="79"/>
    </row>
    <row r="44" spans="1:8" x14ac:dyDescent="0.25">
      <c r="A44" s="80" t="s">
        <v>75</v>
      </c>
      <c r="B44" s="82">
        <f>375914.18</f>
        <v>375914.18</v>
      </c>
      <c r="C44" s="82">
        <f>377543.78</f>
        <v>377543.78</v>
      </c>
      <c r="D44" s="82">
        <f>465767.87</f>
        <v>465767.87</v>
      </c>
      <c r="E44" s="82">
        <f>467528.87</f>
        <v>467528.87</v>
      </c>
      <c r="F44" s="82">
        <f>469476.6</f>
        <v>469476.6</v>
      </c>
      <c r="G44" s="82">
        <f>471434.25</f>
        <v>471434.25</v>
      </c>
      <c r="H44" s="82">
        <f>473211.69</f>
        <v>473211.69</v>
      </c>
    </row>
    <row r="45" spans="1:8" x14ac:dyDescent="0.25">
      <c r="A45" s="80" t="s">
        <v>74</v>
      </c>
      <c r="B45" s="81">
        <f>B44</f>
        <v>375914.18</v>
      </c>
      <c r="C45" s="81">
        <f>C44</f>
        <v>377543.78</v>
      </c>
      <c r="D45" s="81">
        <f>D44</f>
        <v>465767.87</v>
      </c>
      <c r="E45" s="81">
        <f>E44</f>
        <v>467528.87</v>
      </c>
      <c r="F45" s="81">
        <f>F44</f>
        <v>469476.6</v>
      </c>
      <c r="G45" s="81">
        <f>G44</f>
        <v>471434.25</v>
      </c>
      <c r="H45" s="81">
        <f>H44</f>
        <v>473211.69</v>
      </c>
    </row>
    <row r="46" spans="1:8" x14ac:dyDescent="0.25">
      <c r="A46" s="80" t="s">
        <v>73</v>
      </c>
      <c r="B46" s="81">
        <f>(B42)+(B45)</f>
        <v>598124.30000000005</v>
      </c>
      <c r="C46" s="81">
        <f>(C42)+(C45)</f>
        <v>503336.37</v>
      </c>
      <c r="D46" s="81">
        <f>(D42)+(D45)</f>
        <v>599799.58000000007</v>
      </c>
      <c r="E46" s="81">
        <f>(E42)+(E45)</f>
        <v>567902.63</v>
      </c>
      <c r="F46" s="81">
        <f>(F42)+(F45)</f>
        <v>518132.1</v>
      </c>
      <c r="G46" s="81">
        <f>(G42)+(G45)</f>
        <v>539992.36</v>
      </c>
      <c r="H46" s="81">
        <f>(H42)+(H45)</f>
        <v>519580.11</v>
      </c>
    </row>
    <row r="47" spans="1:8" x14ac:dyDescent="0.25">
      <c r="A47" s="80" t="s">
        <v>72</v>
      </c>
      <c r="B47" s="79"/>
      <c r="C47" s="79"/>
      <c r="D47" s="79"/>
      <c r="E47" s="79"/>
      <c r="F47" s="79"/>
      <c r="G47" s="79"/>
      <c r="H47" s="79"/>
    </row>
    <row r="48" spans="1:8" x14ac:dyDescent="0.25">
      <c r="A48" s="80" t="s">
        <v>71</v>
      </c>
      <c r="B48" s="82">
        <f>448457.24</f>
        <v>448457.24</v>
      </c>
      <c r="C48" s="82">
        <f>B48</f>
        <v>448457.24</v>
      </c>
      <c r="D48" s="82">
        <f>C48</f>
        <v>448457.24</v>
      </c>
      <c r="E48" s="82">
        <f>447957.24</f>
        <v>447957.24</v>
      </c>
      <c r="F48" s="82">
        <f>E48</f>
        <v>447957.24</v>
      </c>
      <c r="G48" s="82">
        <f>F48</f>
        <v>447957.24</v>
      </c>
      <c r="H48" s="82">
        <f>450257.24</f>
        <v>450257.24</v>
      </c>
    </row>
    <row r="49" spans="1:8" x14ac:dyDescent="0.25">
      <c r="A49" s="80" t="s">
        <v>70</v>
      </c>
      <c r="B49" s="82">
        <f>4000</f>
        <v>4000</v>
      </c>
      <c r="C49" s="82">
        <f>B49</f>
        <v>4000</v>
      </c>
      <c r="D49" s="82">
        <f>C49</f>
        <v>4000</v>
      </c>
      <c r="E49" s="82">
        <f>4500</f>
        <v>4500</v>
      </c>
      <c r="F49" s="82">
        <f>E49</f>
        <v>4500</v>
      </c>
      <c r="G49" s="82">
        <f>F49</f>
        <v>4500</v>
      </c>
      <c r="H49" s="82">
        <f>2200</f>
        <v>2200</v>
      </c>
    </row>
    <row r="50" spans="1:8" x14ac:dyDescent="0.25">
      <c r="A50" s="80" t="s">
        <v>69</v>
      </c>
      <c r="B50" s="82">
        <f>1998.03</f>
        <v>1998.03</v>
      </c>
      <c r="C50" s="82">
        <f>-31916.88</f>
        <v>-31916.880000000001</v>
      </c>
      <c r="D50" s="82">
        <f>-92128.3</f>
        <v>-92128.3</v>
      </c>
      <c r="E50" s="82">
        <f>82763.57</f>
        <v>82763.570000000007</v>
      </c>
      <c r="F50" s="82">
        <f>-9280.49</f>
        <v>-9280.49</v>
      </c>
      <c r="G50" s="82">
        <f>-5530.87</f>
        <v>-5530.87</v>
      </c>
      <c r="H50" s="82">
        <f>-41981.87</f>
        <v>-41981.87</v>
      </c>
    </row>
    <row r="51" spans="1:8" x14ac:dyDescent="0.25">
      <c r="A51" s="80" t="s">
        <v>68</v>
      </c>
      <c r="B51" s="81">
        <f>((B48)+(B49))+(B50)</f>
        <v>454455.27</v>
      </c>
      <c r="C51" s="81">
        <f>((C48)+(C49))+(C50)</f>
        <v>420540.36</v>
      </c>
      <c r="D51" s="81">
        <f>((D48)+(D49))+(D50)</f>
        <v>360328.94</v>
      </c>
      <c r="E51" s="81">
        <f>((E48)+(E49))+(E50)</f>
        <v>535220.81000000006</v>
      </c>
      <c r="F51" s="81">
        <f>((F48)+(F49))+(F50)</f>
        <v>443176.75</v>
      </c>
      <c r="G51" s="81">
        <f>((G48)+(G49))+(G50)</f>
        <v>446926.37</v>
      </c>
      <c r="H51" s="81">
        <f>((H48)+(H49))+(H50)</f>
        <v>410475.37</v>
      </c>
    </row>
    <row r="52" spans="1:8" x14ac:dyDescent="0.25">
      <c r="A52" s="80" t="s">
        <v>67</v>
      </c>
      <c r="B52" s="81">
        <f>(B46)+(B51)</f>
        <v>1052579.57</v>
      </c>
      <c r="C52" s="81">
        <f>(C46)+(C51)</f>
        <v>923876.73</v>
      </c>
      <c r="D52" s="81">
        <f>(D46)+(D51)</f>
        <v>960128.52</v>
      </c>
      <c r="E52" s="81">
        <f>(E46)+(E51)</f>
        <v>1103123.44</v>
      </c>
      <c r="F52" s="81">
        <f>(F46)+(F51)</f>
        <v>961308.85</v>
      </c>
      <c r="G52" s="81">
        <f>(G46)+(G51)</f>
        <v>986918.73</v>
      </c>
      <c r="H52" s="81">
        <f>(H46)+(H51)</f>
        <v>930055.48</v>
      </c>
    </row>
    <row r="53" spans="1:8" x14ac:dyDescent="0.25">
      <c r="A53" s="80"/>
      <c r="B53" s="79"/>
      <c r="C53" s="79"/>
      <c r="D53" s="79"/>
      <c r="E53" s="79"/>
      <c r="F53" s="79"/>
      <c r="G53" s="79"/>
      <c r="H53" s="79"/>
    </row>
    <row r="56" spans="1:8" x14ac:dyDescent="0.25">
      <c r="A56" s="78" t="s">
        <v>66</v>
      </c>
      <c r="B56" s="77"/>
      <c r="C56" s="77"/>
      <c r="D56" s="77"/>
      <c r="E56" s="77"/>
      <c r="F56" s="77"/>
      <c r="G56" s="77"/>
      <c r="H56" s="77"/>
    </row>
  </sheetData>
  <mergeCells count="4">
    <mergeCell ref="A56:H56"/>
    <mergeCell ref="A1:H1"/>
    <mergeCell ref="A2:H2"/>
    <mergeCell ref="A3:H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FF - Tracker</vt:lpstr>
      <vt:lpstr>Financial Deliverables</vt:lpstr>
      <vt:lpstr>Statement of Financial Position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Laylah Sullivan</dc:creator>
  <cp:lastModifiedBy>mpaolini p</cp:lastModifiedBy>
  <dcterms:created xsi:type="dcterms:W3CDTF">2022-04-10T21:42:33Z</dcterms:created>
  <dcterms:modified xsi:type="dcterms:W3CDTF">2022-04-18T16:43:29Z</dcterms:modified>
</cp:coreProperties>
</file>