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GP Dropbox\Matt Paolini\PCM Current Budget\Board\"/>
    </mc:Choice>
  </mc:AlternateContent>
  <xr:revisionPtr revIDLastSave="0" documentId="13_ncr:1_{481B3DEE-E7AC-43B8-A973-B9DA7AD54BF3}" xr6:coauthVersionLast="46" xr6:coauthVersionMax="46" xr10:uidLastSave="{00000000-0000-0000-0000-000000000000}"/>
  <bookViews>
    <workbookView xWindow="-120" yWindow="-120" windowWidth="29040" windowHeight="17640" tabRatio="812" activeTab="1" xr2:uid="{4918B7BF-66E0-4EE5-A4CE-11F7B38F83BC}"/>
  </bookViews>
  <sheets>
    <sheet name="Start-Up Budget - Actual" sheetId="8" r:id="rId1"/>
    <sheet name="5 YR Budget" sheetId="2" r:id="rId2"/>
    <sheet name="Enrollment and Demographics" sheetId="3" r:id="rId3"/>
    <sheet name="Position Control (Staffing)" sheetId="4" r:id="rId4"/>
    <sheet name="State &amp; Fed Rev" sheetId="5" r:id="rId5"/>
    <sheet name="Local &amp; Pvt Rev" sheetId="6" r:id="rId6"/>
    <sheet name="Expense Assumptions" sheetId="7" r:id="rId7"/>
  </sheets>
  <externalReferences>
    <externalReference r:id="rId8"/>
  </externalReferences>
  <definedNames>
    <definedName name="_Fill" localSheetId="1" hidden="1">#REF!</definedName>
    <definedName name="_Fill" localSheetId="2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hidden="1">#REF!</definedName>
    <definedName name="_Order1" hidden="1">0</definedName>
    <definedName name="_Order2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0" hidden="1">#REF!</definedName>
    <definedName name="_Sort" hidden="1">#REF!</definedName>
    <definedName name="_Table1_In1" localSheetId="1" hidden="1">#REF!</definedName>
    <definedName name="_Table1_In1" localSheetId="2" hidden="1">#REF!</definedName>
    <definedName name="_Table1_In1" localSheetId="3" hidden="1">#REF!</definedName>
    <definedName name="_Table1_In1" localSheetId="0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localSheetId="0" hidden="1">#REF!</definedName>
    <definedName name="_Table1_Out" hidden="1">#REF!</definedName>
    <definedName name="_Table2_In1" localSheetId="1" hidden="1">#REF!</definedName>
    <definedName name="_Table2_In1" localSheetId="2" hidden="1">#REF!</definedName>
    <definedName name="_Table2_In1" localSheetId="0" hidden="1">#REF!</definedName>
    <definedName name="_Table2_In1" hidden="1">#REF!</definedName>
    <definedName name="_Table2_Out" localSheetId="1" hidden="1">#REF!</definedName>
    <definedName name="_Table2_Out" localSheetId="2" hidden="1">#REF!</definedName>
    <definedName name="_Table2_Out" localSheetId="0" hidden="1">#REF!</definedName>
    <definedName name="_Table2_Out" hidden="1">#REF!</definedName>
    <definedName name="DATA_01" localSheetId="1" hidden="1">'[1]Bond Amortization1'!#REF!</definedName>
    <definedName name="DATA_01" localSheetId="2" hidden="1">'[1]Bond Amortization1'!#REF!</definedName>
    <definedName name="DATA_01" localSheetId="0" hidden="1">'[1]Bond Amortization1'!#REF!</definedName>
    <definedName name="DATA_01" hidden="1">'[1]Bond Amortization1'!#REF!</definedName>
    <definedName name="DATA_08" localSheetId="1" hidden="1">'[1]Bond Amortization1'!#REF!</definedName>
    <definedName name="DATA_08" localSheetId="2" hidden="1">'[1]Bond Amortization1'!#REF!</definedName>
    <definedName name="DATA_08" localSheetId="0" hidden="1">'[1]Bond Amortization1'!#REF!</definedName>
    <definedName name="DATA_08" hidden="1">'[1]Bond Amortization1'!#REF!</definedName>
    <definedName name="Expense_Assump">'Expense Assumptions'!$C:$K</definedName>
    <definedName name="Expense_Assumpo">'Expense Assumptions'!$C:$K</definedName>
    <definedName name="IntroPrintArea" localSheetId="1" hidden="1">#REF!</definedName>
    <definedName name="IntroPrintArea" localSheetId="2" hidden="1">#REF!</definedName>
    <definedName name="IntroPrintArea" localSheetId="0" hidden="1">#REF!</definedName>
    <definedName name="IntroPrintArea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40834.4439583333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1">'5 YR Budget'!$B$1:$J$177</definedName>
    <definedName name="_xlnm.Print_Area" localSheetId="2">'Enrollment and Demographics'!$B$2:$N$47</definedName>
    <definedName name="_xlnm.Print_Area" localSheetId="3">'Position Control (Staffing)'!$B$1:$Q$34</definedName>
    <definedName name="_xlnm.Print_Area" localSheetId="0">'Start-Up Budget - Actual'!$B$4:$F$89</definedName>
    <definedName name="_xlnm.Print_Area" localSheetId="4">'State &amp; Fed Rev'!$B$1:$N$48</definedName>
    <definedName name="_xlnm.Print_Titles" localSheetId="1">'5 YR Budget'!$1:$13</definedName>
    <definedName name="_xlnm.Print_Titles" localSheetId="3">'Position Control (Staffing)'!$B:$R,'Position Control (Staffing)'!$1:$6</definedName>
    <definedName name="_xlnm.Print_Titles" localSheetId="0">'Start-Up Budget - Actual'!$4:$13</definedName>
    <definedName name="X_Apportionment_Apr">'State &amp; Fed Rev'!$Y$43</definedName>
    <definedName name="X_Apportionment_Aug">'State &amp; Fed Rev'!$Y$47</definedName>
    <definedName name="X_Apportionment_Dec">'State &amp; Fed Rev'!$Y$39</definedName>
    <definedName name="X_Apportionment_Feb">'State &amp; Fed Rev'!$Y$41</definedName>
    <definedName name="X_Apportionment_Jan">'State &amp; Fed Rev'!$Y$40</definedName>
    <definedName name="X_Apportionment_JuL">'State &amp; Fed Rev'!$Y$46</definedName>
    <definedName name="X_Apportionment_Jun">'State &amp; Fed Rev'!$Y$45</definedName>
    <definedName name="X_Apportionment_Mar">'State &amp; Fed Rev'!$Y$42</definedName>
    <definedName name="X_Apportionment_May">'State &amp; Fed Rev'!$Y$44</definedName>
    <definedName name="X_Apportionment_Nov">'State &amp; Fed Rev'!$Y$38</definedName>
    <definedName name="X_Apportionment_Oct">'State &amp; Fed Rev'!$Y$37</definedName>
    <definedName name="X_Apportionment_Sep">'State &amp; Fed Rev'!$Y$36</definedName>
    <definedName name="X_Assumptions">'State &amp; Fed Rev'!$C$1:$L$48</definedName>
    <definedName name="X_Enrollment">'Enrollment and Demographics'!$C$2:$M$47</definedName>
    <definedName name="X_Staffing_YR1_FTE">'Position Control (Staffing)'!$E$32</definedName>
    <definedName name="X_Staffing_YR2_FTE">'Position Control (Staffing)'!$F$32</definedName>
    <definedName name="X_Staffing_YR3_FTE">'Position Control (Staffing)'!$G$32</definedName>
    <definedName name="X_Staffing_YR4_FTE">'Position Control (Staffing)'!$H$32</definedName>
    <definedName name="X_Staffing_YR5_FTE">'Position Control (Staffing)'!$I$32</definedName>
    <definedName name="X_StaffingCategories">'Position Control (Staffing)'!$D:$I</definedName>
    <definedName name="X_StaffingRaises">'Position Control (Staffing)'!$M:$Q</definedName>
    <definedName name="X_Years">'Enrollment and Demographics'!$AC$5:$AO$7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4" l="1"/>
  <c r="D78" i="8"/>
  <c r="D65" i="8"/>
  <c r="D64" i="8"/>
  <c r="D36" i="8"/>
  <c r="D35" i="8"/>
  <c r="D29" i="8"/>
  <c r="D24" i="8"/>
  <c r="D25" i="8" s="1"/>
  <c r="D17" i="8"/>
  <c r="K26" i="5"/>
  <c r="J26" i="5"/>
  <c r="I26" i="5"/>
  <c r="H26" i="5"/>
  <c r="G26" i="5"/>
  <c r="K25" i="5"/>
  <c r="J25" i="5"/>
  <c r="I25" i="5"/>
  <c r="H25" i="5"/>
  <c r="G25" i="5"/>
  <c r="K24" i="5"/>
  <c r="J24" i="5"/>
  <c r="I24" i="5"/>
  <c r="H24" i="5"/>
  <c r="G24" i="5"/>
  <c r="K23" i="5"/>
  <c r="J23" i="5"/>
  <c r="I23" i="5"/>
  <c r="H23" i="5"/>
  <c r="G23" i="5"/>
  <c r="K22" i="5"/>
  <c r="J22" i="5"/>
  <c r="I22" i="5"/>
  <c r="H22" i="5"/>
  <c r="G22" i="5"/>
  <c r="K21" i="5"/>
  <c r="J21" i="5"/>
  <c r="I21" i="5"/>
  <c r="H21" i="5"/>
  <c r="G21" i="5"/>
  <c r="K17" i="5"/>
  <c r="J17" i="5"/>
  <c r="I17" i="5"/>
  <c r="H17" i="5"/>
  <c r="G17" i="5"/>
  <c r="K16" i="5"/>
  <c r="J16" i="5"/>
  <c r="I16" i="5"/>
  <c r="H16" i="5"/>
  <c r="G16" i="5"/>
  <c r="M41" i="3"/>
  <c r="L41" i="3"/>
  <c r="K41" i="3"/>
  <c r="J41" i="3"/>
  <c r="I41" i="3"/>
  <c r="H41" i="3"/>
  <c r="G41" i="3"/>
  <c r="F41" i="3"/>
  <c r="E41" i="3"/>
  <c r="D41" i="3"/>
  <c r="M40" i="3"/>
  <c r="L40" i="3"/>
  <c r="K40" i="3"/>
  <c r="J40" i="3"/>
  <c r="I40" i="3"/>
  <c r="H40" i="3"/>
  <c r="G40" i="3"/>
  <c r="F40" i="3"/>
  <c r="E40" i="3"/>
  <c r="D40" i="3"/>
  <c r="M36" i="3"/>
  <c r="L36" i="3"/>
  <c r="K36" i="3"/>
  <c r="J36" i="3"/>
  <c r="I36" i="3"/>
  <c r="H36" i="3"/>
  <c r="M18" i="3"/>
  <c r="L18" i="3"/>
  <c r="K18" i="3"/>
  <c r="J18" i="3"/>
  <c r="I18" i="3"/>
  <c r="H18" i="3"/>
  <c r="G18" i="3"/>
  <c r="F18" i="3"/>
  <c r="E18" i="3"/>
  <c r="D18" i="3"/>
  <c r="M17" i="3"/>
  <c r="L17" i="3"/>
  <c r="K17" i="3"/>
  <c r="J17" i="3"/>
  <c r="I17" i="3"/>
  <c r="H17" i="3"/>
  <c r="G17" i="3"/>
  <c r="F17" i="3"/>
  <c r="E17" i="3"/>
  <c r="D17" i="3"/>
  <c r="M16" i="3"/>
  <c r="M19" i="3" s="1"/>
  <c r="M47" i="3" s="1"/>
  <c r="L16" i="3"/>
  <c r="L19" i="3" s="1"/>
  <c r="K16" i="3"/>
  <c r="K19" i="3" s="1"/>
  <c r="J16" i="3"/>
  <c r="J19" i="3" s="1"/>
  <c r="J45" i="3" s="1"/>
  <c r="I16" i="3"/>
  <c r="H16" i="3"/>
  <c r="H19" i="3" s="1"/>
  <c r="G16" i="3"/>
  <c r="G19" i="3" s="1"/>
  <c r="F16" i="3"/>
  <c r="F19" i="3" s="1"/>
  <c r="E16" i="3"/>
  <c r="E19" i="3" s="1"/>
  <c r="E47" i="3" s="1"/>
  <c r="D16" i="3"/>
  <c r="D19" i="3" s="1"/>
  <c r="H85" i="2"/>
  <c r="G85" i="2"/>
  <c r="F85" i="2"/>
  <c r="E85" i="2"/>
  <c r="D85" i="2"/>
  <c r="H77" i="2"/>
  <c r="G77" i="2"/>
  <c r="F77" i="2"/>
  <c r="E67" i="2"/>
  <c r="H67" i="2"/>
  <c r="G67" i="2"/>
  <c r="G87" i="2" s="1"/>
  <c r="F67" i="2"/>
  <c r="H54" i="2"/>
  <c r="G54" i="2"/>
  <c r="F54" i="2"/>
  <c r="E54" i="2"/>
  <c r="D54" i="2"/>
  <c r="D50" i="2"/>
  <c r="E45" i="2"/>
  <c r="D24" i="2"/>
  <c r="E24" i="2"/>
  <c r="E19" i="2"/>
  <c r="D67" i="8" l="1"/>
  <c r="D40" i="8"/>
  <c r="D80" i="8"/>
  <c r="I19" i="3"/>
  <c r="G45" i="2"/>
  <c r="D19" i="2"/>
  <c r="H19" i="2"/>
  <c r="D45" i="2"/>
  <c r="H45" i="2"/>
  <c r="F50" i="2"/>
  <c r="D67" i="2"/>
  <c r="E77" i="2"/>
  <c r="E87" i="2" s="1"/>
  <c r="F19" i="2"/>
  <c r="G50" i="2"/>
  <c r="G19" i="2"/>
  <c r="F45" i="2"/>
  <c r="E50" i="2"/>
  <c r="H50" i="2"/>
  <c r="D77" i="2"/>
  <c r="K20" i="3"/>
  <c r="K44" i="3"/>
  <c r="K47" i="3"/>
  <c r="K43" i="3"/>
  <c r="K39" i="3"/>
  <c r="K46" i="3"/>
  <c r="K42" i="3"/>
  <c r="K38" i="3"/>
  <c r="K45" i="3"/>
  <c r="K37" i="3"/>
  <c r="I45" i="3"/>
  <c r="I37" i="3"/>
  <c r="I20" i="3"/>
  <c r="I44" i="3"/>
  <c r="I47" i="3"/>
  <c r="I43" i="3"/>
  <c r="I39" i="3"/>
  <c r="I46" i="3"/>
  <c r="I42" i="3"/>
  <c r="I38" i="3"/>
  <c r="D44" i="3"/>
  <c r="D47" i="3"/>
  <c r="D43" i="3"/>
  <c r="D39" i="3"/>
  <c r="D46" i="3"/>
  <c r="D42" i="3"/>
  <c r="D38" i="3"/>
  <c r="D45" i="3"/>
  <c r="D37" i="3"/>
  <c r="D20" i="3"/>
  <c r="L44" i="3"/>
  <c r="L47" i="3"/>
  <c r="L43" i="3"/>
  <c r="L39" i="3"/>
  <c r="L46" i="3"/>
  <c r="L42" i="3"/>
  <c r="L38" i="3"/>
  <c r="L45" i="3"/>
  <c r="L37" i="3"/>
  <c r="L20" i="3"/>
  <c r="G46" i="3"/>
  <c r="G42" i="3"/>
  <c r="G38" i="3"/>
  <c r="G45" i="3"/>
  <c r="G37" i="3"/>
  <c r="G20" i="3"/>
  <c r="G44" i="3"/>
  <c r="G47" i="3"/>
  <c r="G43" i="3"/>
  <c r="G39" i="3"/>
  <c r="F47" i="3"/>
  <c r="F43" i="3"/>
  <c r="F40" i="2" s="1"/>
  <c r="F39" i="3"/>
  <c r="F46" i="3"/>
  <c r="F42" i="3"/>
  <c r="F38" i="3"/>
  <c r="F45" i="3"/>
  <c r="F37" i="3"/>
  <c r="F20" i="3"/>
  <c r="F44" i="3"/>
  <c r="H46" i="3"/>
  <c r="H42" i="3"/>
  <c r="H38" i="3"/>
  <c r="H45" i="3"/>
  <c r="H37" i="3"/>
  <c r="H20" i="3"/>
  <c r="H44" i="3"/>
  <c r="H47" i="3"/>
  <c r="H43" i="3"/>
  <c r="H40" i="2" s="1"/>
  <c r="H39" i="3"/>
  <c r="D40" i="2"/>
  <c r="D146" i="2"/>
  <c r="E44" i="3"/>
  <c r="M44" i="3"/>
  <c r="E20" i="3"/>
  <c r="M20" i="3"/>
  <c r="J38" i="3"/>
  <c r="J42" i="3"/>
  <c r="J46" i="3"/>
  <c r="G40" i="2"/>
  <c r="E37" i="3"/>
  <c r="M37" i="3"/>
  <c r="E45" i="3"/>
  <c r="M45" i="3"/>
  <c r="J39" i="3"/>
  <c r="J43" i="3"/>
  <c r="J47" i="3"/>
  <c r="E38" i="3"/>
  <c r="M38" i="3"/>
  <c r="E42" i="3"/>
  <c r="M42" i="3"/>
  <c r="E46" i="3"/>
  <c r="M46" i="3"/>
  <c r="J44" i="3"/>
  <c r="J20" i="3"/>
  <c r="E39" i="3"/>
  <c r="M39" i="3"/>
  <c r="E43" i="3"/>
  <c r="E40" i="2" s="1"/>
  <c r="M43" i="3"/>
  <c r="J37" i="3"/>
  <c r="F87" i="2"/>
  <c r="H87" i="2"/>
  <c r="F24" i="2"/>
  <c r="G24" i="2"/>
  <c r="H24" i="2"/>
  <c r="D86" i="8" l="1"/>
  <c r="D44" i="8"/>
  <c r="D87" i="2"/>
  <c r="H112" i="2"/>
  <c r="G112" i="2"/>
  <c r="E112" i="2"/>
  <c r="E98" i="2"/>
  <c r="E100" i="2" s="1"/>
  <c r="G98" i="2"/>
  <c r="G100" i="2" s="1"/>
  <c r="D21" i="8" l="1"/>
  <c r="D31" i="8" s="1"/>
  <c r="D7" i="8" s="1"/>
  <c r="D48" i="8"/>
  <c r="D50" i="8" s="1"/>
  <c r="H98" i="2"/>
  <c r="H100" i="2" s="1"/>
  <c r="F98" i="2"/>
  <c r="F100" i="2" s="1"/>
  <c r="D98" i="2"/>
  <c r="D100" i="2" s="1"/>
  <c r="D53" i="8" l="1"/>
  <c r="D55" i="8"/>
  <c r="D57" i="8"/>
  <c r="D54" i="8"/>
  <c r="D56" i="8"/>
  <c r="Q32" i="4"/>
  <c r="D58" i="8" l="1"/>
  <c r="D60" i="8" s="1"/>
  <c r="AA67" i="7"/>
  <c r="AA66" i="7"/>
  <c r="AA65" i="7"/>
  <c r="C64" i="7"/>
  <c r="AA64" i="7" s="1"/>
  <c r="AA63" i="7"/>
  <c r="AB63" i="7"/>
  <c r="AC63" i="7" s="1"/>
  <c r="AD63" i="7" s="1"/>
  <c r="AE63" i="7" s="1"/>
  <c r="AF63" i="7" s="1"/>
  <c r="AB62" i="7"/>
  <c r="AC62" i="7" s="1"/>
  <c r="AD62" i="7" s="1"/>
  <c r="AE62" i="7" s="1"/>
  <c r="AF62" i="7" s="1"/>
  <c r="AA62" i="7"/>
  <c r="AB61" i="7"/>
  <c r="AC61" i="7" s="1"/>
  <c r="AD61" i="7" s="1"/>
  <c r="AE61" i="7" s="1"/>
  <c r="AF61" i="7" s="1"/>
  <c r="AA61" i="7"/>
  <c r="I61" i="7"/>
  <c r="J61" i="7" s="1"/>
  <c r="K61" i="7" s="1"/>
  <c r="H61" i="7"/>
  <c r="AB60" i="7"/>
  <c r="AC60" i="7" s="1"/>
  <c r="AD60" i="7" s="1"/>
  <c r="AE60" i="7" s="1"/>
  <c r="AF60" i="7" s="1"/>
  <c r="AA60" i="7"/>
  <c r="AA59" i="7"/>
  <c r="AB59" i="7"/>
  <c r="AC59" i="7" s="1"/>
  <c r="AD59" i="7" s="1"/>
  <c r="AE59" i="7" s="1"/>
  <c r="AF59" i="7" s="1"/>
  <c r="AB58" i="7"/>
  <c r="AC58" i="7" s="1"/>
  <c r="AD58" i="7" s="1"/>
  <c r="AE58" i="7" s="1"/>
  <c r="AF58" i="7" s="1"/>
  <c r="AA58" i="7"/>
  <c r="AB57" i="7"/>
  <c r="AC57" i="7" s="1"/>
  <c r="AD57" i="7" s="1"/>
  <c r="AE57" i="7" s="1"/>
  <c r="AF57" i="7" s="1"/>
  <c r="AA57" i="7"/>
  <c r="I57" i="7"/>
  <c r="J57" i="7" s="1"/>
  <c r="K57" i="7" s="1"/>
  <c r="H57" i="7"/>
  <c r="AA56" i="7"/>
  <c r="AA55" i="7"/>
  <c r="AA54" i="7"/>
  <c r="C54" i="7"/>
  <c r="AB53" i="7"/>
  <c r="AC53" i="7" s="1"/>
  <c r="AD53" i="7" s="1"/>
  <c r="AE53" i="7" s="1"/>
  <c r="AF53" i="7" s="1"/>
  <c r="AA53" i="7"/>
  <c r="I53" i="7"/>
  <c r="J53" i="7" s="1"/>
  <c r="K53" i="7" s="1"/>
  <c r="H53" i="7"/>
  <c r="AA52" i="7"/>
  <c r="AA51" i="7"/>
  <c r="K51" i="7"/>
  <c r="J51" i="7"/>
  <c r="I51" i="7"/>
  <c r="H51" i="7"/>
  <c r="G51" i="7"/>
  <c r="AB51" i="7" s="1"/>
  <c r="AC51" i="7" s="1"/>
  <c r="AD51" i="7" s="1"/>
  <c r="AE51" i="7" s="1"/>
  <c r="AF51" i="7" s="1"/>
  <c r="AB50" i="7"/>
  <c r="AC50" i="7" s="1"/>
  <c r="AD50" i="7" s="1"/>
  <c r="AE50" i="7" s="1"/>
  <c r="AF50" i="7" s="1"/>
  <c r="AA50" i="7"/>
  <c r="H50" i="7"/>
  <c r="I50" i="7" s="1"/>
  <c r="J50" i="7" s="1"/>
  <c r="K50" i="7" s="1"/>
  <c r="AB49" i="7"/>
  <c r="AC49" i="7" s="1"/>
  <c r="AD49" i="7" s="1"/>
  <c r="AE49" i="7" s="1"/>
  <c r="AF49" i="7" s="1"/>
  <c r="AA49" i="7"/>
  <c r="AB48" i="7"/>
  <c r="AC48" i="7" s="1"/>
  <c r="AD48" i="7" s="1"/>
  <c r="AE48" i="7" s="1"/>
  <c r="AF48" i="7" s="1"/>
  <c r="AA48" i="7"/>
  <c r="H48" i="7"/>
  <c r="I48" i="7" s="1"/>
  <c r="J48" i="7" s="1"/>
  <c r="K48" i="7" s="1"/>
  <c r="AB47" i="7"/>
  <c r="AC47" i="7" s="1"/>
  <c r="AD47" i="7" s="1"/>
  <c r="AE47" i="7" s="1"/>
  <c r="AF47" i="7" s="1"/>
  <c r="AA47" i="7"/>
  <c r="H47" i="7"/>
  <c r="I47" i="7" s="1"/>
  <c r="J47" i="7" s="1"/>
  <c r="K47" i="7" s="1"/>
  <c r="AB46" i="7"/>
  <c r="AC46" i="7" s="1"/>
  <c r="AD46" i="7" s="1"/>
  <c r="AE46" i="7" s="1"/>
  <c r="AF46" i="7" s="1"/>
  <c r="AA46" i="7"/>
  <c r="AC45" i="7"/>
  <c r="AD45" i="7" s="1"/>
  <c r="AE45" i="7" s="1"/>
  <c r="AF45" i="7" s="1"/>
  <c r="AB45" i="7"/>
  <c r="AA45" i="7"/>
  <c r="H45" i="7"/>
  <c r="I45" i="7" s="1"/>
  <c r="J45" i="7" s="1"/>
  <c r="K45" i="7" s="1"/>
  <c r="AC44" i="7"/>
  <c r="AD44" i="7" s="1"/>
  <c r="AE44" i="7" s="1"/>
  <c r="AF44" i="7" s="1"/>
  <c r="AB44" i="7"/>
  <c r="AA44" i="7"/>
  <c r="AB43" i="7"/>
  <c r="AC43" i="7" s="1"/>
  <c r="AD43" i="7" s="1"/>
  <c r="AE43" i="7" s="1"/>
  <c r="AF43" i="7" s="1"/>
  <c r="AA43" i="7"/>
  <c r="AB42" i="7"/>
  <c r="AC42" i="7" s="1"/>
  <c r="AD42" i="7" s="1"/>
  <c r="AE42" i="7" s="1"/>
  <c r="AF42" i="7" s="1"/>
  <c r="AA42" i="7"/>
  <c r="AA41" i="7"/>
  <c r="AB41" i="7"/>
  <c r="AC41" i="7" s="1"/>
  <c r="AD41" i="7" s="1"/>
  <c r="AE41" i="7" s="1"/>
  <c r="AF41" i="7" s="1"/>
  <c r="AA39" i="7"/>
  <c r="AB39" i="7"/>
  <c r="AC39" i="7" s="1"/>
  <c r="AD39" i="7" s="1"/>
  <c r="AE39" i="7" s="1"/>
  <c r="AF39" i="7" s="1"/>
  <c r="AC38" i="7"/>
  <c r="AD38" i="7" s="1"/>
  <c r="AE38" i="7" s="1"/>
  <c r="AF38" i="7" s="1"/>
  <c r="AB38" i="7"/>
  <c r="AA38" i="7"/>
  <c r="H38" i="7"/>
  <c r="I38" i="7" s="1"/>
  <c r="J38" i="7" s="1"/>
  <c r="K38" i="7" s="1"/>
  <c r="AA37" i="7"/>
  <c r="AB37" i="7"/>
  <c r="AC37" i="7" s="1"/>
  <c r="AD37" i="7" s="1"/>
  <c r="AE37" i="7" s="1"/>
  <c r="AF37" i="7" s="1"/>
  <c r="AB36" i="7"/>
  <c r="AC36" i="7" s="1"/>
  <c r="AD36" i="7" s="1"/>
  <c r="AE36" i="7" s="1"/>
  <c r="AF36" i="7" s="1"/>
  <c r="AA36" i="7"/>
  <c r="AB35" i="7"/>
  <c r="AC35" i="7" s="1"/>
  <c r="AD35" i="7" s="1"/>
  <c r="AE35" i="7" s="1"/>
  <c r="AF35" i="7" s="1"/>
  <c r="AA35" i="7"/>
  <c r="AA34" i="7"/>
  <c r="AB34" i="7"/>
  <c r="AC34" i="7" s="1"/>
  <c r="AD34" i="7" s="1"/>
  <c r="AE34" i="7" s="1"/>
  <c r="AF34" i="7" s="1"/>
  <c r="AC33" i="7"/>
  <c r="AD33" i="7" s="1"/>
  <c r="AE33" i="7" s="1"/>
  <c r="AF33" i="7" s="1"/>
  <c r="AB33" i="7"/>
  <c r="AA33" i="7"/>
  <c r="H33" i="7"/>
  <c r="I33" i="7" s="1"/>
  <c r="J33" i="7" s="1"/>
  <c r="K33" i="7" s="1"/>
  <c r="AA32" i="7"/>
  <c r="AA31" i="7"/>
  <c r="C30" i="7"/>
  <c r="AA30" i="7" s="1"/>
  <c r="AA29" i="7"/>
  <c r="AB29" i="7"/>
  <c r="AC29" i="7" s="1"/>
  <c r="AD29" i="7" s="1"/>
  <c r="AE29" i="7" s="1"/>
  <c r="AF29" i="7" s="1"/>
  <c r="AA28" i="7"/>
  <c r="AB28" i="7"/>
  <c r="AC28" i="7" s="1"/>
  <c r="AD28" i="7" s="1"/>
  <c r="AE28" i="7" s="1"/>
  <c r="AF28" i="7" s="1"/>
  <c r="AA27" i="7"/>
  <c r="AB27" i="7"/>
  <c r="AC27" i="7" s="1"/>
  <c r="AD27" i="7" s="1"/>
  <c r="AE27" i="7" s="1"/>
  <c r="AF27" i="7" s="1"/>
  <c r="AA26" i="7"/>
  <c r="AB26" i="7"/>
  <c r="AC26" i="7" s="1"/>
  <c r="AD26" i="7" s="1"/>
  <c r="AE26" i="7" s="1"/>
  <c r="AF26" i="7" s="1"/>
  <c r="AA25" i="7"/>
  <c r="AB25" i="7"/>
  <c r="AC25" i="7" s="1"/>
  <c r="AD25" i="7" s="1"/>
  <c r="AE25" i="7" s="1"/>
  <c r="AF25" i="7" s="1"/>
  <c r="AA24" i="7"/>
  <c r="AC23" i="7"/>
  <c r="AD23" i="7" s="1"/>
  <c r="AE23" i="7" s="1"/>
  <c r="AF23" i="7" s="1"/>
  <c r="AB23" i="7"/>
  <c r="AA23" i="7"/>
  <c r="AB22" i="7"/>
  <c r="AC22" i="7" s="1"/>
  <c r="AD22" i="7" s="1"/>
  <c r="AE22" i="7" s="1"/>
  <c r="AF22" i="7" s="1"/>
  <c r="AA22" i="7"/>
  <c r="AC21" i="7"/>
  <c r="AD21" i="7" s="1"/>
  <c r="AE21" i="7" s="1"/>
  <c r="AF21" i="7" s="1"/>
  <c r="AB21" i="7"/>
  <c r="AA21" i="7"/>
  <c r="H21" i="7"/>
  <c r="I21" i="7" s="1"/>
  <c r="J21" i="7" s="1"/>
  <c r="K21" i="7" s="1"/>
  <c r="AA20" i="7"/>
  <c r="AA19" i="7"/>
  <c r="AA18" i="7"/>
  <c r="AA17" i="7"/>
  <c r="C16" i="7"/>
  <c r="AA16" i="7" s="1"/>
  <c r="AA15" i="7"/>
  <c r="AA14" i="7"/>
  <c r="AB13" i="7"/>
  <c r="AC13" i="7" s="1"/>
  <c r="AA13" i="7"/>
  <c r="AA12" i="7"/>
  <c r="AA11" i="7"/>
  <c r="AA10" i="7"/>
  <c r="AA9" i="7"/>
  <c r="AA8" i="7"/>
  <c r="AA7" i="7"/>
  <c r="AA6" i="7"/>
  <c r="AA5" i="7"/>
  <c r="AA4" i="7"/>
  <c r="AA3" i="7"/>
  <c r="AA2" i="7"/>
  <c r="AA1" i="7"/>
  <c r="I11" i="6"/>
  <c r="H11" i="6"/>
  <c r="E11" i="6"/>
  <c r="C45" i="5"/>
  <c r="R37" i="5"/>
  <c r="S37" i="5" s="1"/>
  <c r="T37" i="5" s="1"/>
  <c r="U37" i="5" s="1"/>
  <c r="V37" i="5" s="1"/>
  <c r="W37" i="5" s="1"/>
  <c r="X37" i="5" s="1"/>
  <c r="R33" i="5"/>
  <c r="S33" i="5" s="1"/>
  <c r="T33" i="5" s="1"/>
  <c r="U33" i="5" s="1"/>
  <c r="V33" i="5" s="1"/>
  <c r="W33" i="5" s="1"/>
  <c r="X33" i="5" s="1"/>
  <c r="R32" i="5"/>
  <c r="S32" i="5" s="1"/>
  <c r="T32" i="5" s="1"/>
  <c r="U32" i="5" s="1"/>
  <c r="V32" i="5" s="1"/>
  <c r="W32" i="5" s="1"/>
  <c r="X32" i="5" s="1"/>
  <c r="R31" i="5"/>
  <c r="S31" i="5" s="1"/>
  <c r="T31" i="5" s="1"/>
  <c r="U31" i="5" s="1"/>
  <c r="V31" i="5" s="1"/>
  <c r="W31" i="5" s="1"/>
  <c r="X31" i="5" s="1"/>
  <c r="R30" i="5"/>
  <c r="S30" i="5" s="1"/>
  <c r="T30" i="5" s="1"/>
  <c r="U30" i="5" s="1"/>
  <c r="V30" i="5" s="1"/>
  <c r="W30" i="5" s="1"/>
  <c r="X30" i="5" s="1"/>
  <c r="Q26" i="5"/>
  <c r="R26" i="5"/>
  <c r="S26" i="5" s="1"/>
  <c r="T26" i="5" s="1"/>
  <c r="U26" i="5" s="1"/>
  <c r="V26" i="5" s="1"/>
  <c r="W26" i="5" s="1"/>
  <c r="X26" i="5" s="1"/>
  <c r="R12" i="5"/>
  <c r="S12" i="5" s="1"/>
  <c r="T12" i="5" s="1"/>
  <c r="U12" i="5" s="1"/>
  <c r="V12" i="5" s="1"/>
  <c r="W12" i="5" s="1"/>
  <c r="X12" i="5" s="1"/>
  <c r="Q12" i="5"/>
  <c r="C7" i="5"/>
  <c r="C6" i="5"/>
  <c r="R1" i="5"/>
  <c r="E80" i="4"/>
  <c r="E79" i="4"/>
  <c r="E78" i="4"/>
  <c r="E77" i="4"/>
  <c r="H73" i="4"/>
  <c r="G73" i="4"/>
  <c r="F73" i="4"/>
  <c r="E73" i="4"/>
  <c r="G77" i="4" s="1"/>
  <c r="C73" i="4"/>
  <c r="H72" i="4"/>
  <c r="G72" i="4"/>
  <c r="F72" i="4"/>
  <c r="H71" i="4"/>
  <c r="G71" i="4"/>
  <c r="F71" i="4"/>
  <c r="H70" i="4"/>
  <c r="G70" i="4"/>
  <c r="F70" i="4"/>
  <c r="E70" i="4"/>
  <c r="H69" i="4"/>
  <c r="G69" i="4"/>
  <c r="F69" i="4"/>
  <c r="E69" i="4"/>
  <c r="F77" i="4" s="1"/>
  <c r="H68" i="4"/>
  <c r="G68" i="4"/>
  <c r="F68" i="4"/>
  <c r="C68" i="4"/>
  <c r="C66" i="4"/>
  <c r="C67" i="4" s="1"/>
  <c r="M61" i="4"/>
  <c r="I45" i="4"/>
  <c r="H45" i="4"/>
  <c r="G45" i="4"/>
  <c r="F45" i="4"/>
  <c r="E45" i="4"/>
  <c r="I44" i="4"/>
  <c r="I52" i="4" s="1"/>
  <c r="H44" i="4"/>
  <c r="H52" i="4" s="1"/>
  <c r="G44" i="4"/>
  <c r="G52" i="4" s="1"/>
  <c r="F44" i="4"/>
  <c r="F52" i="4" s="1"/>
  <c r="E44" i="4"/>
  <c r="E52" i="4" s="1"/>
  <c r="I43" i="4"/>
  <c r="H43" i="4"/>
  <c r="G43" i="4"/>
  <c r="F43" i="4"/>
  <c r="E43" i="4"/>
  <c r="I42" i="4"/>
  <c r="H42" i="4"/>
  <c r="G42" i="4"/>
  <c r="F42" i="4"/>
  <c r="E42" i="4"/>
  <c r="I32" i="4"/>
  <c r="I33" i="4" s="1"/>
  <c r="H32" i="4"/>
  <c r="AN9" i="7" s="1"/>
  <c r="G32" i="4"/>
  <c r="AM9" i="7" s="1"/>
  <c r="F32" i="4"/>
  <c r="AL9" i="7" s="1"/>
  <c r="E32" i="4"/>
  <c r="AK9" i="7" s="1"/>
  <c r="Q31" i="4"/>
  <c r="P31" i="4"/>
  <c r="O31" i="4"/>
  <c r="N31" i="4"/>
  <c r="M31" i="4"/>
  <c r="Q30" i="4"/>
  <c r="P30" i="4"/>
  <c r="O30" i="4"/>
  <c r="N30" i="4"/>
  <c r="M30" i="4"/>
  <c r="Q29" i="4"/>
  <c r="P29" i="4"/>
  <c r="O29" i="4"/>
  <c r="N29" i="4"/>
  <c r="M29" i="4"/>
  <c r="Q28" i="4"/>
  <c r="P28" i="4"/>
  <c r="O28" i="4"/>
  <c r="N28" i="4"/>
  <c r="M28" i="4"/>
  <c r="Q27" i="4"/>
  <c r="P27" i="4"/>
  <c r="O27" i="4"/>
  <c r="N27" i="4"/>
  <c r="M27" i="4"/>
  <c r="O26" i="4"/>
  <c r="P26" i="4" s="1"/>
  <c r="N26" i="4"/>
  <c r="M26" i="4"/>
  <c r="O25" i="4"/>
  <c r="P25" i="4" s="1"/>
  <c r="Q25" i="4" s="1"/>
  <c r="N25" i="4"/>
  <c r="M25" i="4"/>
  <c r="P24" i="4"/>
  <c r="Q24" i="4" s="1"/>
  <c r="O24" i="4"/>
  <c r="N24" i="4"/>
  <c r="M24" i="4"/>
  <c r="O23" i="4"/>
  <c r="P23" i="4" s="1"/>
  <c r="N23" i="4"/>
  <c r="M23" i="4"/>
  <c r="O22" i="4"/>
  <c r="P22" i="4" s="1"/>
  <c r="N22" i="4"/>
  <c r="M22" i="4"/>
  <c r="M21" i="4"/>
  <c r="N21" i="4" s="1"/>
  <c r="O21" i="4" s="1"/>
  <c r="P21" i="4" s="1"/>
  <c r="Q21" i="4" s="1"/>
  <c r="M20" i="4"/>
  <c r="N20" i="4" s="1"/>
  <c r="O20" i="4" s="1"/>
  <c r="P20" i="4" s="1"/>
  <c r="Q20" i="4" s="1"/>
  <c r="M19" i="4"/>
  <c r="N19" i="4" s="1"/>
  <c r="O19" i="4" s="1"/>
  <c r="P19" i="4" s="1"/>
  <c r="Q19" i="4" s="1"/>
  <c r="P18" i="4"/>
  <c r="Q18" i="4" s="1"/>
  <c r="O18" i="4"/>
  <c r="N18" i="4"/>
  <c r="M18" i="4"/>
  <c r="N17" i="4"/>
  <c r="O17" i="4" s="1"/>
  <c r="P17" i="4" s="1"/>
  <c r="Q17" i="4" s="1"/>
  <c r="M17" i="4"/>
  <c r="N16" i="4"/>
  <c r="O16" i="4" s="1"/>
  <c r="P16" i="4" s="1"/>
  <c r="Q16" i="4" s="1"/>
  <c r="M16" i="4"/>
  <c r="M15" i="4"/>
  <c r="N15" i="4" s="1"/>
  <c r="O15" i="4" s="1"/>
  <c r="P15" i="4" s="1"/>
  <c r="Q15" i="4" s="1"/>
  <c r="M14" i="4"/>
  <c r="N14" i="4" s="1"/>
  <c r="O14" i="4" s="1"/>
  <c r="P14" i="4" s="1"/>
  <c r="Q14" i="4" s="1"/>
  <c r="M13" i="4"/>
  <c r="N13" i="4" s="1"/>
  <c r="O13" i="4" s="1"/>
  <c r="P13" i="4" s="1"/>
  <c r="Q13" i="4" s="1"/>
  <c r="M12" i="4"/>
  <c r="N12" i="4" s="1"/>
  <c r="O12" i="4" s="1"/>
  <c r="P12" i="4" s="1"/>
  <c r="Q12" i="4" s="1"/>
  <c r="M11" i="4"/>
  <c r="N11" i="4" s="1"/>
  <c r="O11" i="4" s="1"/>
  <c r="P11" i="4" s="1"/>
  <c r="Q11" i="4" s="1"/>
  <c r="P10" i="4"/>
  <c r="Q10" i="4" s="1"/>
  <c r="O10" i="4"/>
  <c r="N10" i="4"/>
  <c r="M10" i="4"/>
  <c r="M9" i="4"/>
  <c r="N9" i="4" s="1"/>
  <c r="O9" i="4" s="1"/>
  <c r="P9" i="4" s="1"/>
  <c r="Q9" i="4" s="1"/>
  <c r="P8" i="4"/>
  <c r="Q8" i="4" s="1"/>
  <c r="O8" i="4"/>
  <c r="N8" i="4"/>
  <c r="M8" i="4"/>
  <c r="M7" i="4"/>
  <c r="M3" i="4"/>
  <c r="S12" i="3"/>
  <c r="R12" i="3"/>
  <c r="Q12" i="3"/>
  <c r="P12" i="3"/>
  <c r="O12" i="3"/>
  <c r="S9" i="3"/>
  <c r="R9" i="3"/>
  <c r="Q9" i="3"/>
  <c r="P9" i="3"/>
  <c r="O9" i="3"/>
  <c r="AD7" i="3"/>
  <c r="AC6" i="3"/>
  <c r="S6" i="3"/>
  <c r="R6" i="3"/>
  <c r="Q6" i="3"/>
  <c r="P6" i="3"/>
  <c r="O6" i="3"/>
  <c r="AE5" i="3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B153" i="2"/>
  <c r="J148" i="2"/>
  <c r="B148" i="2"/>
  <c r="B146" i="2"/>
  <c r="J145" i="2"/>
  <c r="B145" i="2"/>
  <c r="J144" i="2"/>
  <c r="B144" i="2"/>
  <c r="J143" i="2"/>
  <c r="B143" i="2"/>
  <c r="J142" i="2"/>
  <c r="B142" i="2"/>
  <c r="J141" i="2"/>
  <c r="B141" i="2"/>
  <c r="J140" i="2"/>
  <c r="B140" i="2"/>
  <c r="J139" i="2"/>
  <c r="B139" i="2"/>
  <c r="B138" i="2"/>
  <c r="B136" i="2"/>
  <c r="J135" i="2"/>
  <c r="B135" i="2"/>
  <c r="J134" i="2"/>
  <c r="B134" i="2"/>
  <c r="J133" i="2"/>
  <c r="B133" i="2"/>
  <c r="J132" i="2"/>
  <c r="B132" i="2"/>
  <c r="B131" i="2"/>
  <c r="J130" i="2"/>
  <c r="B130" i="2"/>
  <c r="J129" i="2"/>
  <c r="B129" i="2"/>
  <c r="J128" i="2"/>
  <c r="B128" i="2"/>
  <c r="J127" i="2"/>
  <c r="B127" i="2"/>
  <c r="J126" i="2"/>
  <c r="B126" i="2"/>
  <c r="J125" i="2"/>
  <c r="B125" i="2"/>
  <c r="J124" i="2"/>
  <c r="B124" i="2"/>
  <c r="B123" i="2"/>
  <c r="B122" i="2"/>
  <c r="B121" i="2"/>
  <c r="J120" i="2"/>
  <c r="B120" i="2"/>
  <c r="B119" i="2"/>
  <c r="J118" i="2"/>
  <c r="B118" i="2"/>
  <c r="J117" i="2"/>
  <c r="B117" i="2"/>
  <c r="B116" i="2"/>
  <c r="J115" i="2"/>
  <c r="B115" i="2"/>
  <c r="B114" i="2"/>
  <c r="B112" i="2"/>
  <c r="B111" i="2"/>
  <c r="B110" i="2"/>
  <c r="B109" i="2"/>
  <c r="B108" i="2"/>
  <c r="B107" i="2"/>
  <c r="B106" i="2"/>
  <c r="J105" i="2"/>
  <c r="B105" i="2"/>
  <c r="J104" i="2"/>
  <c r="B104" i="2"/>
  <c r="J103" i="2"/>
  <c r="B103" i="2"/>
  <c r="B102" i="2"/>
  <c r="B100" i="2"/>
  <c r="B98" i="2"/>
  <c r="B97" i="2"/>
  <c r="B96" i="2"/>
  <c r="B95" i="2"/>
  <c r="B94" i="2"/>
  <c r="B93" i="2"/>
  <c r="B92" i="2"/>
  <c r="B91" i="2"/>
  <c r="B90" i="2"/>
  <c r="B89" i="2"/>
  <c r="B58" i="2"/>
  <c r="B53" i="2"/>
  <c r="B52" i="2"/>
  <c r="B54" i="2" s="1"/>
  <c r="B49" i="2"/>
  <c r="B48" i="2"/>
  <c r="B47" i="2"/>
  <c r="B50" i="2" s="1"/>
  <c r="B44" i="2"/>
  <c r="B43" i="2"/>
  <c r="B42" i="2"/>
  <c r="B45" i="2" s="1"/>
  <c r="B39" i="2"/>
  <c r="B38" i="2"/>
  <c r="B37" i="2"/>
  <c r="B36" i="2"/>
  <c r="B35" i="2"/>
  <c r="B40" i="2" s="1"/>
  <c r="B32" i="2"/>
  <c r="B31" i="2"/>
  <c r="B30" i="2"/>
  <c r="B29" i="2"/>
  <c r="B28" i="2"/>
  <c r="B27" i="2"/>
  <c r="B26" i="2"/>
  <c r="B33" i="2" s="1"/>
  <c r="B23" i="2"/>
  <c r="B22" i="2"/>
  <c r="B21" i="2"/>
  <c r="B24" i="2" s="1"/>
  <c r="J18" i="2"/>
  <c r="B18" i="2"/>
  <c r="J17" i="2"/>
  <c r="B17" i="2"/>
  <c r="J16" i="2"/>
  <c r="B16" i="2"/>
  <c r="B15" i="2"/>
  <c r="B19" i="2" s="1"/>
  <c r="B14" i="2"/>
  <c r="D88" i="8" l="1"/>
  <c r="D8" i="8" s="1"/>
  <c r="D9" i="8" s="1"/>
  <c r="H33" i="2"/>
  <c r="H56" i="2" s="1"/>
  <c r="H4" i="2" s="1"/>
  <c r="H7" i="2" s="1"/>
  <c r="G33" i="2"/>
  <c r="G56" i="2" s="1"/>
  <c r="G4" i="2" s="1"/>
  <c r="G7" i="2" s="1"/>
  <c r="E33" i="2"/>
  <c r="E56" i="2" s="1"/>
  <c r="E4" i="2" s="1"/>
  <c r="E7" i="2" s="1"/>
  <c r="AK11" i="7"/>
  <c r="AK12" i="7" s="1"/>
  <c r="Q22" i="4"/>
  <c r="Q26" i="4"/>
  <c r="I40" i="4"/>
  <c r="Q23" i="4"/>
  <c r="E33" i="4"/>
  <c r="E40" i="4" s="1"/>
  <c r="F80" i="4"/>
  <c r="E81" i="4"/>
  <c r="H33" i="4"/>
  <c r="H40" i="4" s="1"/>
  <c r="F79" i="4"/>
  <c r="M32" i="4"/>
  <c r="G52" i="7"/>
  <c r="E36" i="4"/>
  <c r="K52" i="7"/>
  <c r="I36" i="4"/>
  <c r="G12" i="6"/>
  <c r="G11" i="6" s="1"/>
  <c r="I52" i="7"/>
  <c r="G36" i="4"/>
  <c r="H52" i="7"/>
  <c r="F12" i="6"/>
  <c r="F11" i="6" s="1"/>
  <c r="F36" i="4"/>
  <c r="J52" i="7"/>
  <c r="H36" i="4"/>
  <c r="H77" i="4"/>
  <c r="AQ9" i="7"/>
  <c r="AP9" i="7"/>
  <c r="AO9" i="7"/>
  <c r="G33" i="4"/>
  <c r="G40" i="4" s="1"/>
  <c r="AC7" i="3"/>
  <c r="N61" i="4"/>
  <c r="E62" i="4"/>
  <c r="AE6" i="3"/>
  <c r="N7" i="4"/>
  <c r="AD13" i="7"/>
  <c r="AL11" i="7"/>
  <c r="AL12" i="7" s="1"/>
  <c r="F33" i="4"/>
  <c r="F40" i="4" s="1"/>
  <c r="F78" i="4"/>
  <c r="I77" i="4"/>
  <c r="G78" i="4"/>
  <c r="G79" i="4" s="1"/>
  <c r="G80" i="4" s="1"/>
  <c r="G2" i="7"/>
  <c r="AB2" i="7" s="1"/>
  <c r="D89" i="8" l="1"/>
  <c r="D112" i="2"/>
  <c r="D33" i="2"/>
  <c r="D56" i="2" s="1"/>
  <c r="D4" i="2" s="1"/>
  <c r="D7" i="2" s="1"/>
  <c r="F112" i="2"/>
  <c r="F33" i="2"/>
  <c r="F56" i="2" s="1"/>
  <c r="F4" i="2" s="1"/>
  <c r="F7" i="2" s="1"/>
  <c r="AB52" i="7"/>
  <c r="AC52" i="7" s="1"/>
  <c r="AD52" i="7" s="1"/>
  <c r="AE52" i="7" s="1"/>
  <c r="AF52" i="7" s="1"/>
  <c r="D136" i="2"/>
  <c r="N96" i="2"/>
  <c r="G81" i="4"/>
  <c r="H80" i="4"/>
  <c r="I80" i="4" s="1"/>
  <c r="AK13" i="7"/>
  <c r="AE7" i="3"/>
  <c r="E2" i="3" s="1"/>
  <c r="AF6" i="3"/>
  <c r="G49" i="4"/>
  <c r="G48" i="4"/>
  <c r="E37" i="4"/>
  <c r="E50" i="4" s="1"/>
  <c r="H78" i="4"/>
  <c r="I78" i="4" s="1"/>
  <c r="O7" i="4"/>
  <c r="N32" i="4"/>
  <c r="O96" i="2"/>
  <c r="AL13" i="7"/>
  <c r="G37" i="4"/>
  <c r="G50" i="4" s="1"/>
  <c r="I49" i="4"/>
  <c r="I48" i="4"/>
  <c r="AM11" i="7"/>
  <c r="AM12" i="7" s="1"/>
  <c r="AE13" i="7"/>
  <c r="O61" i="4"/>
  <c r="F62" i="4"/>
  <c r="H79" i="4"/>
  <c r="I79" i="4" s="1"/>
  <c r="H48" i="4"/>
  <c r="H49" i="4"/>
  <c r="H37" i="4"/>
  <c r="H50" i="4" s="1"/>
  <c r="F48" i="4"/>
  <c r="F49" i="4"/>
  <c r="I37" i="4"/>
  <c r="I50" i="4" s="1"/>
  <c r="F81" i="4"/>
  <c r="F37" i="4"/>
  <c r="F50" i="4" s="1"/>
  <c r="E48" i="4"/>
  <c r="E49" i="4"/>
  <c r="E12" i="2" l="1"/>
  <c r="AL8" i="7"/>
  <c r="F2" i="6"/>
  <c r="G62" i="4"/>
  <c r="P61" i="4"/>
  <c r="O32" i="4"/>
  <c r="P7" i="4"/>
  <c r="AM13" i="7"/>
  <c r="P96" i="2"/>
  <c r="AF7" i="3"/>
  <c r="F2" i="3" s="1"/>
  <c r="AG6" i="3"/>
  <c r="N3" i="4"/>
  <c r="AF13" i="7"/>
  <c r="AN11" i="7"/>
  <c r="AN12" i="7" s="1"/>
  <c r="H81" i="4"/>
  <c r="I81" i="4" s="1"/>
  <c r="O3" i="4" l="1"/>
  <c r="E146" i="2"/>
  <c r="F12" i="2"/>
  <c r="AG13" i="7"/>
  <c r="AO11" i="7"/>
  <c r="AO12" i="7" s="1"/>
  <c r="G2" i="6"/>
  <c r="P32" i="4"/>
  <c r="Q7" i="4"/>
  <c r="Q96" i="2"/>
  <c r="AG7" i="3"/>
  <c r="G2" i="3" s="1"/>
  <c r="AH6" i="3"/>
  <c r="H62" i="4"/>
  <c r="Q61" i="4"/>
  <c r="AM8" i="7"/>
  <c r="S1" i="5"/>
  <c r="H2" i="7"/>
  <c r="G12" i="2" l="1"/>
  <c r="E136" i="2"/>
  <c r="F146" i="2"/>
  <c r="P3" i="4"/>
  <c r="H2" i="6"/>
  <c r="AH7" i="3"/>
  <c r="H2" i="3" s="1"/>
  <c r="AI6" i="3"/>
  <c r="AO13" i="7"/>
  <c r="R96" i="2"/>
  <c r="AN8" i="7"/>
  <c r="I2" i="7"/>
  <c r="AD2" i="7" s="1"/>
  <c r="T1" i="5"/>
  <c r="AC2" i="7"/>
  <c r="I62" i="4"/>
  <c r="AH13" i="7"/>
  <c r="AQ11" i="7" s="1"/>
  <c r="AQ12" i="7" s="1"/>
  <c r="AP11" i="7"/>
  <c r="AP12" i="7" s="1"/>
  <c r="AN13" i="7"/>
  <c r="G146" i="2" l="1"/>
  <c r="G136" i="2"/>
  <c r="H12" i="2"/>
  <c r="F136" i="2"/>
  <c r="Q3" i="4"/>
  <c r="AQ13" i="7"/>
  <c r="AI7" i="3"/>
  <c r="I2" i="3" s="1"/>
  <c r="AJ6" i="3"/>
  <c r="AP8" i="7"/>
  <c r="AO8" i="7"/>
  <c r="J2" i="7"/>
  <c r="AE2" i="7" s="1"/>
  <c r="U1" i="5"/>
  <c r="AP13" i="7"/>
  <c r="I2" i="6"/>
  <c r="H146" i="2" l="1"/>
  <c r="AJ7" i="3"/>
  <c r="J2" i="3" s="1"/>
  <c r="AK6" i="3"/>
  <c r="V1" i="5"/>
  <c r="K2" i="7"/>
  <c r="H136" i="2" l="1"/>
  <c r="AQ8" i="7"/>
  <c r="AF2" i="7"/>
  <c r="AK7" i="3"/>
  <c r="K2" i="3" s="1"/>
  <c r="AL6" i="3"/>
  <c r="W1" i="5"/>
  <c r="AL7" i="3" l="1"/>
  <c r="L2" i="3" s="1"/>
  <c r="AM6" i="3"/>
  <c r="AG2" i="7"/>
  <c r="X1" i="5"/>
  <c r="K66" i="7" l="1"/>
  <c r="H150" i="2" s="1"/>
  <c r="J66" i="7"/>
  <c r="G150" i="2" s="1"/>
  <c r="AH2" i="7"/>
  <c r="AM7" i="3"/>
  <c r="M2" i="3" s="1"/>
  <c r="AN6" i="3"/>
  <c r="H5" i="2" l="1"/>
  <c r="H151" i="2"/>
  <c r="H155" i="2" s="1"/>
  <c r="G5" i="2"/>
  <c r="G151" i="2"/>
  <c r="G155" i="2" s="1"/>
  <c r="AN7" i="3"/>
  <c r="AO6" i="3"/>
  <c r="AO7" i="3" s="1"/>
  <c r="I66" i="7"/>
  <c r="F150" i="2" s="1"/>
  <c r="H66" i="7"/>
  <c r="E150" i="2" s="1"/>
  <c r="F5" i="2" l="1"/>
  <c r="F151" i="2"/>
  <c r="F155" i="2" s="1"/>
  <c r="E5" i="2"/>
  <c r="F57" i="4" s="1"/>
  <c r="E151" i="2"/>
  <c r="E155" i="2" s="1"/>
  <c r="H9" i="2"/>
  <c r="H6" i="2"/>
  <c r="I55" i="4" s="1"/>
  <c r="I57" i="4"/>
  <c r="G9" i="2"/>
  <c r="G6" i="2"/>
  <c r="H55" i="4" s="1"/>
  <c r="H57" i="4"/>
  <c r="G66" i="7"/>
  <c r="D150" i="2" s="1"/>
  <c r="D5" i="2" l="1"/>
  <c r="D151" i="2"/>
  <c r="D155" i="2" s="1"/>
  <c r="E9" i="2"/>
  <c r="E6" i="2"/>
  <c r="F55" i="4" s="1"/>
  <c r="F9" i="2"/>
  <c r="F6" i="2"/>
  <c r="G55" i="4" s="1"/>
  <c r="E57" i="4"/>
  <c r="G57" i="4"/>
  <c r="D9" i="2" l="1"/>
  <c r="D6" i="2"/>
  <c r="E55" i="4"/>
  <c r="E58" i="4" l="1"/>
  <c r="F56" i="4"/>
  <c r="F58" i="4" l="1"/>
  <c r="G56" i="4"/>
  <c r="H56" i="4" l="1"/>
  <c r="G58" i="4"/>
  <c r="I56" i="4" l="1"/>
  <c r="H58" i="4"/>
  <c r="I5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hrubyda</author>
  </authors>
  <commentList>
    <comment ref="B35" authorId="0" shapeId="0" xr:uid="{50BB82D1-4693-4DB2-8263-D3010BDAD228}">
      <text>
        <r>
          <rPr>
            <b/>
            <sz val="11"/>
            <color indexed="81"/>
            <rFont val="Calibri"/>
            <family val="2"/>
            <scheme val="minor"/>
          </rPr>
          <t xml:space="preserve">Sample titles that fall under this line:
 - </t>
        </r>
        <r>
          <rPr>
            <sz val="11"/>
            <color indexed="81"/>
            <rFont val="Calibri"/>
            <family val="2"/>
            <scheme val="minor"/>
          </rPr>
          <t>Head of School
 - Superintendant
 - School Leader
 - Executive Director
 - CEO</t>
        </r>
      </text>
    </comment>
    <comment ref="B36" authorId="0" shapeId="0" xr:uid="{D72F19B0-E008-4F7C-81A4-C4EB75AE796D}">
      <text>
        <r>
          <rPr>
            <b/>
            <sz val="11"/>
            <color indexed="81"/>
            <rFont val="Calibri"/>
            <family val="2"/>
            <scheme val="minor"/>
          </rPr>
          <t xml:space="preserve">Sample titles that fall under this line:
 - </t>
        </r>
        <r>
          <rPr>
            <sz val="11"/>
            <color indexed="81"/>
            <rFont val="Calibri"/>
            <family val="2"/>
            <scheme val="minor"/>
          </rPr>
          <t>Principal
 - Vice-Principal
 - Assistant Principal
 - Chief Academic Officer</t>
        </r>
      </text>
    </comment>
    <comment ref="B38" authorId="0" shapeId="0" xr:uid="{D47FA3C5-C5DA-43FC-8F89-DDD9DACAEB3D}">
      <text>
        <r>
          <rPr>
            <b/>
            <sz val="11"/>
            <color indexed="81"/>
            <rFont val="Calibri"/>
            <family val="2"/>
            <scheme val="minor"/>
          </rPr>
          <t>Sample titles that fall under this line:</t>
        </r>
        <r>
          <rPr>
            <sz val="11"/>
            <color indexed="81"/>
            <rFont val="Calibri"/>
            <family val="2"/>
            <scheme val="minor"/>
          </rPr>
          <t xml:space="preserve">
 - Secretary
 - Receptionist
 - Attendance Clerk
 - Office Manager</t>
        </r>
      </text>
    </comment>
    <comment ref="B43" authorId="0" shapeId="0" xr:uid="{EA0DD085-4BE2-4193-A203-10B84F28D63A}">
      <text>
        <r>
          <rPr>
            <b/>
            <sz val="11"/>
            <color indexed="81"/>
            <rFont val="Calibri"/>
            <family val="2"/>
            <scheme val="minor"/>
          </rPr>
          <t>Sample titles that fall under this line:</t>
        </r>
        <r>
          <rPr>
            <sz val="11"/>
            <color indexed="81"/>
            <rFont val="Calibri"/>
            <family val="2"/>
            <scheme val="minor"/>
          </rPr>
          <t xml:space="preserve">
Content/Subject Area Teachers:
   - ELA
   - Math
   - Social Studies
   - Science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hrubyda</author>
  </authors>
  <commentList>
    <comment ref="B60" authorId="0" shapeId="0" xr:uid="{4B9D3A74-FAFF-4EA4-B6EF-BCB041512A2F}">
      <text>
        <r>
          <rPr>
            <b/>
            <sz val="11"/>
            <color indexed="81"/>
            <rFont val="Calibri"/>
            <family val="2"/>
            <scheme val="minor"/>
          </rPr>
          <t xml:space="preserve">Sample titles that fall under this line:
 - </t>
        </r>
        <r>
          <rPr>
            <sz val="11"/>
            <color indexed="81"/>
            <rFont val="Calibri"/>
            <family val="2"/>
            <scheme val="minor"/>
          </rPr>
          <t>Head of School
 - Superintendant
 - School Leader
 - Executive Director
 - CEO</t>
        </r>
      </text>
    </comment>
    <comment ref="B61" authorId="0" shapeId="0" xr:uid="{31230836-D1B7-4626-AFD8-A4C6DFF2C463}">
      <text>
        <r>
          <rPr>
            <b/>
            <sz val="11"/>
            <color indexed="81"/>
            <rFont val="Calibri"/>
            <family val="2"/>
            <scheme val="minor"/>
          </rPr>
          <t xml:space="preserve">Sample titles that fall under this line:
 - </t>
        </r>
        <r>
          <rPr>
            <sz val="11"/>
            <color indexed="81"/>
            <rFont val="Calibri"/>
            <family val="2"/>
            <scheme val="minor"/>
          </rPr>
          <t>Principal
 - Vice-Principal
 - Assistant Principal
 - Chief Academic Officer</t>
        </r>
      </text>
    </comment>
    <comment ref="B62" authorId="0" shapeId="0" xr:uid="{9416200A-8A07-4BE6-A06E-A58D5424BC9E}">
      <text>
        <r>
          <rPr>
            <b/>
            <sz val="11"/>
            <color indexed="81"/>
            <rFont val="Calibri"/>
            <family val="2"/>
            <scheme val="minor"/>
          </rPr>
          <t xml:space="preserve">Sample titles that fall under this line:
</t>
        </r>
        <r>
          <rPr>
            <sz val="11"/>
            <color indexed="81"/>
            <rFont val="Calibri"/>
            <family val="2"/>
            <scheme val="minor"/>
          </rPr>
          <t>Director, Deans, Coordinators of:
 - Curriculum
 - Instruction
 - Faculty
 - Students
 - Assessment
 - Student Affairs
 - Student Achievement
 - Development</t>
        </r>
      </text>
    </comment>
    <comment ref="B65" authorId="0" shapeId="0" xr:uid="{75F09C7F-1FDF-40DE-B092-757AABB594E9}">
      <text>
        <r>
          <rPr>
            <b/>
            <sz val="11"/>
            <color indexed="81"/>
            <rFont val="Calibri"/>
            <family val="2"/>
            <scheme val="minor"/>
          </rPr>
          <t>Sample titles that fall under this line:</t>
        </r>
        <r>
          <rPr>
            <sz val="11"/>
            <color indexed="81"/>
            <rFont val="Calibri"/>
            <family val="2"/>
            <scheme val="minor"/>
          </rPr>
          <t xml:space="preserve">
 - Secretary
 - Receptionist
 - Attendance Clerk
 - Office Manager</t>
        </r>
      </text>
    </comment>
    <comment ref="B70" authorId="0" shapeId="0" xr:uid="{10556401-45D9-4269-BC3C-A379DB1E314E}">
      <text>
        <r>
          <rPr>
            <b/>
            <sz val="11"/>
            <color indexed="81"/>
            <rFont val="Calibri"/>
            <family val="2"/>
            <scheme val="minor"/>
          </rPr>
          <t>Sample titles that fall under this line:</t>
        </r>
        <r>
          <rPr>
            <sz val="11"/>
            <color indexed="81"/>
            <rFont val="Calibri"/>
            <family val="2"/>
            <scheme val="minor"/>
          </rPr>
          <t xml:space="preserve">
Content/Subject Area Teachers:
   - ELA
   - Math
   - Social Studies
   - Science</t>
        </r>
      </text>
    </comment>
    <comment ref="B73" authorId="0" shapeId="0" xr:uid="{A8E97E2C-FF74-49DE-AFFC-DBD050B4307D}">
      <text>
        <r>
          <rPr>
            <b/>
            <sz val="11"/>
            <color indexed="81"/>
            <rFont val="Calibri"/>
            <family val="2"/>
            <scheme val="minor"/>
          </rPr>
          <t>Sample titles that fall under this line:</t>
        </r>
        <r>
          <rPr>
            <sz val="11"/>
            <color indexed="81"/>
            <rFont val="Calibri"/>
            <family val="2"/>
            <scheme val="minor"/>
          </rPr>
          <t xml:space="preserve">
 - ESL
 - Reading
 - Math and/or Literacy Specialists
 - Art
 - PE
 - Music
 - Foreign Languages
 - Photography
 - Ceramics</t>
        </r>
      </text>
    </comment>
    <comment ref="B75" authorId="0" shapeId="0" xr:uid="{48CB0C47-DE3D-4899-9AA0-064E2B9C55D7}">
      <text>
        <r>
          <rPr>
            <b/>
            <sz val="11"/>
            <color indexed="81"/>
            <rFont val="Calibri"/>
            <family val="2"/>
            <scheme val="minor"/>
          </rPr>
          <t>Sample titles that fall under this line:</t>
        </r>
        <r>
          <rPr>
            <sz val="11"/>
            <color indexed="81"/>
            <rFont val="Calibri"/>
            <family val="2"/>
            <scheme val="minor"/>
          </rPr>
          <t xml:space="preserve">
 - Speech Therapists
 - Social Workers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Gasper Martinez</author>
    <author>DHruby</author>
  </authors>
  <commentList>
    <comment ref="C22" authorId="0" shapeId="0" xr:uid="{9613A677-58F5-4CED-9B41-35AA40B787AB}">
      <text>
        <r>
          <rPr>
            <b/>
            <sz val="12"/>
            <color indexed="81"/>
            <rFont val="Calibri"/>
            <family val="2"/>
            <scheme val="minor"/>
          </rPr>
          <t>Free and Reduced CANNOT be greater than 100% Combined.</t>
        </r>
      </text>
    </comment>
    <comment ref="C23" authorId="0" shapeId="0" xr:uid="{54237916-9F9E-427E-9FD9-6BBF48E4797C}">
      <text>
        <r>
          <rPr>
            <b/>
            <sz val="12"/>
            <color indexed="81"/>
            <rFont val="Calibri"/>
            <family val="2"/>
            <scheme val="minor"/>
          </rPr>
          <t>Free and Reduced CANNOT be 
greater than 100% Combined.</t>
        </r>
      </text>
    </comment>
    <comment ref="C45" authorId="1" shapeId="0" xr:uid="{C02579A2-67A9-45A6-B086-7765642052E1}">
      <text>
        <r>
          <rPr>
            <b/>
            <sz val="12"/>
            <color indexed="81"/>
            <rFont val="Calibri"/>
            <family val="2"/>
            <scheme val="minor"/>
          </rPr>
          <t>ADM
The total number of school days within a given term - usually a school month or school year - that a student's name is on the current roll of a class, regardless of his/her being present or absent, is the "number of days in membership" for that student.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1" shapeId="0" xr:uid="{4472D5C3-925B-4BD6-9D55-C22ECCC4E5C1}">
      <text>
        <r>
          <rPr>
            <b/>
            <sz val="12"/>
            <color indexed="81"/>
            <rFont val="Calibri"/>
            <family val="2"/>
            <scheme val="minor"/>
          </rPr>
          <t>ADA
Attendance is the presence of a student on days when school is in session. A student is counted as present only when he/she is actually at school, present at another activity sponsored by the school as part of the school's program, or personally supervised by a member of the staff.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Hruby, David</author>
    <author>hrubyda</author>
  </authors>
  <commentList>
    <comment ref="C23" authorId="0" shapeId="0" xr:uid="{2E7AEBB7-491C-4994-8E07-08ED807E919B}">
      <text>
        <r>
          <rPr>
            <b/>
            <sz val="11"/>
            <color indexed="81"/>
            <rFont val="Calibri"/>
            <family val="2"/>
            <scheme val="minor"/>
          </rPr>
          <t>WA Commission:</t>
        </r>
        <r>
          <rPr>
            <sz val="11"/>
            <color indexed="81"/>
            <rFont val="Calibri"/>
            <family val="2"/>
            <scheme val="minor"/>
          </rPr>
          <t xml:space="preserve">
Oversight fee is auto-calculated; Line takes 3% of revenue lines:
 - 3100, 3121, 4121, 4155, 4165, 4174 &amp; 4199
</t>
        </r>
      </text>
    </comment>
    <comment ref="C33" authorId="1" shapeId="0" xr:uid="{3B566450-EBA4-45C4-965C-60FB0ED1BD94}">
      <text>
        <r>
          <rPr>
            <b/>
            <sz val="11"/>
            <color indexed="81"/>
            <rFont val="Calibri"/>
            <family val="2"/>
            <scheme val="minor"/>
          </rPr>
          <t>Expenses under Other would include:</t>
        </r>
        <r>
          <rPr>
            <sz val="11"/>
            <color indexed="81"/>
            <rFont val="Calibri"/>
            <family val="2"/>
            <scheme val="minor"/>
          </rPr>
          <t xml:space="preserve">
 - Development
 - Conferences</t>
        </r>
      </text>
    </comment>
    <comment ref="C37" authorId="1" shapeId="0" xr:uid="{D19417F5-AF5C-4F51-86CA-0D7F5E4B851D}">
      <text>
        <r>
          <rPr>
            <b/>
            <sz val="11"/>
            <color indexed="81"/>
            <rFont val="Calibri"/>
            <family val="2"/>
            <scheme val="minor"/>
          </rPr>
          <t>Expenses under Other would include:</t>
        </r>
        <r>
          <rPr>
            <sz val="11"/>
            <color indexed="81"/>
            <rFont val="Calibri"/>
            <family val="2"/>
            <scheme val="minor"/>
          </rPr>
          <t xml:space="preserve">
 - Instructional
 - Non-Instructional
 - Athletic
 - Music
 - Office Equipment
</t>
        </r>
        <r>
          <rPr>
            <b/>
            <sz val="11"/>
            <color indexed="81"/>
            <rFont val="Calibri"/>
            <family val="2"/>
            <scheme val="minor"/>
          </rPr>
          <t>* Includes the Purchase or Lease of  any of the above</t>
        </r>
      </text>
    </comment>
    <comment ref="C39" authorId="1" shapeId="0" xr:uid="{7DC51392-4720-46E2-97DF-41C19132C85A}">
      <text>
        <r>
          <rPr>
            <b/>
            <sz val="11"/>
            <color indexed="81"/>
            <rFont val="Calibri"/>
            <family val="2"/>
            <scheme val="minor"/>
          </rPr>
          <t>Expenses under Other would include:</t>
        </r>
        <r>
          <rPr>
            <sz val="11"/>
            <color indexed="81"/>
            <rFont val="Calibri"/>
            <family val="2"/>
            <scheme val="minor"/>
          </rPr>
          <t xml:space="preserve">
 - Hardware
 - Software
 - Internet
 - Wiring
 - Other</t>
        </r>
      </text>
    </comment>
    <comment ref="C40" authorId="1" shapeId="0" xr:uid="{2ABD7DBB-DED2-49A1-A41C-0ADC4B789455}">
      <text>
        <r>
          <rPr>
            <b/>
            <sz val="11"/>
            <color indexed="81"/>
            <rFont val="Calibri"/>
            <family val="2"/>
            <scheme val="minor"/>
          </rPr>
          <t>Expenses under Other would include:</t>
        </r>
        <r>
          <rPr>
            <sz val="11"/>
            <color indexed="81"/>
            <rFont val="Calibri"/>
            <family val="2"/>
            <scheme val="minor"/>
          </rPr>
          <t xml:space="preserve">
 - Hardware
 - Software
 - Internet
 - Wiring
 - Other</t>
        </r>
      </text>
    </comment>
    <comment ref="C44" authorId="1" shapeId="0" xr:uid="{06155AB1-434D-497B-BC1A-40B65BC1E01E}">
      <text>
        <r>
          <rPr>
            <b/>
            <sz val="11"/>
            <color indexed="81"/>
            <rFont val="Calibri"/>
            <family val="2"/>
            <scheme val="minor"/>
          </rPr>
          <t>Expenses under Other would include:</t>
        </r>
        <r>
          <rPr>
            <sz val="11"/>
            <color indexed="81"/>
            <rFont val="Calibri"/>
            <family val="2"/>
            <scheme val="minor"/>
          </rPr>
          <t xml:space="preserve">
 - Uniforms
 - Special Events</t>
        </r>
      </text>
    </comment>
    <comment ref="C45" authorId="1" shapeId="0" xr:uid="{46A0135E-696E-4282-858D-8A34DB8B1DBA}">
      <text>
        <r>
          <rPr>
            <b/>
            <sz val="11"/>
            <color indexed="81"/>
            <rFont val="Calibri"/>
            <family val="2"/>
            <scheme val="minor"/>
          </rPr>
          <t>Expenses under Other would include:</t>
        </r>
        <r>
          <rPr>
            <sz val="11"/>
            <color indexed="81"/>
            <rFont val="Calibri"/>
            <family val="2"/>
            <scheme val="minor"/>
          </rPr>
          <t xml:space="preserve">
 - Printing
 - Postage
 - Copying
 - All Other</t>
        </r>
      </text>
    </comment>
  </commentList>
</comments>
</file>

<file path=xl/sharedStrings.xml><?xml version="1.0" encoding="utf-8"?>
<sst xmlns="http://schemas.openxmlformats.org/spreadsheetml/2006/main" count="568" uniqueCount="401">
  <si>
    <t>Planning Year Budget</t>
  </si>
  <si>
    <t>SUMMARY</t>
  </si>
  <si>
    <t>Year 0 (13 months)
(Aug 2020 - Aug 2021)</t>
  </si>
  <si>
    <t>Description of Assumptions</t>
  </si>
  <si>
    <t>Total Revenue</t>
  </si>
  <si>
    <t>Total Expenses</t>
  </si>
  <si>
    <t>Net Income</t>
  </si>
  <si>
    <t>Revenue Per Pupil</t>
  </si>
  <si>
    <t>Expenses Per Pupil</t>
  </si>
  <si>
    <t>Start-Up 
Period</t>
  </si>
  <si>
    <t>REVENUE</t>
  </si>
  <si>
    <t>2000 - LOCAL SUPPORT - NON-TAX</t>
  </si>
  <si>
    <t xml:space="preserve">2200 - Sale Of Goods, Supplies, &amp; Services </t>
  </si>
  <si>
    <t xml:space="preserve">2500 - Gifts Grants, and Donations (Local)   </t>
  </si>
  <si>
    <t>Local fundraising goal</t>
  </si>
  <si>
    <t xml:space="preserve">2298 - Local lunch sales </t>
  </si>
  <si>
    <t>TOTAL 2000 - LOCAL SUPPORT - NON-TAX</t>
  </si>
  <si>
    <t>6000 - FEDERAL REVENUE - SPECIAL PURPOSE</t>
  </si>
  <si>
    <t xml:space="preserve">6198 - School Food Services     </t>
  </si>
  <si>
    <t>CSP</t>
  </si>
  <si>
    <t>Year 0 CSP Grant</t>
  </si>
  <si>
    <t>TOTAL 6000 - FEDERAL REVENUE - SPECIAL PURPOSE</t>
  </si>
  <si>
    <t>8000 - OTHER ENTITIES</t>
  </si>
  <si>
    <t xml:space="preserve">8100 - Governmental Entities      </t>
  </si>
  <si>
    <t xml:space="preserve">8200 - Private Foundations  </t>
  </si>
  <si>
    <t>WA Charter Planning Year Grant + $15K COVID Grant</t>
  </si>
  <si>
    <t>TOTAL 8000 - OTHER ENTITIES</t>
  </si>
  <si>
    <t>9000 - OTHER FINANCING SOURCES</t>
  </si>
  <si>
    <t xml:space="preserve">9500 - Long-Term Financing      </t>
  </si>
  <si>
    <t>TOTAL 9000 - OTHER FINANCING SOURCES</t>
  </si>
  <si>
    <t>TOTAL REVENUE</t>
  </si>
  <si>
    <t>FTE</t>
  </si>
  <si>
    <t>EXPENSES</t>
  </si>
  <si>
    <t>ADMINISTRATIVE STAFF PERSONNEL COSTS</t>
  </si>
  <si>
    <t>Executive Management</t>
  </si>
  <si>
    <t>Head of school;</t>
  </si>
  <si>
    <t>Instructional Management</t>
  </si>
  <si>
    <t>Montessori Coach/Director of Assessment &amp; Instruction;  start date: 12/1 (9 mos) + $4k moving stipend</t>
  </si>
  <si>
    <t>Deans, Directors &amp; Coordinators</t>
  </si>
  <si>
    <t>CFO / Director of Finance</t>
  </si>
  <si>
    <t>Notes</t>
  </si>
  <si>
    <t>Operation / Business Manager</t>
  </si>
  <si>
    <t>Family &amp; Community Engagement Coordinator</t>
  </si>
  <si>
    <t>Other - Administrative</t>
  </si>
  <si>
    <t>TOTAL ADMINISTRATIVE STAFF PERSONNEL COSTS</t>
  </si>
  <si>
    <t>INSTRUCTIONAL PERSONNEL COSTS</t>
  </si>
  <si>
    <t>Teachers - Regular</t>
  </si>
  <si>
    <t>3 weeks of teacher on-boarding at $38/hr</t>
  </si>
  <si>
    <t>Teachers - SPED</t>
  </si>
  <si>
    <t>Teaching Assistants</t>
  </si>
  <si>
    <t>Specialty Teachers</t>
  </si>
  <si>
    <t>Aides</t>
  </si>
  <si>
    <t>Therapists &amp; Counselors</t>
  </si>
  <si>
    <t xml:space="preserve">Other - Instructional </t>
  </si>
  <si>
    <t>TOTAL INSTRUCTIONAL PERSONNEL COSTS</t>
  </si>
  <si>
    <t>NON-INSTRUCTIONAL PERSONNEL COSTS</t>
  </si>
  <si>
    <t>Nurse</t>
  </si>
  <si>
    <t>Librarian</t>
  </si>
  <si>
    <t>Custodian</t>
  </si>
  <si>
    <t>Security</t>
  </si>
  <si>
    <t xml:space="preserve">Other - Non-Instructional </t>
  </si>
  <si>
    <t>TOTAL NON-INSTRUCTIONAL PERSONNEL COSTS</t>
  </si>
  <si>
    <t>TOTAL PERSONNEL SALARY COSTS</t>
  </si>
  <si>
    <t>PAYROLL TAXES AND BENEFITS</t>
  </si>
  <si>
    <t>Social Security</t>
  </si>
  <si>
    <t>Medicare</t>
  </si>
  <si>
    <t>State Unemployment</t>
  </si>
  <si>
    <t>Worker's Compensation Insurance</t>
  </si>
  <si>
    <t>Federal Unemployment</t>
  </si>
  <si>
    <t>SEBB</t>
  </si>
  <si>
    <t>SERS (Classified Retirement)</t>
  </si>
  <si>
    <t>TRS (Certificated Retirement)</t>
  </si>
  <si>
    <t>TOTAL PAYROLL TAXES AND BENEFITS</t>
  </si>
  <si>
    <t>TOTAL PERSONNEL, TAX &amp; BENEFIT EXPENSES</t>
  </si>
  <si>
    <t>CONTRACTED SERVICES</t>
  </si>
  <si>
    <t xml:space="preserve">Accounting / Audit </t>
  </si>
  <si>
    <t>Legal</t>
  </si>
  <si>
    <t>Student Health</t>
  </si>
  <si>
    <t>Back Office</t>
  </si>
  <si>
    <t>Joule Growth (CFO Support)</t>
  </si>
  <si>
    <t>Special Ed</t>
  </si>
  <si>
    <t>Program Support / PD</t>
  </si>
  <si>
    <t>TSS Place Network and National Center for Montessori in the Public Sector (Support and professional development)- $15k each; $1.5k Nautilus</t>
  </si>
  <si>
    <t>Tech support</t>
  </si>
  <si>
    <t>E-rate support (DAC) + $10k (tech services)</t>
  </si>
  <si>
    <t>TOTAL CONTRACTED SERVICES</t>
  </si>
  <si>
    <t>SCHOOL OPERATIONS</t>
  </si>
  <si>
    <t>Board Expenses</t>
  </si>
  <si>
    <t>Board On Track</t>
  </si>
  <si>
    <t>Classroom / Teaching Supplies &amp; Materials</t>
  </si>
  <si>
    <t>Special Ed Supplies &amp; Materials</t>
  </si>
  <si>
    <t>Textbooks / Workbooks</t>
  </si>
  <si>
    <t xml:space="preserve">Equipment / Furniture   </t>
  </si>
  <si>
    <t>Internet / Phone</t>
  </si>
  <si>
    <t>Technology Hardware</t>
  </si>
  <si>
    <t>Technology Software</t>
  </si>
  <si>
    <t>Program subscriptions (ex. box, canva, MS - $300); SchoolMint ($8581)</t>
  </si>
  <si>
    <t>Student Testing &amp; Assessment</t>
  </si>
  <si>
    <t>Field Trips</t>
  </si>
  <si>
    <t>Transportation (student)</t>
  </si>
  <si>
    <t>Student Services - other</t>
  </si>
  <si>
    <t>Office Expense</t>
  </si>
  <si>
    <t>Setup office supplies, copy paper</t>
  </si>
  <si>
    <t>Staff Development</t>
  </si>
  <si>
    <t>Staff Recruitment</t>
  </si>
  <si>
    <t>Food and travel for interviews</t>
  </si>
  <si>
    <t>Student Recruitment / Marketing</t>
  </si>
  <si>
    <t>School Mint ($8,581) &amp; Website design and launch (~$5K), flyers, mailers, etc</t>
  </si>
  <si>
    <t>School Meals / Lunch</t>
  </si>
  <si>
    <t>Travel (Staff)</t>
  </si>
  <si>
    <t>Fundraising</t>
  </si>
  <si>
    <t>donor database management system</t>
  </si>
  <si>
    <t>Dues &amp; Memberships</t>
  </si>
  <si>
    <t>WA Charters membership and bank fees</t>
  </si>
  <si>
    <t>Printer</t>
  </si>
  <si>
    <t>TOTAL SCHOOL OPERATIONS</t>
  </si>
  <si>
    <t>FACILITY OPERATION &amp; MAINTENANCE</t>
  </si>
  <si>
    <t>Insurance</t>
  </si>
  <si>
    <t>D&amp;O and Facilities insurance</t>
  </si>
  <si>
    <t>Janitorial Services</t>
  </si>
  <si>
    <t>Building and Land Rent / Lease</t>
  </si>
  <si>
    <t>Jan-Aug Gladish ($25k) + Rental Office / Meeting Space ($20k)</t>
  </si>
  <si>
    <t xml:space="preserve">Repairs &amp; Maintenance </t>
  </si>
  <si>
    <t>Security Services</t>
  </si>
  <si>
    <t>Utilities</t>
  </si>
  <si>
    <t>Building Updates (Financing)</t>
  </si>
  <si>
    <t>TOTAL FACILITY OPERATION &amp; MAINTENANCE</t>
  </si>
  <si>
    <t>RESERVES / CONTIGENCY</t>
  </si>
  <si>
    <t>Operating Net Income</t>
  </si>
  <si>
    <t>DEPRECIATION / AMORTIZATION</t>
  </si>
  <si>
    <t>Final Net Income</t>
  </si>
  <si>
    <t>Total Enrollment</t>
  </si>
  <si>
    <t>General Apportionment Per Pupil</t>
  </si>
  <si>
    <t>YEAR 1</t>
  </si>
  <si>
    <t>YEAR 2</t>
  </si>
  <si>
    <t>YEAR 3</t>
  </si>
  <si>
    <t>YEAR 4</t>
  </si>
  <si>
    <t>YEAR 5</t>
  </si>
  <si>
    <t>From Single School Forecast Tool</t>
  </si>
  <si>
    <t>Based on resident district transpo funding rate and ridership count</t>
  </si>
  <si>
    <t>From State &amp; Fed Rev tab</t>
  </si>
  <si>
    <t xml:space="preserve"> </t>
  </si>
  <si>
    <t>From Local &amp; Pvt Rev tab</t>
  </si>
  <si>
    <t>Administrative Staff</t>
  </si>
  <si>
    <t>Blue = # classrooms</t>
  </si>
  <si>
    <t>Enrollment</t>
  </si>
  <si>
    <t>Cap</t>
  </si>
  <si>
    <t>Orange = original enrollment</t>
  </si>
  <si>
    <t>Kindergarten</t>
  </si>
  <si>
    <t>1st Grade</t>
  </si>
  <si>
    <t>2nd Grade</t>
  </si>
  <si>
    <t>DO NOT TOUCH ---&gt;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</si>
  <si>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</si>
  <si>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</si>
  <si>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</si>
  <si>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</si>
  <si>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</si>
  <si>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</si>
  <si>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</si>
  <si>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</si>
  <si>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</si>
  <si>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</si>
  <si>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Total Elementary Enrollment</t>
  </si>
  <si>
    <t>Total Middle School Enrollment</t>
  </si>
  <si>
    <t>Total High School Enrollment</t>
  </si>
  <si>
    <t>Change in Net Enrollment from Prior Year</t>
  </si>
  <si>
    <r>
      <t xml:space="preserve">Student Population: Percentages
</t>
    </r>
    <r>
      <rPr>
        <b/>
        <sz val="9"/>
        <color theme="0"/>
        <rFont val="Calibri"/>
        <family val="2"/>
        <scheme val="minor"/>
      </rPr>
      <t>fill in all gray cells</t>
    </r>
  </si>
  <si>
    <t>% Student Qualifying for Free Lunch</t>
  </si>
  <si>
    <t>% Student Qualifying for Reduced Lunch</t>
  </si>
  <si>
    <t>TBIP K-6 %</t>
  </si>
  <si>
    <t>TBIP 7-12 %</t>
  </si>
  <si>
    <t>TBIP Exited %</t>
  </si>
  <si>
    <t>Highly Capable Program?</t>
  </si>
  <si>
    <t>Yes</t>
  </si>
  <si>
    <t>Special Education Students Tier 1 %</t>
  </si>
  <si>
    <t>Special Education Students Tier 2 %</t>
  </si>
  <si>
    <t>Average Daily Membership %</t>
  </si>
  <si>
    <t>Average Daily Attendance %</t>
  </si>
  <si>
    <t>English Language Learner %</t>
  </si>
  <si>
    <t>Student Transportation</t>
  </si>
  <si>
    <t>K-3 Ratio Student to Teacher Ratio</t>
  </si>
  <si>
    <r>
      <t xml:space="preserve">Student Population: Counts
</t>
    </r>
    <r>
      <rPr>
        <b/>
        <sz val="9"/>
        <color theme="1"/>
        <rFont val="Calibri"/>
        <family val="2"/>
        <scheme val="minor"/>
      </rPr>
      <t>fill in all gray cells</t>
    </r>
  </si>
  <si>
    <t>Free and Reduced Price Lunch Student %</t>
  </si>
  <si>
    <t>Student Count Qualifying for Free Lunch</t>
  </si>
  <si>
    <t>Student Count Qualifying for Reduced Lunch</t>
  </si>
  <si>
    <t>Student Count Qualifying for Free or Reduced Lunch</t>
  </si>
  <si>
    <t>TBIP (K-6) FTE</t>
  </si>
  <si>
    <t>TBIP(7-12) FTE</t>
  </si>
  <si>
    <t>TBIP Exited FTE</t>
  </si>
  <si>
    <t>Actual Special Education Student Count (SPED)</t>
  </si>
  <si>
    <t>Student Transportation Count</t>
  </si>
  <si>
    <t>Average Daily Membership (ADM)</t>
  </si>
  <si>
    <t>Average Daily Attendance (ADA)</t>
  </si>
  <si>
    <t>English Language Learner Count (ELL)</t>
  </si>
  <si>
    <t>Salary Totals</t>
  </si>
  <si>
    <t>Position Category
(Categories Match Up to the Categories on the Five Year Budget)</t>
  </si>
  <si>
    <t>Year 1</t>
  </si>
  <si>
    <t>Year 2</t>
  </si>
  <si>
    <t>Year 3</t>
  </si>
  <si>
    <t>Year 4</t>
  </si>
  <si>
    <t>Year 5</t>
  </si>
  <si>
    <t>Number of FTE</t>
  </si>
  <si>
    <t>Yearly Raise %</t>
  </si>
  <si>
    <t>Position Description</t>
  </si>
  <si>
    <t>Starting Salary</t>
  </si>
  <si>
    <t>NOTES</t>
  </si>
  <si>
    <t>Type</t>
  </si>
  <si>
    <t>Classificiation</t>
  </si>
  <si>
    <t>Head of School</t>
  </si>
  <si>
    <t>Class</t>
  </si>
  <si>
    <t>Director of Operations</t>
  </si>
  <si>
    <t>Montessori Coach/Director of Assessment &amp; Instruction</t>
  </si>
  <si>
    <t>Montessori Coach 2</t>
  </si>
  <si>
    <t>Office Manager/Administrative Assistant</t>
  </si>
  <si>
    <t>Food Service Manager</t>
  </si>
  <si>
    <t>Montessori Teacher: WA Cert + Mont (3-6)</t>
  </si>
  <si>
    <t>Cert</t>
  </si>
  <si>
    <t>Montessori Teacher: WA Cert + Mont (6-9)</t>
  </si>
  <si>
    <t>Montessori Teacher: WA Cert + Mont (9-12)</t>
  </si>
  <si>
    <t>Adolescent Montessori Teacher (12-15): WA Secondary Math Cert</t>
  </si>
  <si>
    <t>Adolescent Montessori Teacher (12-15) certified: WA Secondary ELA &amp; SS Cert</t>
  </si>
  <si>
    <t>Adolescent Montessori Teacher (12-15) certified: WA Secondary Science Cert</t>
  </si>
  <si>
    <t>Trained Classroom Assistant/Paraprofessionals</t>
  </si>
  <si>
    <t>Trained Classroom Assistant/Paraprofessionals - Basic Ed</t>
  </si>
  <si>
    <t>Special Education Teacher &amp; Program Manager</t>
  </si>
  <si>
    <t>Special Education Teacher(s)/Behavioral Specialist</t>
  </si>
  <si>
    <t xml:space="preserve">Specialty Program Teacher: Spanish-French </t>
  </si>
  <si>
    <t>Specialty Program Teacher: Physical Education for Life/SEL Coach</t>
  </si>
  <si>
    <t>School Counselor</t>
  </si>
  <si>
    <t>Social Worker</t>
  </si>
  <si>
    <t>Total</t>
  </si>
  <si>
    <t>SEBB Eligible</t>
  </si>
  <si>
    <t>Enrollment Counts</t>
  </si>
  <si>
    <t>SPED Enrollment</t>
  </si>
  <si>
    <t>Staff Counts</t>
  </si>
  <si>
    <t>Students/EE</t>
  </si>
  <si>
    <t>Teachers</t>
  </si>
  <si>
    <t>Admin</t>
  </si>
  <si>
    <t>Non-Instr Staff</t>
  </si>
  <si>
    <t>Para</t>
  </si>
  <si>
    <t>SPED Staff</t>
  </si>
  <si>
    <t>Student Teacher Ratios</t>
  </si>
  <si>
    <t>Teacher Ratio</t>
  </si>
  <si>
    <t>Para Ratio</t>
  </si>
  <si>
    <t>SPED Ratio</t>
  </si>
  <si>
    <t>Teacher Para Ratio</t>
  </si>
  <si>
    <t>Cumulative Net Income</t>
  </si>
  <si>
    <t>Cash covenant requirement</t>
  </si>
  <si>
    <t xml:space="preserve">Over / (Under) </t>
  </si>
  <si>
    <t>Ideal assistants</t>
  </si>
  <si>
    <t>Cost Variance</t>
  </si>
  <si>
    <t>K-3 Ratio Calculation:</t>
  </si>
  <si>
    <t>https://www.k12.wa.us/sites/default/files/public/safs/misc/2015-16/k-3complianceqanda.pdf</t>
  </si>
  <si>
    <t>K-3 Ratio</t>
  </si>
  <si>
    <t>FTE %'s</t>
  </si>
  <si>
    <t>Teachers coded to program 01- Basic Education to grade groupings K, 1, 2, and 3 and are</t>
  </si>
  <si>
    <t>Position</t>
  </si>
  <si>
    <t>Count</t>
  </si>
  <si>
    <t>K%</t>
  </si>
  <si>
    <t>1G %</t>
  </si>
  <si>
    <t>2G%</t>
  </si>
  <si>
    <t>3G%</t>
  </si>
  <si>
    <t>reported in one of the following duty roots will be considered:</t>
  </si>
  <si>
    <t>? Duty root 31 — Elementary Homeroom Teacher</t>
  </si>
  <si>
    <t>? Duty root 33 — Other Teacher</t>
  </si>
  <si>
    <t>? Duty root 34 — Elementary Specialist Teacher</t>
  </si>
  <si>
    <t>Specialist Teacher (PE  for Life)</t>
  </si>
  <si>
    <t>Specialist Teacher (Language)</t>
  </si>
  <si>
    <t>Exta Teacher</t>
  </si>
  <si>
    <t>Certificated Assistants</t>
  </si>
  <si>
    <t>? Duty root 52 — Substitute Teacher</t>
  </si>
  <si>
    <t>? Duty root 63 — Contractor Teacher</t>
  </si>
  <si>
    <t>SPED teacher</t>
  </si>
  <si>
    <t>Calculation</t>
  </si>
  <si>
    <t>Teacher FTE</t>
  </si>
  <si>
    <t>SPED FTE</t>
  </si>
  <si>
    <t>Total Teachers</t>
  </si>
  <si>
    <t>Demonstrated Class Size</t>
  </si>
  <si>
    <t>A portion of program 21 teacher FTE who are assigned to non-high poverty schools will be
included in the non-high poverty class size compliance calculation</t>
  </si>
  <si>
    <t>K</t>
  </si>
  <si>
    <t>multiplied by the annual percentage of students in special education instruction which was used in</t>
  </si>
  <si>
    <t>the determination of your district’s 3121 revenue</t>
  </si>
  <si>
    <t>Per Student Amount</t>
  </si>
  <si>
    <t>Inflation Assumptions / Yearly Funding</t>
  </si>
  <si>
    <t>Notes / Description</t>
  </si>
  <si>
    <t>1000 - LOCAL TAXES</t>
  </si>
  <si>
    <t>1100 - Local Property Tax</t>
  </si>
  <si>
    <t>1900 - Other Local Taxes</t>
  </si>
  <si>
    <t>STATEVE REVENUE INFLATION ASSUMPTIONS</t>
  </si>
  <si>
    <t>3000 - STATE REVENUE - GENERAL PURPOSE</t>
  </si>
  <si>
    <t>Affects 3100 and 3121</t>
  </si>
  <si>
    <t>4000 - STATE REVENUE - SPECIAL PURPOSE</t>
  </si>
  <si>
    <t>Affects all categorical funding except Transportation</t>
  </si>
  <si>
    <t xml:space="preserve">4198 - School Food Service      </t>
  </si>
  <si>
    <t>4199 - Transportation</t>
  </si>
  <si>
    <t xml:space="preserve">3100 - Apportionment   </t>
  </si>
  <si>
    <t xml:space="preserve">3121 - Special Education - General Apportionment  </t>
  </si>
  <si>
    <t xml:space="preserve">4121 - Special Education - State   </t>
  </si>
  <si>
    <t xml:space="preserve">4155 - Learning Assistance   </t>
  </si>
  <si>
    <t>4165 - Transitional Bilingual</t>
  </si>
  <si>
    <t xml:space="preserve">4174 - Highly Capable      </t>
  </si>
  <si>
    <t>4199 - Transportation - Operations</t>
  </si>
  <si>
    <t>5000 - FEDERAL REVENUE - RESTRICTED</t>
  </si>
  <si>
    <t>Title I</t>
  </si>
  <si>
    <t>Title II</t>
  </si>
  <si>
    <t>Title III</t>
  </si>
  <si>
    <t>IDEA Funding</t>
  </si>
  <si>
    <t>Free Breakfast Reimbursement</t>
  </si>
  <si>
    <t>November</t>
  </si>
  <si>
    <t>Reduced Breakfast Reimbursement</t>
  </si>
  <si>
    <t>December</t>
  </si>
  <si>
    <t>Paid Breakfast Reimbursement</t>
  </si>
  <si>
    <t>January</t>
  </si>
  <si>
    <t xml:space="preserve">Free Lunch Reimbursement </t>
  </si>
  <si>
    <t>February</t>
  </si>
  <si>
    <t>Reduced Lunch Reimbursement</t>
  </si>
  <si>
    <t>March</t>
  </si>
  <si>
    <t>Paid Lunch Reimbursement</t>
  </si>
  <si>
    <t>April</t>
  </si>
  <si>
    <t>Snack Reimbursement</t>
  </si>
  <si>
    <t>May</t>
  </si>
  <si>
    <t>June</t>
  </si>
  <si>
    <t>July</t>
  </si>
  <si>
    <t>August</t>
  </si>
  <si>
    <t>2021-22</t>
  </si>
  <si>
    <t>2022-23</t>
  </si>
  <si>
    <t>2023-24</t>
  </si>
  <si>
    <t>2024-25</t>
  </si>
  <si>
    <t>2025-26</t>
  </si>
  <si>
    <t>Per Pupil / Yearly Funding Amounts</t>
  </si>
  <si>
    <t>School misc sales (merch, student store, fees, etc)</t>
  </si>
  <si>
    <t>Local donations (parents, small orgs)</t>
  </si>
  <si>
    <t>Total of the rows below</t>
  </si>
  <si>
    <t>WA Charters Implementation Grant</t>
  </si>
  <si>
    <t>WA Charters Back Office Grant</t>
  </si>
  <si>
    <t>Back Office + Board OnTrack (8.5k)</t>
  </si>
  <si>
    <t>{Enter Grant}</t>
  </si>
  <si>
    <t>Blue = type in amounts; Orange = feeder tab</t>
  </si>
  <si>
    <t>Per FTE</t>
  </si>
  <si>
    <t>Yearly Expense Amounts</t>
  </si>
  <si>
    <t>Inflation Assumption</t>
  </si>
  <si>
    <t>(Student or Staff)</t>
  </si>
  <si>
    <t>Enter the tax or retirement percentage and the SEBB inflation rate</t>
  </si>
  <si>
    <t>Health Benefits</t>
  </si>
  <si>
    <t>1.55% capped at $52.7k (% calced in Personnel tab)</t>
  </si>
  <si>
    <t>Paid Family Medical Leave (State)</t>
  </si>
  <si>
    <t>Monthly Cost</t>
  </si>
  <si>
    <t xml:space="preserve">6% capped at $7k </t>
  </si>
  <si>
    <t>Yearly Cost</t>
  </si>
  <si>
    <t>% of salary</t>
  </si>
  <si>
    <t>http://leg.wa.gov/osa/pensionfunding/Pages/Contribution-Rates.aspx</t>
  </si>
  <si>
    <t>SAO ($12k) + CPA ($6k) audits</t>
  </si>
  <si>
    <t>Flat yearly "in case" amount</t>
  </si>
  <si>
    <t>Oversight Fee (3%)</t>
  </si>
  <si>
    <t>Calculates as a % of total revenue for lines 3100, 3121, 4121, 4155, 4165, 4174 &amp; 4199</t>
  </si>
  <si>
    <t>Substitute Teachers</t>
  </si>
  <si>
    <t xml:space="preserve">Yearly Board OnTrack + supplies </t>
  </si>
  <si>
    <t>Estimate per SPED student</t>
  </si>
  <si>
    <t>Singapore math ($48 per); Reading-Writing ($37 per - estimate)</t>
  </si>
  <si>
    <t>Internet / phone costs</t>
  </si>
  <si>
    <t>Per student</t>
  </si>
  <si>
    <t>Per student for clubs, dances, graduation, etc</t>
  </si>
  <si>
    <t>Flat amount for copy paper, pens, hole punchers, etc</t>
  </si>
  <si>
    <t>Per employee</t>
  </si>
  <si>
    <t>Flat amount for fingerprints and background checks</t>
  </si>
  <si>
    <t>Flat amount (can build feeder tab if necessary)</t>
  </si>
  <si>
    <t>Flat amount</t>
  </si>
  <si>
    <t>Database renewal costs, gift processing fees, printing of collateral, event costs</t>
  </si>
  <si>
    <t>WA Charters ($5 per student), bank fees ($1k)</t>
  </si>
  <si>
    <t>Printer rental costs</t>
  </si>
  <si>
    <t>Quote is 8500 + 4K = 12,500</t>
  </si>
  <si>
    <t>$125 per student, using "student enrollment" as proxy for sq footage</t>
  </si>
  <si>
    <t>Mostly covered by landlord; $18k estimate for sprinklers over years 2-4</t>
  </si>
  <si>
    <t>Estimate for security system ($150/month) + various fees</t>
  </si>
  <si>
    <t>Covered by landlord</t>
  </si>
  <si>
    <t>Attrition</t>
  </si>
  <si>
    <t>Staff</t>
  </si>
  <si>
    <t>Aide</t>
  </si>
  <si>
    <t>SPED Teacher</t>
  </si>
  <si>
    <t>SPED Aide</t>
  </si>
  <si>
    <t>6 months @ $40k salary (Mar - Aug)</t>
  </si>
  <si>
    <t>Based on year to date actuals</t>
  </si>
  <si>
    <t>Operations associate</t>
  </si>
  <si>
    <t>Bridge loan interest &amp; closing costs</t>
  </si>
  <si>
    <t>Benefits Stipend</t>
  </si>
  <si>
    <t>15% benefits (retirement and health insurance) stipend</t>
  </si>
  <si>
    <t>Start up office furniture + school year 1 furniture</t>
  </si>
  <si>
    <t>School year 1 classroom supplies</t>
  </si>
  <si>
    <t>Start up tech + school year 1 tech</t>
  </si>
  <si>
    <t>2021</t>
  </si>
  <si>
    <t>Fixed Charges Coverage Ratio (FCCR)</t>
  </si>
  <si>
    <t>Lease</t>
  </si>
  <si>
    <t>Debt Payments</t>
  </si>
  <si>
    <t>Total Fixed Charges</t>
  </si>
  <si>
    <t>FCCR</t>
  </si>
  <si>
    <t>Ratios</t>
  </si>
  <si>
    <t>Personnel</t>
  </si>
  <si>
    <t>Contracted Services</t>
  </si>
  <si>
    <t>Supplies</t>
  </si>
  <si>
    <t>Facilities</t>
  </si>
  <si>
    <t>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</si>
</sst>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_);\(0\)"/>
    <numFmt numFmtId="168" formatCode="0.0"/>
    <numFmt numFmtId="169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rgb="FF0000FF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</font>
    <font>
      <sz val="11"/>
      <color rgb="FF00B0F0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9"/>
      <color indexed="81"/>
      <name val="Tahoma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color rgb="FF222222"/>
      <name val="Arial"/>
      <family val="2"/>
    </font>
    <font>
      <i/>
      <sz val="11"/>
      <name val="Calibri"/>
      <family val="2"/>
      <scheme val="minor"/>
    </font>
    <font>
      <b/>
      <sz val="1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sz val="11"/>
      <color rgb="FFC00000"/>
      <name val="Calibri"/>
      <family val="2"/>
    </font>
    <font>
      <b/>
      <sz val="11"/>
      <color rgb="FFFFFF00"/>
      <name val="Calibri"/>
      <family val="2"/>
      <scheme val="minor"/>
    </font>
    <font>
      <b/>
      <sz val="12"/>
      <color rgb="FFFFFF00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FF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auto="1"/>
      </patternFill>
    </fill>
    <fill>
      <patternFill patternType="solid">
        <fgColor theme="9"/>
        <bgColor indexed="64"/>
      </patternFill>
    </fill>
    <fill>
      <patternFill patternType="solid">
        <fgColor rgb="FF81DE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 style="thin">
        <color auto="1"/>
      </left>
      <right style="thin">
        <color auto="1"/>
      </right>
      <top style="thick">
        <color rgb="FFC00000"/>
      </top>
      <bottom style="thin">
        <color indexed="64"/>
      </bottom>
      <diagonal/>
    </border>
    <border>
      <left/>
      <right/>
      <top style="thick">
        <color rgb="FFC00000"/>
      </top>
      <bottom style="thin">
        <color auto="1"/>
      </bottom>
      <diagonal/>
    </border>
    <border>
      <left/>
      <right style="thick">
        <color rgb="FFC00000"/>
      </right>
      <top style="thick">
        <color rgb="FFC00000"/>
      </top>
      <bottom style="thin">
        <color auto="1"/>
      </bottom>
      <diagonal/>
    </border>
    <border>
      <left style="thick">
        <color rgb="FFC00000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ck">
        <color rgb="FFC00000"/>
      </right>
      <top style="thin">
        <color indexed="64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0" fillId="0" borderId="0"/>
    <xf numFmtId="9" fontId="30" fillId="0" borderId="0" applyFont="0" applyFill="0" applyBorder="0" applyAlignment="0" applyProtection="0"/>
    <xf numFmtId="0" fontId="31" fillId="0" borderId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0">
    <xf numFmtId="0" fontId="0" fillId="0" borderId="0" xfId="0"/>
    <xf numFmtId="0" fontId="7" fillId="2" borderId="0" xfId="4" applyFont="1" applyFill="1" applyProtection="1">
      <protection hidden="1"/>
    </xf>
    <xf numFmtId="41" fontId="7" fillId="2" borderId="0" xfId="4" applyNumberFormat="1" applyFont="1" applyFill="1" applyAlignment="1" applyProtection="1">
      <alignment horizontal="right"/>
      <protection hidden="1"/>
    </xf>
    <xf numFmtId="41" fontId="7" fillId="2" borderId="0" xfId="4" applyNumberFormat="1" applyFont="1" applyFill="1" applyAlignment="1" applyProtection="1">
      <alignment horizontal="right" vertical="top" wrapText="1"/>
      <protection hidden="1"/>
    </xf>
    <xf numFmtId="0" fontId="8" fillId="2" borderId="0" xfId="4" applyFont="1" applyFill="1" applyProtection="1">
      <protection hidden="1"/>
    </xf>
    <xf numFmtId="0" fontId="10" fillId="0" borderId="0" xfId="0" applyFont="1" applyAlignment="1" applyProtection="1">
      <alignment horizontal="right" vertical="top"/>
      <protection hidden="1"/>
    </xf>
    <xf numFmtId="41" fontId="7" fillId="2" borderId="0" xfId="4" applyNumberFormat="1" applyFont="1" applyFill="1" applyAlignment="1" applyProtection="1">
      <alignment horizontal="right" vertical="top"/>
      <protection hidden="1"/>
    </xf>
    <xf numFmtId="0" fontId="11" fillId="3" borderId="1" xfId="0" applyFont="1" applyFill="1" applyBorder="1" applyAlignment="1" applyProtection="1">
      <alignment horizontal="left" vertical="top"/>
      <protection hidden="1"/>
    </xf>
    <xf numFmtId="41" fontId="7" fillId="2" borderId="2" xfId="4" applyNumberFormat="1" applyFont="1" applyFill="1" applyBorder="1" applyAlignment="1" applyProtection="1">
      <alignment horizontal="right"/>
      <protection hidden="1"/>
    </xf>
    <xf numFmtId="0" fontId="12" fillId="2" borderId="0" xfId="4" applyFont="1" applyFill="1" applyAlignment="1" applyProtection="1">
      <alignment horizontal="center" vertical="top" wrapText="1"/>
      <protection hidden="1"/>
    </xf>
    <xf numFmtId="41" fontId="8" fillId="2" borderId="0" xfId="4" applyNumberFormat="1" applyFont="1" applyFill="1" applyAlignment="1" applyProtection="1">
      <alignment horizontal="right"/>
      <protection hidden="1"/>
    </xf>
    <xf numFmtId="0" fontId="13" fillId="2" borderId="2" xfId="4" applyFont="1" applyFill="1" applyBorder="1" applyAlignment="1" applyProtection="1">
      <alignment horizontal="left" vertical="top"/>
      <protection hidden="1"/>
    </xf>
    <xf numFmtId="41" fontId="7" fillId="2" borderId="0" xfId="4" applyNumberFormat="1" applyFont="1" applyFill="1" applyAlignment="1" applyProtection="1">
      <alignment horizontal="right" vertical="top" wrapText="1"/>
      <protection locked="0"/>
    </xf>
    <xf numFmtId="164" fontId="1" fillId="2" borderId="0" xfId="0" applyNumberFormat="1" applyFont="1" applyFill="1" applyAlignment="1" applyProtection="1">
      <alignment horizontal="right"/>
      <protection hidden="1"/>
    </xf>
    <xf numFmtId="0" fontId="7" fillId="2" borderId="0" xfId="4" applyFont="1" applyFill="1" applyAlignment="1" applyProtection="1">
      <alignment wrapText="1"/>
      <protection hidden="1"/>
    </xf>
    <xf numFmtId="0" fontId="14" fillId="2" borderId="0" xfId="4" applyFont="1" applyFill="1" applyAlignment="1" applyProtection="1">
      <alignment horizontal="right" vertical="top"/>
      <protection hidden="1"/>
    </xf>
    <xf numFmtId="0" fontId="7" fillId="2" borderId="0" xfId="4" applyFont="1" applyFill="1" applyAlignment="1" applyProtection="1">
      <alignment vertical="top" wrapText="1"/>
      <protection hidden="1"/>
    </xf>
    <xf numFmtId="0" fontId="11" fillId="3" borderId="1" xfId="0" applyFont="1" applyFill="1" applyBorder="1" applyProtection="1">
      <protection hidden="1"/>
    </xf>
    <xf numFmtId="41" fontId="7" fillId="2" borderId="0" xfId="4" applyNumberFormat="1" applyFont="1" applyFill="1" applyAlignment="1" applyProtection="1">
      <alignment horizontal="center" vertical="top"/>
      <protection hidden="1"/>
    </xf>
    <xf numFmtId="41" fontId="7" fillId="2" borderId="0" xfId="4" applyNumberFormat="1" applyFont="1" applyFill="1" applyAlignment="1" applyProtection="1">
      <alignment vertical="top" wrapText="1"/>
      <protection hidden="1"/>
    </xf>
    <xf numFmtId="41" fontId="7" fillId="2" borderId="0" xfId="4" applyNumberFormat="1" applyFont="1" applyFill="1" applyProtection="1">
      <protection hidden="1"/>
    </xf>
    <xf numFmtId="0" fontId="14" fillId="2" borderId="0" xfId="4" applyFont="1" applyFill="1" applyAlignment="1" applyProtection="1">
      <alignment horizontal="left" vertical="top" wrapText="1"/>
      <protection hidden="1"/>
    </xf>
    <xf numFmtId="41" fontId="14" fillId="2" borderId="0" xfId="4" applyNumberFormat="1" applyFont="1" applyFill="1" applyAlignment="1" applyProtection="1">
      <alignment horizontal="center" vertical="top"/>
      <protection hidden="1"/>
    </xf>
    <xf numFmtId="0" fontId="7" fillId="2" borderId="0" xfId="4" applyFont="1" applyFill="1" applyAlignment="1" applyProtection="1">
      <alignment horizontal="left" vertical="top" wrapText="1" indent="2"/>
      <protection hidden="1"/>
    </xf>
    <xf numFmtId="41" fontId="7" fillId="4" borderId="1" xfId="4" applyNumberFormat="1" applyFont="1" applyFill="1" applyBorder="1" applyAlignment="1" applyProtection="1">
      <alignment vertical="top"/>
      <protection locked="0"/>
    </xf>
    <xf numFmtId="41" fontId="7" fillId="2" borderId="0" xfId="4" applyNumberFormat="1" applyFont="1" applyFill="1" applyAlignment="1" applyProtection="1">
      <alignment vertical="top"/>
      <protection hidden="1"/>
    </xf>
    <xf numFmtId="41" fontId="7" fillId="2" borderId="0" xfId="4" applyNumberFormat="1" applyFont="1" applyFill="1" applyAlignment="1" applyProtection="1">
      <alignment vertical="top" wrapText="1"/>
      <protection locked="0"/>
    </xf>
    <xf numFmtId="42" fontId="14" fillId="5" borderId="5" xfId="4" applyNumberFormat="1" applyFont="1" applyFill="1" applyBorder="1" applyAlignment="1" applyProtection="1">
      <alignment horizontal="right" vertical="top"/>
      <protection hidden="1"/>
    </xf>
    <xf numFmtId="42" fontId="14" fillId="5" borderId="0" xfId="4" applyNumberFormat="1" applyFont="1" applyFill="1" applyAlignment="1" applyProtection="1">
      <alignment horizontal="right" vertical="top"/>
      <protection hidden="1"/>
    </xf>
    <xf numFmtId="41" fontId="7" fillId="2" borderId="0" xfId="5" applyNumberFormat="1" applyFont="1" applyFill="1" applyAlignment="1" applyProtection="1">
      <alignment vertical="top" wrapText="1"/>
      <protection locked="0"/>
    </xf>
    <xf numFmtId="42" fontId="14" fillId="5" borderId="6" xfId="4" applyNumberFormat="1" applyFont="1" applyFill="1" applyBorder="1" applyAlignment="1" applyProtection="1">
      <alignment horizontal="right" vertical="top"/>
      <protection hidden="1"/>
    </xf>
    <xf numFmtId="42" fontId="14" fillId="2" borderId="0" xfId="4" applyNumberFormat="1" applyFont="1" applyFill="1" applyAlignment="1" applyProtection="1">
      <alignment horizontal="right" vertical="top"/>
      <protection hidden="1"/>
    </xf>
    <xf numFmtId="42" fontId="14" fillId="2" borderId="0" xfId="4" applyNumberFormat="1" applyFont="1" applyFill="1" applyAlignment="1" applyProtection="1">
      <alignment horizontal="right" vertical="top" wrapText="1"/>
      <protection hidden="1"/>
    </xf>
    <xf numFmtId="42" fontId="14" fillId="2" borderId="0" xfId="4" applyNumberFormat="1" applyFont="1" applyFill="1" applyAlignment="1" applyProtection="1">
      <alignment horizontal="right" vertical="top" wrapText="1"/>
      <protection locked="0"/>
    </xf>
    <xf numFmtId="0" fontId="14" fillId="0" borderId="0" xfId="4" applyFont="1" applyAlignment="1" applyProtection="1">
      <alignment horizontal="left" vertical="top" wrapText="1"/>
      <protection hidden="1"/>
    </xf>
    <xf numFmtId="0" fontId="7" fillId="2" borderId="0" xfId="4" applyFont="1" applyFill="1" applyAlignment="1" applyProtection="1">
      <alignment horizontal="left" vertical="top"/>
      <protection hidden="1"/>
    </xf>
    <xf numFmtId="0" fontId="11" fillId="3" borderId="7" xfId="0" applyFont="1" applyFill="1" applyBorder="1" applyAlignment="1" applyProtection="1">
      <alignment vertical="top"/>
      <protection hidden="1"/>
    </xf>
    <xf numFmtId="0" fontId="16" fillId="2" borderId="0" xfId="6" applyFont="1" applyFill="1" applyAlignment="1" applyProtection="1">
      <alignment horizontal="left" vertical="top" indent="2"/>
      <protection hidden="1"/>
    </xf>
    <xf numFmtId="43" fontId="8" fillId="2" borderId="0" xfId="4" applyNumberFormat="1" applyFont="1" applyFill="1" applyProtection="1">
      <protection hidden="1"/>
    </xf>
    <xf numFmtId="42" fontId="14" fillId="2" borderId="5" xfId="4" applyNumberFormat="1" applyFont="1" applyFill="1" applyBorder="1" applyAlignment="1" applyProtection="1">
      <alignment horizontal="right" vertical="top"/>
      <protection hidden="1"/>
    </xf>
    <xf numFmtId="42" fontId="14" fillId="2" borderId="17" xfId="4" applyNumberFormat="1" applyFont="1" applyFill="1" applyBorder="1" applyAlignment="1" applyProtection="1">
      <alignment horizontal="right" vertical="top"/>
      <protection hidden="1"/>
    </xf>
    <xf numFmtId="44" fontId="7" fillId="2" borderId="0" xfId="2" applyFont="1" applyFill="1" applyBorder="1" applyAlignment="1" applyProtection="1">
      <alignment vertical="top" wrapText="1"/>
      <protection locked="0"/>
    </xf>
    <xf numFmtId="41" fontId="7" fillId="6" borderId="0" xfId="4" applyNumberFormat="1" applyFont="1" applyFill="1" applyAlignment="1" applyProtection="1">
      <alignment horizontal="right"/>
      <protection hidden="1"/>
    </xf>
    <xf numFmtId="1" fontId="17" fillId="2" borderId="0" xfId="0" applyNumberFormat="1" applyFont="1" applyFill="1" applyAlignment="1" applyProtection="1">
      <alignment horizontal="left" vertical="top" wrapText="1"/>
      <protection locked="0"/>
    </xf>
    <xf numFmtId="0" fontId="7" fillId="2" borderId="0" xfId="5" applyFont="1" applyFill="1" applyProtection="1">
      <protection hidden="1"/>
    </xf>
    <xf numFmtId="0" fontId="18" fillId="2" borderId="0" xfId="4" applyFont="1" applyFill="1" applyProtection="1">
      <protection hidden="1"/>
    </xf>
    <xf numFmtId="0" fontId="7" fillId="2" borderId="0" xfId="4" applyFont="1" applyFill="1" applyAlignment="1" applyProtection="1">
      <alignment horizontal="left" vertical="top" wrapText="1"/>
      <protection hidden="1"/>
    </xf>
    <xf numFmtId="41" fontId="7" fillId="2" borderId="18" xfId="4" applyNumberFormat="1" applyFont="1" applyFill="1" applyBorder="1" applyAlignment="1" applyProtection="1">
      <alignment vertical="top"/>
      <protection hidden="1"/>
    </xf>
    <xf numFmtId="42" fontId="14" fillId="2" borderId="6" xfId="4" applyNumberFormat="1" applyFont="1" applyFill="1" applyBorder="1" applyAlignment="1" applyProtection="1">
      <alignment horizontal="right" vertical="top"/>
      <protection hidden="1"/>
    </xf>
    <xf numFmtId="41" fontId="7" fillId="2" borderId="0" xfId="5" applyNumberFormat="1" applyFont="1" applyFill="1" applyAlignment="1" applyProtection="1">
      <alignment horizontal="right"/>
      <protection hidden="1"/>
    </xf>
    <xf numFmtId="41" fontId="7" fillId="2" borderId="0" xfId="5" applyNumberFormat="1" applyFont="1" applyFill="1" applyAlignment="1" applyProtection="1">
      <alignment horizontal="right" vertical="top" wrapText="1"/>
      <protection hidden="1"/>
    </xf>
    <xf numFmtId="0" fontId="8" fillId="2" borderId="0" xfId="5" applyFont="1" applyFill="1" applyProtection="1">
      <protection hidden="1"/>
    </xf>
    <xf numFmtId="41" fontId="8" fillId="2" borderId="0" xfId="4" applyNumberFormat="1" applyFont="1" applyFill="1" applyProtection="1">
      <protection hidden="1"/>
    </xf>
    <xf numFmtId="0" fontId="13" fillId="2" borderId="20" xfId="4" applyFont="1" applyFill="1" applyBorder="1" applyAlignment="1" applyProtection="1">
      <alignment horizontal="left" vertical="top"/>
      <protection hidden="1"/>
    </xf>
    <xf numFmtId="41" fontId="7" fillId="2" borderId="19" xfId="4" applyNumberFormat="1" applyFont="1" applyFill="1" applyBorder="1" applyAlignment="1" applyProtection="1">
      <alignment horizontal="right"/>
      <protection hidden="1"/>
    </xf>
    <xf numFmtId="41" fontId="7" fillId="2" borderId="20" xfId="4" applyNumberFormat="1" applyFont="1" applyFill="1" applyBorder="1" applyAlignment="1" applyProtection="1">
      <alignment horizontal="right" vertical="top"/>
      <protection hidden="1"/>
    </xf>
    <xf numFmtId="41" fontId="7" fillId="2" borderId="19" xfId="4" applyNumberFormat="1" applyFont="1" applyFill="1" applyBorder="1" applyAlignment="1" applyProtection="1">
      <alignment horizontal="right" vertical="top"/>
      <protection hidden="1"/>
    </xf>
    <xf numFmtId="41" fontId="12" fillId="2" borderId="0" xfId="4" applyNumberFormat="1" applyFont="1" applyFill="1" applyAlignment="1" applyProtection="1">
      <alignment horizontal="center" vertical="top" wrapText="1"/>
      <protection hidden="1"/>
    </xf>
    <xf numFmtId="41" fontId="8" fillId="2" borderId="0" xfId="4" applyNumberFormat="1" applyFont="1" applyFill="1" applyAlignment="1" applyProtection="1">
      <alignment vertical="top" wrapText="1"/>
      <protection hidden="1"/>
    </xf>
    <xf numFmtId="165" fontId="7" fillId="2" borderId="0" xfId="2" applyNumberFormat="1" applyFont="1" applyFill="1" applyProtection="1">
      <protection hidden="1"/>
    </xf>
    <xf numFmtId="165" fontId="14" fillId="2" borderId="0" xfId="2" applyNumberFormat="1" applyFont="1" applyFill="1" applyProtection="1">
      <protection hidden="1"/>
    </xf>
    <xf numFmtId="0" fontId="14" fillId="2" borderId="0" xfId="4" applyFont="1" applyFill="1" applyProtection="1">
      <protection hidden="1"/>
    </xf>
    <xf numFmtId="166" fontId="7" fillId="2" borderId="0" xfId="4" applyNumberFormat="1" applyFont="1" applyFill="1" applyAlignment="1" applyProtection="1">
      <alignment vertical="top"/>
      <protection hidden="1"/>
    </xf>
    <xf numFmtId="0" fontId="7" fillId="0" borderId="0" xfId="4" applyFont="1" applyAlignment="1" applyProtection="1">
      <alignment horizontal="left" vertical="top" wrapText="1" indent="2"/>
      <protection hidden="1"/>
    </xf>
    <xf numFmtId="42" fontId="14" fillId="5" borderId="17" xfId="4" applyNumberFormat="1" applyFont="1" applyFill="1" applyBorder="1" applyAlignment="1" applyProtection="1">
      <alignment horizontal="right" vertical="top"/>
      <protection hidden="1"/>
    </xf>
    <xf numFmtId="41" fontId="7" fillId="5" borderId="0" xfId="4" applyNumberFormat="1" applyFont="1" applyFill="1" applyAlignment="1" applyProtection="1">
      <alignment vertical="top" wrapText="1"/>
      <protection hidden="1"/>
    </xf>
    <xf numFmtId="41" fontId="7" fillId="5" borderId="0" xfId="4" applyNumberFormat="1" applyFont="1" applyFill="1" applyAlignment="1" applyProtection="1">
      <alignment horizontal="right" vertical="top"/>
      <protection hidden="1"/>
    </xf>
    <xf numFmtId="42" fontId="14" fillId="5" borderId="0" xfId="4" applyNumberFormat="1" applyFont="1" applyFill="1" applyAlignment="1" applyProtection="1">
      <alignment horizontal="right" vertical="top" wrapText="1"/>
      <protection hidden="1"/>
    </xf>
    <xf numFmtId="166" fontId="7" fillId="5" borderId="0" xfId="1" applyNumberFormat="1" applyFont="1" applyFill="1" applyAlignment="1" applyProtection="1">
      <alignment horizontal="right" vertical="top"/>
      <protection hidden="1"/>
    </xf>
    <xf numFmtId="9" fontId="7" fillId="2" borderId="0" xfId="3" applyFont="1" applyFill="1" applyAlignment="1" applyProtection="1">
      <alignment vertical="top" wrapText="1"/>
      <protection locked="0"/>
    </xf>
    <xf numFmtId="41" fontId="3" fillId="2" borderId="0" xfId="4" applyNumberFormat="1" applyFont="1" applyFill="1" applyProtection="1">
      <protection hidden="1"/>
    </xf>
    <xf numFmtId="0" fontId="3" fillId="2" borderId="0" xfId="4" applyFont="1" applyFill="1" applyProtection="1">
      <protection hidden="1"/>
    </xf>
    <xf numFmtId="0" fontId="0" fillId="9" borderId="0" xfId="0" applyFill="1" applyAlignment="1" applyProtection="1">
      <alignment vertical="top"/>
      <protection hidden="1"/>
    </xf>
    <xf numFmtId="41" fontId="8" fillId="9" borderId="0" xfId="0" applyNumberFormat="1" applyFont="1" applyFill="1" applyAlignment="1" applyProtection="1">
      <alignment vertical="top"/>
      <protection hidden="1"/>
    </xf>
    <xf numFmtId="0" fontId="22" fillId="3" borderId="7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1" fontId="17" fillId="9" borderId="0" xfId="0" applyNumberFormat="1" applyFont="1" applyFill="1" applyAlignment="1" applyProtection="1">
      <alignment horizontal="center" vertical="top"/>
      <protection hidden="1"/>
    </xf>
    <xf numFmtId="0" fontId="7" fillId="9" borderId="22" xfId="0" applyFont="1" applyFill="1" applyBorder="1" applyAlignment="1" applyProtection="1">
      <alignment horizontal="left" vertical="top"/>
      <protection hidden="1"/>
    </xf>
    <xf numFmtId="0" fontId="23" fillId="9" borderId="0" xfId="0" applyFont="1" applyFill="1" applyAlignment="1" applyProtection="1">
      <alignment horizontal="center" vertical="top"/>
      <protection hidden="1"/>
    </xf>
    <xf numFmtId="0" fontId="7" fillId="9" borderId="2" xfId="0" applyFont="1" applyFill="1" applyBorder="1" applyAlignment="1" applyProtection="1">
      <alignment horizontal="left" vertical="top"/>
      <protection hidden="1"/>
    </xf>
    <xf numFmtId="0" fontId="8" fillId="9" borderId="23" xfId="4" applyFont="1" applyFill="1" applyBorder="1" applyAlignment="1" applyProtection="1">
      <alignment vertical="top"/>
      <protection hidden="1"/>
    </xf>
    <xf numFmtId="41" fontId="8" fillId="9" borderId="24" xfId="0" applyNumberFormat="1" applyFont="1" applyFill="1" applyBorder="1" applyAlignment="1" applyProtection="1">
      <alignment horizontal="right" vertical="top"/>
      <protection hidden="1"/>
    </xf>
    <xf numFmtId="41" fontId="8" fillId="9" borderId="25" xfId="0" applyNumberFormat="1" applyFont="1" applyFill="1" applyBorder="1" applyAlignment="1" applyProtection="1">
      <alignment horizontal="right" vertical="top"/>
      <protection hidden="1"/>
    </xf>
    <xf numFmtId="41" fontId="8" fillId="9" borderId="26" xfId="0" applyNumberFormat="1" applyFont="1" applyFill="1" applyBorder="1" applyAlignment="1" applyProtection="1">
      <alignment horizontal="right" vertical="top"/>
      <protection hidden="1"/>
    </xf>
    <xf numFmtId="41" fontId="8" fillId="9" borderId="27" xfId="0" applyNumberFormat="1" applyFont="1" applyFill="1" applyBorder="1" applyAlignment="1" applyProtection="1">
      <alignment horizontal="right" vertical="top"/>
      <protection hidden="1"/>
    </xf>
    <xf numFmtId="166" fontId="0" fillId="9" borderId="0" xfId="0" applyNumberFormat="1" applyFill="1" applyAlignment="1" applyProtection="1">
      <alignment horizontal="left" vertical="top"/>
      <protection hidden="1"/>
    </xf>
    <xf numFmtId="0" fontId="8" fillId="9" borderId="28" xfId="4" applyFont="1" applyFill="1" applyBorder="1" applyAlignment="1" applyProtection="1">
      <alignment vertical="top"/>
      <protection hidden="1"/>
    </xf>
    <xf numFmtId="167" fontId="8" fillId="11" borderId="4" xfId="0" applyNumberFormat="1" applyFont="1" applyFill="1" applyBorder="1" applyAlignment="1" applyProtection="1">
      <alignment horizontal="right" vertical="top"/>
      <protection hidden="1"/>
    </xf>
    <xf numFmtId="167" fontId="8" fillId="9" borderId="29" xfId="0" applyNumberFormat="1" applyFont="1" applyFill="1" applyBorder="1" applyAlignment="1" applyProtection="1">
      <alignment horizontal="right" vertical="top"/>
      <protection hidden="1"/>
    </xf>
    <xf numFmtId="167" fontId="8" fillId="9" borderId="30" xfId="0" applyNumberFormat="1" applyFont="1" applyFill="1" applyBorder="1" applyAlignment="1" applyProtection="1">
      <alignment horizontal="right" vertical="top"/>
      <protection hidden="1"/>
    </xf>
    <xf numFmtId="166" fontId="19" fillId="9" borderId="0" xfId="0" applyNumberFormat="1" applyFont="1" applyFill="1" applyAlignment="1" applyProtection="1">
      <alignment horizontal="right" vertical="top"/>
      <protection hidden="1"/>
    </xf>
    <xf numFmtId="166" fontId="24" fillId="9" borderId="0" xfId="0" applyNumberFormat="1" applyFont="1" applyFill="1" applyAlignment="1" applyProtection="1">
      <alignment horizontal="right" vertical="top"/>
      <protection hidden="1"/>
    </xf>
    <xf numFmtId="0" fontId="8" fillId="9" borderId="31" xfId="4" applyFont="1" applyFill="1" applyBorder="1" applyAlignment="1" applyProtection="1">
      <alignment vertical="top"/>
      <protection hidden="1"/>
    </xf>
    <xf numFmtId="41" fontId="8" fillId="9" borderId="32" xfId="0" applyNumberFormat="1" applyFont="1" applyFill="1" applyBorder="1" applyAlignment="1" applyProtection="1">
      <alignment vertical="top"/>
      <protection hidden="1"/>
    </xf>
    <xf numFmtId="167" fontId="8" fillId="9" borderId="33" xfId="0" applyNumberFormat="1" applyFont="1" applyFill="1" applyBorder="1" applyAlignment="1" applyProtection="1">
      <alignment horizontal="right" vertical="top"/>
      <protection hidden="1"/>
    </xf>
    <xf numFmtId="167" fontId="8" fillId="9" borderId="32" xfId="0" applyNumberFormat="1" applyFont="1" applyFill="1" applyBorder="1" applyAlignment="1" applyProtection="1">
      <alignment horizontal="right" vertical="top"/>
      <protection hidden="1"/>
    </xf>
    <xf numFmtId="167" fontId="8" fillId="9" borderId="34" xfId="0" applyNumberFormat="1" applyFont="1" applyFill="1" applyBorder="1" applyAlignment="1" applyProtection="1">
      <alignment horizontal="right" vertical="top"/>
      <protection hidden="1"/>
    </xf>
    <xf numFmtId="166" fontId="0" fillId="9" borderId="0" xfId="0" applyNumberFormat="1" applyFill="1" applyAlignment="1" applyProtection="1">
      <alignment horizontal="right" vertical="top"/>
      <protection hidden="1"/>
    </xf>
    <xf numFmtId="1" fontId="25" fillId="9" borderId="0" xfId="0" applyNumberFormat="1" applyFont="1" applyFill="1" applyAlignment="1" applyProtection="1">
      <alignment horizontal="center" vertical="top"/>
      <protection hidden="1"/>
    </xf>
    <xf numFmtId="0" fontId="19" fillId="9" borderId="0" xfId="0" applyFont="1" applyFill="1" applyAlignment="1" applyProtection="1">
      <alignment horizontal="right" vertical="top"/>
      <protection hidden="1"/>
    </xf>
    <xf numFmtId="1" fontId="24" fillId="9" borderId="0" xfId="0" applyNumberFormat="1" applyFont="1" applyFill="1" applyAlignment="1" applyProtection="1">
      <alignment horizontal="right" vertical="top"/>
      <protection hidden="1"/>
    </xf>
    <xf numFmtId="0" fontId="0" fillId="9" borderId="0" xfId="0" applyFill="1" applyAlignment="1" applyProtection="1">
      <alignment horizontal="left" vertical="top"/>
      <protection hidden="1"/>
    </xf>
    <xf numFmtId="1" fontId="17" fillId="9" borderId="0" xfId="0" applyNumberFormat="1" applyFont="1" applyFill="1" applyAlignment="1" applyProtection="1">
      <alignment horizontal="left" vertical="top"/>
      <protection hidden="1"/>
    </xf>
    <xf numFmtId="0" fontId="7" fillId="9" borderId="20" xfId="0" applyFont="1" applyFill="1" applyBorder="1" applyAlignment="1" applyProtection="1">
      <alignment horizontal="left" vertical="top"/>
      <protection hidden="1"/>
    </xf>
    <xf numFmtId="0" fontId="4" fillId="9" borderId="22" xfId="0" applyFont="1" applyFill="1" applyBorder="1" applyAlignment="1" applyProtection="1">
      <alignment vertical="top"/>
      <protection hidden="1"/>
    </xf>
    <xf numFmtId="0" fontId="4" fillId="9" borderId="2" xfId="0" applyFont="1" applyFill="1" applyBorder="1" applyAlignment="1" applyProtection="1">
      <alignment vertical="top"/>
      <protection hidden="1"/>
    </xf>
    <xf numFmtId="43" fontId="0" fillId="9" borderId="0" xfId="0" applyNumberFormat="1" applyFill="1" applyAlignment="1" applyProtection="1">
      <alignment vertical="top"/>
      <protection hidden="1"/>
    </xf>
    <xf numFmtId="0" fontId="4" fillId="9" borderId="20" xfId="0" applyFont="1" applyFill="1" applyBorder="1" applyAlignment="1" applyProtection="1">
      <alignment vertical="top"/>
      <protection hidden="1"/>
    </xf>
    <xf numFmtId="0" fontId="22" fillId="3" borderId="7" xfId="0" applyFont="1" applyFill="1" applyBorder="1" applyAlignment="1" applyProtection="1">
      <alignment horizontal="center" vertical="center" wrapText="1"/>
      <protection hidden="1"/>
    </xf>
    <xf numFmtId="41" fontId="0" fillId="9" borderId="0" xfId="0" applyNumberFormat="1" applyFill="1" applyAlignment="1" applyProtection="1">
      <alignment vertical="top"/>
      <protection hidden="1"/>
    </xf>
    <xf numFmtId="0" fontId="4" fillId="2" borderId="2" xfId="0" applyFont="1" applyFill="1" applyBorder="1" applyAlignment="1" applyProtection="1">
      <alignment vertical="top"/>
      <protection hidden="1"/>
    </xf>
    <xf numFmtId="165" fontId="0" fillId="9" borderId="0" xfId="2" applyNumberFormat="1" applyFont="1" applyFill="1" applyBorder="1" applyAlignment="1" applyProtection="1">
      <alignment vertical="top"/>
      <protection hidden="1"/>
    </xf>
    <xf numFmtId="0" fontId="4" fillId="0" borderId="37" xfId="0" applyFont="1" applyBorder="1" applyAlignment="1" applyProtection="1">
      <alignment vertical="top"/>
      <protection hidden="1"/>
    </xf>
    <xf numFmtId="0" fontId="4" fillId="0" borderId="2" xfId="0" applyFont="1" applyBorder="1" applyAlignment="1" applyProtection="1">
      <alignment vertical="top"/>
      <protection hidden="1"/>
    </xf>
    <xf numFmtId="43" fontId="0" fillId="4" borderId="7" xfId="0" applyNumberFormat="1" applyFill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vertical="top" wrapText="1"/>
      <protection hidden="1"/>
    </xf>
    <xf numFmtId="0" fontId="4" fillId="2" borderId="37" xfId="0" applyFont="1" applyFill="1" applyBorder="1" applyAlignment="1" applyProtection="1">
      <alignment vertical="top"/>
      <protection hidden="1"/>
    </xf>
    <xf numFmtId="0" fontId="4" fillId="9" borderId="37" xfId="0" applyFont="1" applyFill="1" applyBorder="1" applyAlignment="1" applyProtection="1">
      <alignment vertical="top"/>
      <protection hidden="1"/>
    </xf>
    <xf numFmtId="0" fontId="4" fillId="2" borderId="38" xfId="0" applyFont="1" applyFill="1" applyBorder="1" applyAlignment="1" applyProtection="1">
      <alignment vertical="top"/>
      <protection hidden="1"/>
    </xf>
    <xf numFmtId="0" fontId="7" fillId="2" borderId="0" xfId="7" applyFont="1" applyFill="1" applyAlignment="1" applyProtection="1">
      <alignment vertical="top"/>
      <protection hidden="1"/>
    </xf>
    <xf numFmtId="0" fontId="13" fillId="2" borderId="8" xfId="7" applyFont="1" applyFill="1" applyBorder="1" applyAlignment="1" applyProtection="1">
      <alignment vertical="center" wrapText="1"/>
      <protection hidden="1"/>
    </xf>
    <xf numFmtId="0" fontId="7" fillId="2" borderId="9" xfId="7" applyFont="1" applyFill="1" applyBorder="1" applyAlignment="1" applyProtection="1">
      <alignment vertical="top"/>
      <protection hidden="1"/>
    </xf>
    <xf numFmtId="0" fontId="7" fillId="2" borderId="8" xfId="7" applyFont="1" applyFill="1" applyBorder="1" applyAlignment="1" applyProtection="1">
      <alignment vertical="top"/>
      <protection hidden="1"/>
    </xf>
    <xf numFmtId="0" fontId="7" fillId="2" borderId="36" xfId="7" applyFont="1" applyFill="1" applyBorder="1" applyAlignment="1" applyProtection="1">
      <alignment vertical="top"/>
      <protection hidden="1"/>
    </xf>
    <xf numFmtId="0" fontId="7" fillId="2" borderId="0" xfId="7" applyFont="1" applyFill="1" applyAlignment="1" applyProtection="1">
      <alignment vertical="top" wrapText="1"/>
      <protection hidden="1"/>
    </xf>
    <xf numFmtId="0" fontId="13" fillId="2" borderId="16" xfId="7" applyFont="1" applyFill="1" applyBorder="1" applyAlignment="1" applyProtection="1">
      <alignment vertical="center" wrapText="1"/>
      <protection hidden="1"/>
    </xf>
    <xf numFmtId="0" fontId="13" fillId="2" borderId="2" xfId="7" applyFont="1" applyFill="1" applyBorder="1" applyAlignment="1" applyProtection="1">
      <alignment vertical="center"/>
      <protection hidden="1"/>
    </xf>
    <xf numFmtId="0" fontId="7" fillId="2" borderId="16" xfId="7" applyFont="1" applyFill="1" applyBorder="1" applyAlignment="1" applyProtection="1">
      <alignment vertical="top"/>
      <protection hidden="1"/>
    </xf>
    <xf numFmtId="0" fontId="14" fillId="2" borderId="39" xfId="7" applyFont="1" applyFill="1" applyBorder="1" applyAlignment="1" applyProtection="1">
      <alignment vertical="top" wrapText="1"/>
      <protection hidden="1"/>
    </xf>
    <xf numFmtId="0" fontId="14" fillId="2" borderId="16" xfId="7" applyFont="1" applyFill="1" applyBorder="1" applyAlignment="1" applyProtection="1">
      <alignment horizontal="center" vertical="top" wrapText="1"/>
      <protection hidden="1"/>
    </xf>
    <xf numFmtId="0" fontId="14" fillId="2" borderId="0" xfId="7" applyFont="1" applyFill="1" applyAlignment="1" applyProtection="1">
      <alignment horizontal="center" vertical="top" wrapText="1"/>
      <protection hidden="1"/>
    </xf>
    <xf numFmtId="0" fontId="13" fillId="2" borderId="2" xfId="7" applyFont="1" applyFill="1" applyBorder="1" applyAlignment="1" applyProtection="1">
      <alignment vertical="center" wrapText="1"/>
      <protection hidden="1"/>
    </xf>
    <xf numFmtId="0" fontId="13" fillId="2" borderId="11" xfId="7" applyFont="1" applyFill="1" applyBorder="1" applyAlignment="1" applyProtection="1">
      <alignment horizontal="center" vertical="center" wrapText="1"/>
      <protection hidden="1"/>
    </xf>
    <xf numFmtId="0" fontId="13" fillId="2" borderId="40" xfId="7" applyFont="1" applyFill="1" applyBorder="1" applyAlignment="1" applyProtection="1">
      <alignment vertical="center" wrapText="1"/>
      <protection hidden="1"/>
    </xf>
    <xf numFmtId="0" fontId="14" fillId="2" borderId="11" xfId="7" applyFont="1" applyFill="1" applyBorder="1" applyAlignment="1" applyProtection="1">
      <alignment horizontal="center" vertical="top" wrapText="1"/>
      <protection hidden="1"/>
    </xf>
    <xf numFmtId="0" fontId="14" fillId="2" borderId="12" xfId="7" applyFont="1" applyFill="1" applyBorder="1" applyAlignment="1" applyProtection="1">
      <alignment horizontal="center" vertical="top" wrapText="1"/>
      <protection hidden="1"/>
    </xf>
    <xf numFmtId="10" fontId="14" fillId="4" borderId="11" xfId="8" applyNumberFormat="1" applyFont="1" applyFill="1" applyBorder="1" applyAlignment="1" applyProtection="1">
      <alignment horizontal="center" vertical="top"/>
      <protection locked="0"/>
    </xf>
    <xf numFmtId="10" fontId="14" fillId="4" borderId="12" xfId="8" applyNumberFormat="1" applyFont="1" applyFill="1" applyBorder="1" applyAlignment="1" applyProtection="1">
      <alignment horizontal="center" vertical="top"/>
      <protection locked="0"/>
    </xf>
    <xf numFmtId="0" fontId="14" fillId="2" borderId="14" xfId="7" applyFont="1" applyFill="1" applyBorder="1" applyAlignment="1" applyProtection="1">
      <alignment vertical="top" wrapText="1"/>
      <protection hidden="1"/>
    </xf>
    <xf numFmtId="0" fontId="14" fillId="2" borderId="3" xfId="7" applyFont="1" applyFill="1" applyBorder="1" applyAlignment="1" applyProtection="1">
      <alignment vertical="top" wrapText="1"/>
      <protection hidden="1"/>
    </xf>
    <xf numFmtId="0" fontId="14" fillId="2" borderId="21" xfId="7" applyFont="1" applyFill="1" applyBorder="1" applyAlignment="1" applyProtection="1">
      <alignment vertical="top" wrapText="1"/>
      <protection hidden="1"/>
    </xf>
    <xf numFmtId="0" fontId="7" fillId="2" borderId="37" xfId="7" applyFont="1" applyFill="1" applyBorder="1" applyAlignment="1" applyProtection="1">
      <alignment vertical="top"/>
      <protection hidden="1"/>
    </xf>
    <xf numFmtId="0" fontId="14" fillId="2" borderId="41" xfId="7" applyFont="1" applyFill="1" applyBorder="1" applyAlignment="1" applyProtection="1">
      <alignment horizontal="left" vertical="top" wrapText="1"/>
      <protection hidden="1"/>
    </xf>
    <xf numFmtId="0" fontId="7" fillId="2" borderId="14" xfId="7" applyFont="1" applyFill="1" applyBorder="1" applyAlignment="1" applyProtection="1">
      <alignment vertical="top"/>
      <protection hidden="1"/>
    </xf>
    <xf numFmtId="0" fontId="7" fillId="2" borderId="3" xfId="7" applyFont="1" applyFill="1" applyBorder="1" applyAlignment="1" applyProtection="1">
      <alignment vertical="top"/>
      <protection hidden="1"/>
    </xf>
    <xf numFmtId="0" fontId="7" fillId="2" borderId="42" xfId="7" applyFont="1" applyFill="1" applyBorder="1" applyAlignment="1" applyProtection="1">
      <alignment vertical="top"/>
      <protection hidden="1"/>
    </xf>
    <xf numFmtId="0" fontId="7" fillId="4" borderId="43" xfId="7" applyFont="1" applyFill="1" applyBorder="1" applyAlignment="1" applyProtection="1">
      <alignment horizontal="left" vertical="top" wrapText="1"/>
      <protection locked="0"/>
    </xf>
    <xf numFmtId="42" fontId="7" fillId="4" borderId="1" xfId="7" applyNumberFormat="1" applyFont="1" applyFill="1" applyBorder="1" applyAlignment="1" applyProtection="1">
      <alignment vertical="top"/>
      <protection locked="0"/>
    </xf>
    <xf numFmtId="168" fontId="7" fillId="4" borderId="1" xfId="7" applyNumberFormat="1" applyFont="1" applyFill="1" applyBorder="1" applyAlignment="1" applyProtection="1">
      <alignment horizontal="center" vertical="top" wrapText="1"/>
      <protection locked="0"/>
    </xf>
    <xf numFmtId="0" fontId="7" fillId="2" borderId="44" xfId="7" applyFont="1" applyFill="1" applyBorder="1" applyAlignment="1" applyProtection="1">
      <alignment horizontal="left" vertical="top" wrapText="1"/>
      <protection locked="0"/>
    </xf>
    <xf numFmtId="42" fontId="7" fillId="2" borderId="43" xfId="7" applyNumberFormat="1" applyFont="1" applyFill="1" applyBorder="1" applyAlignment="1" applyProtection="1">
      <alignment vertical="top"/>
      <protection hidden="1"/>
    </xf>
    <xf numFmtId="165" fontId="7" fillId="2" borderId="1" xfId="7" applyNumberFormat="1" applyFont="1" applyFill="1" applyBorder="1" applyAlignment="1" applyProtection="1">
      <alignment vertical="top"/>
      <protection hidden="1"/>
    </xf>
    <xf numFmtId="0" fontId="7" fillId="4" borderId="45" xfId="7" applyFont="1" applyFill="1" applyBorder="1" applyAlignment="1" applyProtection="1">
      <alignment horizontal="left" vertical="top" wrapText="1"/>
      <protection locked="0"/>
    </xf>
    <xf numFmtId="42" fontId="7" fillId="4" borderId="7" xfId="7" applyNumberFormat="1" applyFont="1" applyFill="1" applyBorder="1" applyAlignment="1" applyProtection="1">
      <alignment vertical="top"/>
      <protection locked="0"/>
    </xf>
    <xf numFmtId="168" fontId="7" fillId="4" borderId="7" xfId="7" applyNumberFormat="1" applyFont="1" applyFill="1" applyBorder="1" applyAlignment="1" applyProtection="1">
      <alignment horizontal="center" vertical="top" wrapText="1"/>
      <protection locked="0"/>
    </xf>
    <xf numFmtId="165" fontId="7" fillId="2" borderId="7" xfId="7" applyNumberFormat="1" applyFont="1" applyFill="1" applyBorder="1" applyAlignment="1" applyProtection="1">
      <alignment vertical="top"/>
      <protection hidden="1"/>
    </xf>
    <xf numFmtId="0" fontId="31" fillId="0" borderId="44" xfId="9" applyBorder="1" applyAlignment="1" applyProtection="1">
      <alignment vertical="top" wrapText="1"/>
      <protection locked="0"/>
    </xf>
    <xf numFmtId="0" fontId="7" fillId="0" borderId="0" xfId="7" applyFont="1" applyAlignment="1" applyProtection="1">
      <alignment vertical="top"/>
      <protection hidden="1"/>
    </xf>
    <xf numFmtId="43" fontId="7" fillId="4" borderId="43" xfId="1" applyFont="1" applyFill="1" applyBorder="1" applyAlignment="1" applyProtection="1">
      <alignment horizontal="left" vertical="top" wrapText="1"/>
      <protection locked="0"/>
    </xf>
    <xf numFmtId="0" fontId="14" fillId="2" borderId="46" xfId="7" applyFont="1" applyFill="1" applyBorder="1" applyAlignment="1" applyProtection="1">
      <alignment horizontal="left" vertical="top" wrapText="1"/>
      <protection hidden="1"/>
    </xf>
    <xf numFmtId="0" fontId="14" fillId="2" borderId="47" xfId="7" applyFont="1" applyFill="1" applyBorder="1" applyAlignment="1" applyProtection="1">
      <alignment horizontal="left" vertical="top" wrapText="1"/>
      <protection hidden="1"/>
    </xf>
    <xf numFmtId="168" fontId="7" fillId="2" borderId="48" xfId="7" applyNumberFormat="1" applyFont="1" applyFill="1" applyBorder="1" applyAlignment="1" applyProtection="1">
      <alignment horizontal="center" vertical="top" wrapText="1"/>
      <protection hidden="1"/>
    </xf>
    <xf numFmtId="168" fontId="7" fillId="2" borderId="49" xfId="7" applyNumberFormat="1" applyFont="1" applyFill="1" applyBorder="1" applyAlignment="1" applyProtection="1">
      <alignment horizontal="center" vertical="top" wrapText="1"/>
      <protection hidden="1"/>
    </xf>
    <xf numFmtId="0" fontId="7" fillId="2" borderId="50" xfId="7" applyFont="1" applyFill="1" applyBorder="1" applyAlignment="1" applyProtection="1">
      <alignment vertical="top"/>
      <protection hidden="1"/>
    </xf>
    <xf numFmtId="0" fontId="7" fillId="2" borderId="51" xfId="7" applyFont="1" applyFill="1" applyBorder="1" applyAlignment="1" applyProtection="1">
      <alignment horizontal="left" vertical="top" wrapText="1"/>
      <protection hidden="1"/>
    </xf>
    <xf numFmtId="42" fontId="7" fillId="2" borderId="46" xfId="7" applyNumberFormat="1" applyFont="1" applyFill="1" applyBorder="1" applyAlignment="1" applyProtection="1">
      <alignment vertical="top"/>
      <protection hidden="1"/>
    </xf>
    <xf numFmtId="42" fontId="7" fillId="2" borderId="48" xfId="7" applyNumberFormat="1" applyFont="1" applyFill="1" applyBorder="1" applyAlignment="1" applyProtection="1">
      <alignment vertical="top"/>
      <protection hidden="1"/>
    </xf>
    <xf numFmtId="42" fontId="7" fillId="2" borderId="7" xfId="7" applyNumberFormat="1" applyFont="1" applyFill="1" applyBorder="1" applyAlignment="1" applyProtection="1">
      <alignment vertical="top"/>
      <protection hidden="1"/>
    </xf>
    <xf numFmtId="0" fontId="32" fillId="2" borderId="0" xfId="7" applyFont="1" applyFill="1" applyAlignment="1" applyProtection="1">
      <alignment horizontal="left" vertical="top" wrapText="1"/>
      <protection hidden="1"/>
    </xf>
    <xf numFmtId="168" fontId="18" fillId="2" borderId="0" xfId="7" applyNumberFormat="1" applyFont="1" applyFill="1" applyAlignment="1" applyProtection="1">
      <alignment horizontal="center" vertical="top" wrapText="1"/>
      <protection hidden="1"/>
    </xf>
    <xf numFmtId="0" fontId="7" fillId="2" borderId="0" xfId="7" applyFont="1" applyFill="1" applyAlignment="1" applyProtection="1">
      <alignment horizontal="left" vertical="top" wrapText="1"/>
      <protection hidden="1"/>
    </xf>
    <xf numFmtId="42" fontId="7" fillId="2" borderId="0" xfId="7" applyNumberFormat="1" applyFont="1" applyFill="1" applyAlignment="1" applyProtection="1">
      <alignment vertical="top"/>
      <protection hidden="1"/>
    </xf>
    <xf numFmtId="0" fontId="14" fillId="2" borderId="0" xfId="7" applyFont="1" applyFill="1" applyAlignment="1" applyProtection="1">
      <alignment horizontal="left" vertical="top" wrapText="1"/>
      <protection hidden="1"/>
    </xf>
    <xf numFmtId="168" fontId="7" fillId="2" borderId="0" xfId="7" applyNumberFormat="1" applyFont="1" applyFill="1" applyAlignment="1" applyProtection="1">
      <alignment horizontal="center" vertical="top" wrapText="1"/>
      <protection hidden="1"/>
    </xf>
    <xf numFmtId="0" fontId="7" fillId="2" borderId="0" xfId="7" applyFont="1" applyFill="1" applyAlignment="1" applyProtection="1">
      <alignment horizontal="center" vertical="top"/>
      <protection hidden="1"/>
    </xf>
    <xf numFmtId="0" fontId="14" fillId="2" borderId="22" xfId="7" applyFont="1" applyFill="1" applyBorder="1" applyAlignment="1" applyProtection="1">
      <alignment vertical="top"/>
      <protection hidden="1"/>
    </xf>
    <xf numFmtId="0" fontId="7" fillId="2" borderId="29" xfId="7" applyFont="1" applyFill="1" applyBorder="1" applyAlignment="1" applyProtection="1">
      <alignment vertical="top"/>
      <protection hidden="1"/>
    </xf>
    <xf numFmtId="0" fontId="7" fillId="2" borderId="2" xfId="7" applyFont="1" applyFill="1" applyBorder="1" applyAlignment="1" applyProtection="1">
      <alignment vertical="top"/>
      <protection hidden="1"/>
    </xf>
    <xf numFmtId="43" fontId="7" fillId="2" borderId="0" xfId="7" applyNumberFormat="1" applyFont="1" applyFill="1" applyAlignment="1" applyProtection="1">
      <alignment vertical="top"/>
      <protection hidden="1"/>
    </xf>
    <xf numFmtId="0" fontId="7" fillId="2" borderId="20" xfId="7" applyFont="1" applyFill="1" applyBorder="1" applyAlignment="1" applyProtection="1">
      <alignment vertical="top"/>
      <protection hidden="1"/>
    </xf>
    <xf numFmtId="43" fontId="7" fillId="2" borderId="3" xfId="7" applyNumberFormat="1" applyFont="1" applyFill="1" applyBorder="1" applyAlignment="1" applyProtection="1">
      <alignment vertical="top"/>
      <protection hidden="1"/>
    </xf>
    <xf numFmtId="168" fontId="3" fillId="2" borderId="0" xfId="7" applyNumberFormat="1" applyFont="1" applyFill="1" applyAlignment="1" applyProtection="1">
      <alignment vertical="top"/>
      <protection hidden="1"/>
    </xf>
    <xf numFmtId="0" fontId="3" fillId="2" borderId="0" xfId="7" applyFont="1" applyFill="1" applyAlignment="1" applyProtection="1">
      <alignment vertical="top" wrapText="1"/>
      <protection hidden="1"/>
    </xf>
    <xf numFmtId="168" fontId="7" fillId="2" borderId="0" xfId="7" applyNumberFormat="1" applyFont="1" applyFill="1" applyAlignment="1" applyProtection="1">
      <alignment vertical="top"/>
      <protection hidden="1"/>
    </xf>
    <xf numFmtId="168" fontId="7" fillId="2" borderId="3" xfId="7" applyNumberFormat="1" applyFont="1" applyFill="1" applyBorder="1" applyAlignment="1" applyProtection="1">
      <alignment vertical="top"/>
      <protection hidden="1"/>
    </xf>
    <xf numFmtId="168" fontId="7" fillId="2" borderId="29" xfId="7" applyNumberFormat="1" applyFont="1" applyFill="1" applyBorder="1" applyAlignment="1" applyProtection="1">
      <alignment vertical="top"/>
      <protection hidden="1"/>
    </xf>
    <xf numFmtId="0" fontId="14" fillId="2" borderId="29" xfId="7" applyFont="1" applyFill="1" applyBorder="1" applyAlignment="1" applyProtection="1">
      <alignment vertical="top"/>
      <protection hidden="1"/>
    </xf>
    <xf numFmtId="41" fontId="14" fillId="2" borderId="29" xfId="7" applyNumberFormat="1" applyFont="1" applyFill="1" applyBorder="1" applyAlignment="1" applyProtection="1">
      <alignment vertical="top"/>
      <protection hidden="1"/>
    </xf>
    <xf numFmtId="0" fontId="7" fillId="2" borderId="22" xfId="7" applyFont="1" applyFill="1" applyBorder="1" applyAlignment="1" applyProtection="1">
      <alignment vertical="top"/>
      <protection hidden="1"/>
    </xf>
    <xf numFmtId="41" fontId="7" fillId="2" borderId="29" xfId="7" applyNumberFormat="1" applyFont="1" applyFill="1" applyBorder="1" applyAlignment="1" applyProtection="1">
      <alignment vertical="top"/>
      <protection hidden="1"/>
    </xf>
    <xf numFmtId="0" fontId="14" fillId="2" borderId="2" xfId="7" applyFont="1" applyFill="1" applyBorder="1" applyAlignment="1" applyProtection="1">
      <alignment vertical="top"/>
      <protection hidden="1"/>
    </xf>
    <xf numFmtId="166" fontId="7" fillId="2" borderId="0" xfId="1" applyNumberFormat="1" applyFont="1" applyFill="1" applyBorder="1" applyAlignment="1" applyProtection="1">
      <alignment vertical="top"/>
      <protection hidden="1"/>
    </xf>
    <xf numFmtId="0" fontId="14" fillId="2" borderId="20" xfId="7" applyFont="1" applyFill="1" applyBorder="1" applyAlignment="1" applyProtection="1">
      <alignment vertical="top"/>
      <protection hidden="1"/>
    </xf>
    <xf numFmtId="41" fontId="7" fillId="2" borderId="3" xfId="7" applyNumberFormat="1" applyFont="1" applyFill="1" applyBorder="1" applyAlignment="1" applyProtection="1">
      <alignment vertical="top"/>
      <protection hidden="1"/>
    </xf>
    <xf numFmtId="0" fontId="14" fillId="2" borderId="0" xfId="7" applyFont="1" applyFill="1" applyAlignment="1" applyProtection="1">
      <alignment vertical="top" wrapText="1"/>
      <protection hidden="1"/>
    </xf>
    <xf numFmtId="0" fontId="7" fillId="0" borderId="7" xfId="7" applyFont="1" applyBorder="1" applyAlignment="1" applyProtection="1">
      <alignment horizontal="left" vertical="top" wrapText="1"/>
      <protection locked="0"/>
    </xf>
    <xf numFmtId="42" fontId="7" fillId="0" borderId="7" xfId="7" applyNumberFormat="1" applyFont="1" applyBorder="1" applyAlignment="1" applyProtection="1">
      <alignment vertical="top"/>
      <protection locked="0"/>
    </xf>
    <xf numFmtId="0" fontId="7" fillId="2" borderId="7" xfId="7" applyFont="1" applyFill="1" applyBorder="1" applyAlignment="1" applyProtection="1">
      <alignment vertical="top"/>
      <protection hidden="1"/>
    </xf>
    <xf numFmtId="0" fontId="14" fillId="2" borderId="0" xfId="7" applyFont="1" applyFill="1" applyAlignment="1" applyProtection="1">
      <alignment vertical="top"/>
      <protection hidden="1"/>
    </xf>
    <xf numFmtId="0" fontId="14" fillId="2" borderId="8" xfId="7" applyFont="1" applyFill="1" applyBorder="1" applyAlignment="1" applyProtection="1">
      <alignment vertical="top" wrapText="1"/>
      <protection hidden="1"/>
    </xf>
    <xf numFmtId="0" fontId="7" fillId="2" borderId="10" xfId="7" applyFont="1" applyFill="1" applyBorder="1" applyAlignment="1" applyProtection="1">
      <alignment vertical="top" wrapText="1"/>
      <protection hidden="1"/>
    </xf>
    <xf numFmtId="0" fontId="7" fillId="2" borderId="15" xfId="7" applyFont="1" applyFill="1" applyBorder="1" applyAlignment="1" applyProtection="1">
      <alignment vertical="top" wrapText="1"/>
      <protection hidden="1"/>
    </xf>
    <xf numFmtId="9" fontId="7" fillId="2" borderId="0" xfId="3" applyFont="1" applyFill="1" applyBorder="1" applyAlignment="1" applyProtection="1">
      <alignment vertical="top"/>
      <protection hidden="1"/>
    </xf>
    <xf numFmtId="1" fontId="7" fillId="2" borderId="0" xfId="7" applyNumberFormat="1" applyFont="1" applyFill="1" applyAlignment="1" applyProtection="1">
      <alignment vertical="top"/>
      <protection hidden="1"/>
    </xf>
    <xf numFmtId="168" fontId="7" fillId="4" borderId="0" xfId="7" applyNumberFormat="1" applyFont="1" applyFill="1" applyAlignment="1" applyProtection="1">
      <alignment vertical="top"/>
      <protection hidden="1"/>
    </xf>
    <xf numFmtId="43" fontId="7" fillId="2" borderId="0" xfId="1" applyFont="1" applyFill="1" applyBorder="1" applyAlignment="1" applyProtection="1">
      <alignment vertical="top"/>
      <protection hidden="1"/>
    </xf>
    <xf numFmtId="0" fontId="34" fillId="2" borderId="0" xfId="7" applyFont="1" applyFill="1" applyAlignment="1" applyProtection="1">
      <alignment vertical="top"/>
      <protection hidden="1"/>
    </xf>
    <xf numFmtId="0" fontId="14" fillId="2" borderId="16" xfId="7" applyFont="1" applyFill="1" applyBorder="1" applyAlignment="1" applyProtection="1">
      <alignment vertical="top"/>
      <protection hidden="1"/>
    </xf>
    <xf numFmtId="43" fontId="7" fillId="0" borderId="0" xfId="1" applyFont="1" applyFill="1" applyBorder="1" applyAlignment="1" applyProtection="1">
      <alignment vertical="top"/>
      <protection hidden="1"/>
    </xf>
    <xf numFmtId="0" fontId="7" fillId="2" borderId="16" xfId="7" applyFont="1" applyFill="1" applyBorder="1" applyAlignment="1" applyProtection="1">
      <alignment horizontal="left" vertical="top"/>
      <protection hidden="1"/>
    </xf>
    <xf numFmtId="9" fontId="14" fillId="2" borderId="0" xfId="7" applyNumberFormat="1" applyFont="1" applyFill="1" applyAlignment="1" applyProtection="1">
      <alignment vertical="top"/>
      <protection hidden="1"/>
    </xf>
    <xf numFmtId="0" fontId="7" fillId="2" borderId="11" xfId="7" applyFont="1" applyFill="1" applyBorder="1" applyAlignment="1" applyProtection="1">
      <alignment vertical="top"/>
      <protection hidden="1"/>
    </xf>
    <xf numFmtId="0" fontId="7" fillId="2" borderId="12" xfId="7" applyFont="1" applyFill="1" applyBorder="1" applyAlignment="1" applyProtection="1">
      <alignment vertical="top"/>
      <protection hidden="1"/>
    </xf>
    <xf numFmtId="0" fontId="7" fillId="2" borderId="13" xfId="7" applyFont="1" applyFill="1" applyBorder="1" applyAlignment="1" applyProtection="1">
      <alignment vertical="top" wrapText="1"/>
      <protection hidden="1"/>
    </xf>
    <xf numFmtId="0" fontId="35" fillId="2" borderId="0" xfId="0" applyFont="1" applyFill="1" applyAlignment="1" applyProtection="1">
      <alignment horizontal="right" vertical="top"/>
      <protection hidden="1"/>
    </xf>
    <xf numFmtId="0" fontId="0" fillId="2" borderId="0" xfId="0" applyFill="1" applyAlignment="1" applyProtection="1">
      <alignment vertical="top"/>
      <protection hidden="1"/>
    </xf>
    <xf numFmtId="41" fontId="36" fillId="2" borderId="0" xfId="0" applyNumberFormat="1" applyFont="1" applyFill="1" applyAlignment="1" applyProtection="1">
      <alignment horizontal="center" vertical="top"/>
      <protection hidden="1"/>
    </xf>
    <xf numFmtId="41" fontId="4" fillId="2" borderId="0" xfId="0" applyNumberFormat="1" applyFont="1" applyFill="1" applyAlignment="1" applyProtection="1">
      <alignment horizontal="center" vertical="top" wrapText="1"/>
      <protection hidden="1"/>
    </xf>
    <xf numFmtId="1" fontId="17" fillId="2" borderId="0" xfId="0" applyNumberFormat="1" applyFont="1" applyFill="1" applyAlignment="1" applyProtection="1">
      <alignment horizontal="left" vertical="top" wrapText="1"/>
      <protection hidden="1"/>
    </xf>
    <xf numFmtId="1" fontId="17" fillId="2" borderId="0" xfId="0" applyNumberFormat="1" applyFont="1" applyFill="1" applyAlignment="1" applyProtection="1">
      <alignment horizontal="center" vertical="top"/>
      <protection hidden="1"/>
    </xf>
    <xf numFmtId="41" fontId="37" fillId="2" borderId="0" xfId="0" applyNumberFormat="1" applyFont="1" applyFill="1" applyAlignment="1" applyProtection="1">
      <alignment horizontal="center" vertical="top"/>
      <protection hidden="1"/>
    </xf>
    <xf numFmtId="0" fontId="17" fillId="2" borderId="0" xfId="0" applyFont="1" applyFill="1" applyAlignment="1" applyProtection="1">
      <alignment horizontal="center" vertical="top"/>
      <protection hidden="1"/>
    </xf>
    <xf numFmtId="0" fontId="2" fillId="3" borderId="7" xfId="0" applyFont="1" applyFill="1" applyBorder="1" applyProtection="1">
      <protection hidden="1"/>
    </xf>
    <xf numFmtId="0" fontId="38" fillId="8" borderId="7" xfId="0" applyFont="1" applyFill="1" applyBorder="1" applyAlignment="1" applyProtection="1">
      <alignment horizontal="center" vertical="top"/>
      <protection hidden="1"/>
    </xf>
    <xf numFmtId="0" fontId="14" fillId="2" borderId="29" xfId="4" applyFont="1" applyFill="1" applyBorder="1" applyAlignment="1" applyProtection="1">
      <alignment vertical="top" wrapText="1"/>
      <protection hidden="1"/>
    </xf>
    <xf numFmtId="43" fontId="0" fillId="2" borderId="0" xfId="0" applyNumberFormat="1" applyFill="1" applyAlignment="1" applyProtection="1">
      <alignment vertical="top"/>
      <protection hidden="1"/>
    </xf>
    <xf numFmtId="43" fontId="17" fillId="2" borderId="0" xfId="0" applyNumberFormat="1" applyFont="1" applyFill="1" applyAlignment="1" applyProtection="1">
      <alignment horizontal="right" vertical="top"/>
      <protection hidden="1"/>
    </xf>
    <xf numFmtId="43" fontId="0" fillId="2" borderId="0" xfId="0" applyNumberFormat="1" applyFill="1" applyAlignment="1" applyProtection="1">
      <alignment horizontal="right" vertical="top"/>
      <protection hidden="1"/>
    </xf>
    <xf numFmtId="41" fontId="8" fillId="2" borderId="0" xfId="0" applyNumberFormat="1" applyFont="1" applyFill="1" applyAlignment="1" applyProtection="1">
      <alignment vertical="top"/>
      <protection hidden="1"/>
    </xf>
    <xf numFmtId="10" fontId="7" fillId="4" borderId="7" xfId="3" applyNumberFormat="1" applyFont="1" applyFill="1" applyBorder="1" applyAlignment="1" applyProtection="1">
      <alignment horizontal="right" vertical="top"/>
      <protection locked="0"/>
    </xf>
    <xf numFmtId="0" fontId="7" fillId="4" borderId="0" xfId="4" applyFont="1" applyFill="1" applyAlignment="1" applyProtection="1">
      <alignment horizontal="left" vertical="top" wrapText="1" indent="2"/>
      <protection locked="0"/>
    </xf>
    <xf numFmtId="0" fontId="14" fillId="2" borderId="0" xfId="4" applyFont="1" applyFill="1" applyAlignment="1" applyProtection="1">
      <alignment vertical="top" wrapText="1"/>
      <protection hidden="1"/>
    </xf>
    <xf numFmtId="44" fontId="0" fillId="12" borderId="7" xfId="2" applyFont="1" applyFill="1" applyBorder="1" applyAlignment="1" applyProtection="1">
      <alignment vertical="top"/>
      <protection locked="0"/>
    </xf>
    <xf numFmtId="44" fontId="0" fillId="2" borderId="0" xfId="0" applyNumberFormat="1" applyFill="1" applyAlignment="1" applyProtection="1">
      <alignment vertical="top"/>
      <protection hidden="1"/>
    </xf>
    <xf numFmtId="2" fontId="0" fillId="2" borderId="0" xfId="0" applyNumberFormat="1" applyFill="1" applyAlignment="1" applyProtection="1">
      <alignment vertical="top"/>
      <protection hidden="1"/>
    </xf>
    <xf numFmtId="10" fontId="7" fillId="0" borderId="29" xfId="3" applyNumberFormat="1" applyFont="1" applyFill="1" applyBorder="1" applyAlignment="1" applyProtection="1">
      <alignment horizontal="right" vertical="top"/>
      <protection locked="0"/>
    </xf>
    <xf numFmtId="1" fontId="17" fillId="2" borderId="0" xfId="0" applyNumberFormat="1" applyFont="1" applyFill="1" applyAlignment="1">
      <alignment horizontal="left" vertical="top" wrapText="1"/>
    </xf>
    <xf numFmtId="0" fontId="0" fillId="2" borderId="0" xfId="0" applyFill="1" applyAlignment="1" applyProtection="1">
      <alignment horizontal="left" indent="2"/>
      <protection hidden="1"/>
    </xf>
    <xf numFmtId="44" fontId="0" fillId="7" borderId="7" xfId="2" applyFont="1" applyFill="1" applyBorder="1" applyAlignment="1" applyProtection="1">
      <alignment vertical="top"/>
      <protection locked="0"/>
    </xf>
    <xf numFmtId="41" fontId="8" fillId="2" borderId="54" xfId="0" applyNumberFormat="1" applyFont="1" applyFill="1" applyBorder="1" applyAlignment="1" applyProtection="1">
      <alignment horizontal="center" vertical="top" wrapText="1"/>
      <protection hidden="1"/>
    </xf>
    <xf numFmtId="41" fontId="8" fillId="2" borderId="55" xfId="0" applyNumberFormat="1" applyFont="1" applyFill="1" applyBorder="1" applyAlignment="1" applyProtection="1">
      <alignment horizontal="center" vertical="top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165" fontId="0" fillId="13" borderId="7" xfId="2" applyNumberFormat="1" applyFont="1" applyFill="1" applyBorder="1" applyAlignment="1" applyProtection="1">
      <alignment vertical="top"/>
      <protection locked="0"/>
    </xf>
    <xf numFmtId="9" fontId="8" fillId="2" borderId="54" xfId="0" applyNumberFormat="1" applyFont="1" applyFill="1" applyBorder="1" applyAlignment="1" applyProtection="1">
      <alignment vertical="top"/>
      <protection hidden="1"/>
    </xf>
    <xf numFmtId="0" fontId="0" fillId="2" borderId="0" xfId="0" applyFill="1" applyAlignment="1" applyProtection="1">
      <alignment horizontal="left" indent="3"/>
      <protection hidden="1"/>
    </xf>
    <xf numFmtId="41" fontId="8" fillId="2" borderId="56" xfId="0" applyNumberFormat="1" applyFont="1" applyFill="1" applyBorder="1" applyAlignment="1" applyProtection="1">
      <alignment vertical="top"/>
      <protection hidden="1"/>
    </xf>
    <xf numFmtId="10" fontId="8" fillId="2" borderId="54" xfId="0" applyNumberFormat="1" applyFont="1" applyFill="1" applyBorder="1" applyAlignment="1" applyProtection="1">
      <alignment vertical="top"/>
      <protection hidden="1"/>
    </xf>
    <xf numFmtId="169" fontId="8" fillId="2" borderId="54" xfId="0" applyNumberFormat="1" applyFont="1" applyFill="1" applyBorder="1" applyAlignment="1" applyProtection="1">
      <alignment vertical="top"/>
      <protection hidden="1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hidden="1"/>
    </xf>
    <xf numFmtId="0" fontId="0" fillId="5" borderId="0" xfId="0" applyFill="1"/>
    <xf numFmtId="41" fontId="40" fillId="2" borderId="0" xfId="0" applyNumberFormat="1" applyFont="1" applyFill="1" applyAlignment="1" applyProtection="1">
      <alignment horizontal="center" vertical="top"/>
      <protection hidden="1"/>
    </xf>
    <xf numFmtId="0" fontId="7" fillId="0" borderId="0" xfId="4" applyFont="1" applyAlignment="1" applyProtection="1">
      <alignment horizontal="left" vertical="top" wrapText="1" indent="2"/>
      <protection locked="0"/>
    </xf>
    <xf numFmtId="165" fontId="0" fillId="0" borderId="7" xfId="2" applyNumberFormat="1" applyFont="1" applyFill="1" applyBorder="1" applyAlignment="1" applyProtection="1">
      <alignment vertical="top"/>
      <protection locked="0"/>
    </xf>
    <xf numFmtId="0" fontId="7" fillId="2" borderId="0" xfId="4" applyFont="1" applyFill="1" applyAlignment="1" applyProtection="1">
      <alignment horizontal="left" vertical="top" wrapText="1" indent="3"/>
      <protection hidden="1"/>
    </xf>
    <xf numFmtId="0" fontId="7" fillId="4" borderId="0" xfId="4" applyFont="1" applyFill="1" applyAlignment="1" applyProtection="1">
      <alignment horizontal="left" vertical="top" wrapText="1" indent="3"/>
      <protection hidden="1"/>
    </xf>
    <xf numFmtId="169" fontId="38" fillId="8" borderId="0" xfId="0" applyNumberFormat="1" applyFont="1" applyFill="1" applyAlignment="1" applyProtection="1">
      <alignment horizontal="center" vertical="top"/>
      <protection hidden="1"/>
    </xf>
    <xf numFmtId="3" fontId="0" fillId="5" borderId="0" xfId="0" applyNumberFormat="1" applyFill="1"/>
    <xf numFmtId="0" fontId="2" fillId="3" borderId="7" xfId="0" applyFont="1" applyFill="1" applyBorder="1" applyAlignment="1" applyProtection="1">
      <alignment vertical="top"/>
      <protection hidden="1"/>
    </xf>
    <xf numFmtId="9" fontId="38" fillId="8" borderId="0" xfId="0" applyNumberFormat="1" applyFont="1" applyFill="1" applyAlignment="1" applyProtection="1">
      <alignment horizontal="center" vertical="top"/>
      <protection hidden="1"/>
    </xf>
    <xf numFmtId="41" fontId="0" fillId="0" borderId="0" xfId="0" applyNumberFormat="1"/>
    <xf numFmtId="0" fontId="2" fillId="5" borderId="0" xfId="0" applyFont="1" applyFill="1" applyAlignment="1" applyProtection="1">
      <alignment vertical="top"/>
      <protection hidden="1"/>
    </xf>
    <xf numFmtId="0" fontId="14" fillId="2" borderId="0" xfId="5" applyFont="1" applyFill="1" applyAlignment="1" applyProtection="1">
      <alignment horizontal="left" vertical="top" wrapText="1"/>
      <protection hidden="1"/>
    </xf>
    <xf numFmtId="0" fontId="38" fillId="0" borderId="0" xfId="0" applyFont="1" applyAlignment="1" applyProtection="1">
      <alignment horizontal="center" vertical="top"/>
      <protection hidden="1"/>
    </xf>
    <xf numFmtId="0" fontId="0" fillId="2" borderId="0" xfId="0" applyFill="1" applyAlignment="1" applyProtection="1">
      <alignment horizontal="left" vertical="top" indent="2"/>
      <protection hidden="1"/>
    </xf>
    <xf numFmtId="43" fontId="0" fillId="2" borderId="0" xfId="0" applyNumberFormat="1" applyFill="1" applyAlignment="1" applyProtection="1">
      <alignment horizontal="left" vertical="top"/>
      <protection hidden="1"/>
    </xf>
    <xf numFmtId="43" fontId="0" fillId="8" borderId="38" xfId="0" applyNumberFormat="1" applyFill="1" applyBorder="1" applyAlignment="1" applyProtection="1">
      <alignment horizontal="right" vertical="top"/>
      <protection hidden="1"/>
    </xf>
    <xf numFmtId="10" fontId="7" fillId="13" borderId="7" xfId="3" applyNumberFormat="1" applyFont="1" applyFill="1" applyBorder="1" applyAlignment="1" applyProtection="1">
      <alignment horizontal="right" vertical="top"/>
      <protection locked="0"/>
    </xf>
    <xf numFmtId="43" fontId="0" fillId="8" borderId="7" xfId="0" applyNumberFormat="1" applyFill="1" applyBorder="1" applyAlignment="1" applyProtection="1">
      <alignment horizontal="right" vertical="top"/>
      <protection hidden="1"/>
    </xf>
    <xf numFmtId="41" fontId="7" fillId="2" borderId="7" xfId="5" applyNumberFormat="1" applyFont="1" applyFill="1" applyBorder="1" applyAlignment="1" applyProtection="1">
      <alignment horizontal="right" vertical="top"/>
      <protection hidden="1"/>
    </xf>
    <xf numFmtId="168" fontId="0" fillId="0" borderId="0" xfId="0" applyNumberFormat="1"/>
    <xf numFmtId="44" fontId="0" fillId="0" borderId="0" xfId="0" applyNumberFormat="1"/>
    <xf numFmtId="6" fontId="0" fillId="0" borderId="0" xfId="0" applyNumberFormat="1"/>
    <xf numFmtId="44" fontId="0" fillId="0" borderId="0" xfId="2" applyFont="1"/>
    <xf numFmtId="9" fontId="0" fillId="0" borderId="0" xfId="3" applyFont="1"/>
    <xf numFmtId="0" fontId="41" fillId="0" borderId="0" xfId="10"/>
    <xf numFmtId="3" fontId="0" fillId="2" borderId="0" xfId="0" applyNumberFormat="1" applyFill="1" applyAlignment="1" applyProtection="1">
      <alignment horizontal="left" vertical="top" indent="2"/>
      <protection hidden="1"/>
    </xf>
    <xf numFmtId="165" fontId="7" fillId="13" borderId="7" xfId="2" applyNumberFormat="1" applyFont="1" applyFill="1" applyBorder="1" applyAlignment="1" applyProtection="1">
      <alignment horizontal="right" vertical="top"/>
      <protection locked="0"/>
    </xf>
    <xf numFmtId="165" fontId="7" fillId="12" borderId="7" xfId="2" applyNumberFormat="1" applyFont="1" applyFill="1" applyBorder="1" applyAlignment="1" applyProtection="1">
      <alignment horizontal="right" vertical="top"/>
      <protection locked="0"/>
    </xf>
    <xf numFmtId="1" fontId="17" fillId="2" borderId="0" xfId="0" applyNumberFormat="1" applyFont="1" applyFill="1" applyAlignment="1" applyProtection="1">
      <alignment horizontal="left" vertical="top"/>
      <protection locked="0"/>
    </xf>
    <xf numFmtId="0" fontId="7" fillId="5" borderId="0" xfId="4" applyFont="1" applyFill="1" applyAlignment="1" applyProtection="1">
      <alignment horizontal="left" vertical="top" wrapText="1" indent="2"/>
      <protection locked="0"/>
    </xf>
    <xf numFmtId="9" fontId="17" fillId="2" borderId="0" xfId="3" applyFont="1" applyFill="1" applyAlignment="1" applyProtection="1">
      <alignment horizontal="left" vertical="top" wrapText="1"/>
      <protection locked="0"/>
    </xf>
    <xf numFmtId="3" fontId="7" fillId="2" borderId="0" xfId="6" applyNumberFormat="1" applyFont="1" applyFill="1" applyAlignment="1" applyProtection="1">
      <alignment horizontal="left" indent="2"/>
      <protection hidden="1"/>
    </xf>
    <xf numFmtId="43" fontId="0" fillId="12" borderId="7" xfId="0" applyNumberFormat="1" applyFill="1" applyBorder="1" applyAlignment="1" applyProtection="1">
      <alignment horizontal="right" vertical="top"/>
      <protection locked="0"/>
    </xf>
    <xf numFmtId="43" fontId="0" fillId="2" borderId="0" xfId="0" applyNumberFormat="1" applyFill="1" applyAlignment="1" applyProtection="1">
      <alignment horizontal="right" vertical="top" wrapText="1"/>
      <protection hidden="1"/>
    </xf>
    <xf numFmtId="165" fontId="7" fillId="13" borderId="7" xfId="2" applyNumberFormat="1" applyFont="1" applyFill="1" applyBorder="1" applyAlignment="1" applyProtection="1">
      <alignment vertical="top"/>
      <protection locked="0"/>
    </xf>
    <xf numFmtId="43" fontId="5" fillId="8" borderId="7" xfId="0" applyNumberFormat="1" applyFont="1" applyFill="1" applyBorder="1" applyAlignment="1" applyProtection="1">
      <alignment horizontal="right" vertical="top"/>
      <protection hidden="1"/>
    </xf>
    <xf numFmtId="0" fontId="4" fillId="5" borderId="0" xfId="0" applyFont="1" applyFill="1"/>
    <xf numFmtId="0" fontId="0" fillId="0" borderId="0" xfId="0" applyAlignment="1">
      <alignment wrapText="1"/>
    </xf>
    <xf numFmtId="0" fontId="14" fillId="0" borderId="52" xfId="7" applyFont="1" applyFill="1" applyBorder="1" applyAlignment="1" applyProtection="1">
      <alignment vertical="top"/>
      <protection hidden="1"/>
    </xf>
    <xf numFmtId="0" fontId="7" fillId="0" borderId="53" xfId="7" applyFont="1" applyFill="1" applyBorder="1" applyAlignment="1" applyProtection="1">
      <alignment vertical="top"/>
      <protection hidden="1"/>
    </xf>
    <xf numFmtId="43" fontId="7" fillId="0" borderId="53" xfId="1" applyFont="1" applyFill="1" applyBorder="1" applyAlignment="1" applyProtection="1">
      <alignment vertical="top"/>
      <protection hidden="1"/>
    </xf>
    <xf numFmtId="43" fontId="7" fillId="0" borderId="0" xfId="1" applyFont="1" applyFill="1" applyAlignment="1" applyProtection="1">
      <alignment vertical="top"/>
      <protection hidden="1"/>
    </xf>
    <xf numFmtId="43" fontId="33" fillId="0" borderId="0" xfId="1" applyFont="1" applyFill="1"/>
    <xf numFmtId="0" fontId="7" fillId="0" borderId="0" xfId="7" applyFont="1" applyFill="1" applyAlignment="1" applyProtection="1">
      <alignment vertical="top"/>
      <protection hidden="1"/>
    </xf>
    <xf numFmtId="0" fontId="7" fillId="0" borderId="44" xfId="7" applyFont="1" applyFill="1" applyBorder="1" applyAlignment="1" applyProtection="1">
      <alignment horizontal="left" vertical="top" wrapText="1"/>
      <protection locked="0"/>
    </xf>
    <xf numFmtId="0" fontId="0" fillId="9" borderId="0" xfId="0" applyFill="1" applyBorder="1" applyAlignment="1" applyProtection="1">
      <alignment vertical="top"/>
      <protection hidden="1"/>
    </xf>
    <xf numFmtId="166" fontId="0" fillId="9" borderId="0" xfId="1" applyNumberFormat="1" applyFont="1" applyFill="1" applyBorder="1" applyAlignment="1" applyProtection="1">
      <alignment vertical="top"/>
      <protection hidden="1"/>
    </xf>
    <xf numFmtId="41" fontId="0" fillId="9" borderId="0" xfId="0" applyNumberFormat="1" applyFill="1" applyBorder="1" applyAlignment="1" applyProtection="1">
      <alignment vertical="top"/>
      <protection hidden="1"/>
    </xf>
    <xf numFmtId="0" fontId="4" fillId="9" borderId="0" xfId="0" applyFont="1" applyFill="1" applyBorder="1" applyAlignment="1" applyProtection="1">
      <alignment vertical="top"/>
      <protection hidden="1"/>
    </xf>
    <xf numFmtId="165" fontId="0" fillId="9" borderId="0" xfId="0" applyNumberFormat="1" applyFill="1" applyBorder="1" applyAlignment="1" applyProtection="1">
      <alignment vertical="top"/>
      <protection hidden="1"/>
    </xf>
    <xf numFmtId="0" fontId="4" fillId="5" borderId="0" xfId="0" applyFont="1" applyFill="1" applyBorder="1" applyAlignment="1" applyProtection="1">
      <alignment vertical="top"/>
      <protection hidden="1"/>
    </xf>
    <xf numFmtId="166" fontId="4" fillId="5" borderId="0" xfId="1" applyNumberFormat="1" applyFont="1" applyFill="1" applyBorder="1" applyAlignment="1" applyProtection="1">
      <alignment vertical="top"/>
      <protection hidden="1"/>
    </xf>
    <xf numFmtId="0" fontId="0" fillId="5" borderId="0" xfId="0" applyFill="1" applyBorder="1" applyAlignment="1" applyProtection="1">
      <alignment vertical="top"/>
      <protection hidden="1"/>
    </xf>
    <xf numFmtId="41" fontId="0" fillId="5" borderId="0" xfId="0" applyNumberFormat="1" applyFill="1" applyBorder="1" applyAlignment="1" applyProtection="1">
      <alignment vertical="top"/>
      <protection hidden="1"/>
    </xf>
    <xf numFmtId="41" fontId="4" fillId="5" borderId="0" xfId="0" quotePrefix="1" applyNumberFormat="1" applyFont="1" applyFill="1" applyBorder="1" applyAlignment="1" applyProtection="1">
      <alignment vertical="top"/>
      <protection hidden="1"/>
    </xf>
    <xf numFmtId="41" fontId="4" fillId="5" borderId="0" xfId="0" applyNumberFormat="1" applyFont="1" applyFill="1" applyBorder="1" applyAlignment="1" applyProtection="1">
      <alignment vertical="top"/>
      <protection hidden="1"/>
    </xf>
    <xf numFmtId="0" fontId="0" fillId="5" borderId="0" xfId="0" applyFill="1" applyAlignment="1" applyProtection="1">
      <alignment vertical="top"/>
      <protection hidden="1"/>
    </xf>
    <xf numFmtId="0" fontId="11" fillId="3" borderId="7" xfId="0" applyFont="1" applyFill="1" applyBorder="1" applyAlignment="1" applyProtection="1">
      <alignment horizontal="left" vertical="top"/>
      <protection hidden="1"/>
    </xf>
    <xf numFmtId="0" fontId="11" fillId="3" borderId="7" xfId="0" applyFont="1" applyFill="1" applyBorder="1" applyAlignment="1" applyProtection="1">
      <alignment horizontal="center" vertical="top" wrapText="1"/>
      <protection hidden="1"/>
    </xf>
    <xf numFmtId="41" fontId="7" fillId="2" borderId="7" xfId="4" applyNumberFormat="1" applyFont="1" applyFill="1" applyBorder="1" applyAlignment="1" applyProtection="1">
      <alignment horizontal="right" vertical="top" wrapText="1"/>
      <protection hidden="1"/>
    </xf>
    <xf numFmtId="41" fontId="7" fillId="0" borderId="7" xfId="4" applyNumberFormat="1" applyFont="1" applyBorder="1" applyAlignment="1" applyProtection="1">
      <alignment horizontal="right" vertical="top" wrapText="1"/>
      <protection hidden="1"/>
    </xf>
    <xf numFmtId="41" fontId="7" fillId="2" borderId="22" xfId="4" applyNumberFormat="1" applyFont="1" applyFill="1" applyBorder="1" applyAlignment="1" applyProtection="1">
      <alignment horizontal="right" vertical="top"/>
      <protection hidden="1"/>
    </xf>
    <xf numFmtId="41" fontId="7" fillId="2" borderId="29" xfId="4" applyNumberFormat="1" applyFont="1" applyFill="1" applyBorder="1" applyAlignment="1" applyProtection="1">
      <alignment horizontal="right" vertical="top"/>
      <protection hidden="1"/>
    </xf>
    <xf numFmtId="42" fontId="14" fillId="2" borderId="57" xfId="4" applyNumberFormat="1" applyFont="1" applyFill="1" applyBorder="1" applyAlignment="1" applyProtection="1">
      <alignment horizontal="right" vertical="top"/>
      <protection hidden="1"/>
    </xf>
    <xf numFmtId="42" fontId="14" fillId="5" borderId="57" xfId="4" applyNumberFormat="1" applyFont="1" applyFill="1" applyBorder="1" applyAlignment="1" applyProtection="1">
      <alignment horizontal="right" vertical="top"/>
      <protection hidden="1"/>
    </xf>
    <xf numFmtId="42" fontId="14" fillId="5" borderId="58" xfId="4" applyNumberFormat="1" applyFont="1" applyFill="1" applyBorder="1" applyAlignment="1" applyProtection="1">
      <alignment horizontal="right" vertical="top"/>
      <protection hidden="1"/>
    </xf>
    <xf numFmtId="42" fontId="14" fillId="2" borderId="59" xfId="4" applyNumberFormat="1" applyFont="1" applyFill="1" applyBorder="1" applyAlignment="1" applyProtection="1">
      <alignment horizontal="right" vertical="top"/>
      <protection hidden="1"/>
    </xf>
    <xf numFmtId="42" fontId="14" fillId="2" borderId="60" xfId="4" applyNumberFormat="1" applyFont="1" applyFill="1" applyBorder="1" applyAlignment="1" applyProtection="1">
      <alignment horizontal="right" vertical="top"/>
      <protection hidden="1"/>
    </xf>
    <xf numFmtId="41" fontId="1" fillId="2" borderId="0" xfId="4" applyNumberFormat="1" applyFont="1" applyFill="1" applyAlignment="1" applyProtection="1">
      <alignment vertical="top"/>
      <protection hidden="1"/>
    </xf>
    <xf numFmtId="0" fontId="2" fillId="3" borderId="61" xfId="0" applyFont="1" applyFill="1" applyBorder="1" applyAlignment="1" applyProtection="1">
      <alignment horizontal="center"/>
      <protection hidden="1"/>
    </xf>
    <xf numFmtId="43" fontId="0" fillId="4" borderId="61" xfId="0" applyNumberFormat="1" applyFill="1" applyBorder="1" applyProtection="1">
      <protection locked="0"/>
    </xf>
    <xf numFmtId="43" fontId="0" fillId="10" borderId="61" xfId="0" applyNumberFormat="1" applyFill="1" applyBorder="1" applyProtection="1">
      <protection locked="0"/>
    </xf>
    <xf numFmtId="43" fontId="4" fillId="9" borderId="61" xfId="0" applyNumberFormat="1" applyFont="1" applyFill="1" applyBorder="1" applyAlignment="1" applyProtection="1">
      <alignment vertical="top"/>
      <protection hidden="1"/>
    </xf>
    <xf numFmtId="0" fontId="22" fillId="3" borderId="61" xfId="0" applyFont="1" applyFill="1" applyBorder="1" applyAlignment="1" applyProtection="1">
      <alignment horizontal="center" vertical="center" wrapText="1"/>
      <protection hidden="1"/>
    </xf>
    <xf numFmtId="9" fontId="0" fillId="4" borderId="61" xfId="0" applyNumberFormat="1" applyFill="1" applyBorder="1" applyProtection="1">
      <protection locked="0"/>
    </xf>
    <xf numFmtId="10" fontId="0" fillId="4" borderId="61" xfId="0" applyNumberFormat="1" applyFill="1" applyBorder="1" applyAlignment="1">
      <alignment vertical="top"/>
    </xf>
    <xf numFmtId="10" fontId="0" fillId="4" borderId="61" xfId="3" applyNumberFormat="1" applyFont="1" applyFill="1" applyBorder="1" applyAlignment="1" applyProtection="1">
      <alignment vertical="top"/>
    </xf>
    <xf numFmtId="43" fontId="0" fillId="4" borderId="61" xfId="0" applyNumberFormat="1" applyFill="1" applyBorder="1" applyAlignment="1" applyProtection="1">
      <alignment horizontal="right" vertical="top"/>
      <protection locked="0"/>
    </xf>
    <xf numFmtId="43" fontId="0" fillId="4" borderId="61" xfId="0" applyNumberFormat="1" applyFill="1" applyBorder="1" applyAlignment="1" applyProtection="1">
      <alignment vertical="top"/>
      <protection locked="0"/>
    </xf>
    <xf numFmtId="10" fontId="0" fillId="0" borderId="61" xfId="0" applyNumberFormat="1" applyBorder="1" applyAlignment="1" applyProtection="1">
      <alignment vertical="top"/>
      <protection locked="0"/>
    </xf>
    <xf numFmtId="43" fontId="0" fillId="0" borderId="61" xfId="0" applyNumberFormat="1" applyBorder="1" applyAlignment="1" applyProtection="1">
      <alignment vertical="top"/>
      <protection hidden="1"/>
    </xf>
    <xf numFmtId="43" fontId="0" fillId="0" borderId="61" xfId="0" applyNumberFormat="1" applyBorder="1" applyAlignment="1">
      <alignment vertical="top"/>
    </xf>
    <xf numFmtId="43" fontId="0" fillId="5" borderId="61" xfId="1" applyFont="1" applyFill="1" applyBorder="1" applyProtection="1">
      <protection locked="0"/>
    </xf>
    <xf numFmtId="43" fontId="0" fillId="5" borderId="61" xfId="0" applyNumberFormat="1" applyFill="1" applyBorder="1" applyAlignment="1" applyProtection="1">
      <alignment vertical="top"/>
      <protection locked="0"/>
    </xf>
    <xf numFmtId="43" fontId="0" fillId="0" borderId="61" xfId="0" applyNumberFormat="1" applyBorder="1" applyProtection="1">
      <protection hidden="1"/>
    </xf>
    <xf numFmtId="43" fontId="0" fillId="9" borderId="61" xfId="0" applyNumberFormat="1" applyFill="1" applyBorder="1" applyAlignment="1" applyProtection="1">
      <alignment vertical="top"/>
      <protection hidden="1"/>
    </xf>
    <xf numFmtId="0" fontId="38" fillId="8" borderId="61" xfId="0" applyFont="1" applyFill="1" applyBorder="1" applyAlignment="1" applyProtection="1">
      <alignment horizontal="center" vertical="top"/>
      <protection hidden="1"/>
    </xf>
    <xf numFmtId="10" fontId="7" fillId="4" borderId="61" xfId="3" applyNumberFormat="1" applyFont="1" applyFill="1" applyBorder="1" applyAlignment="1" applyProtection="1">
      <alignment horizontal="right" vertical="top"/>
      <protection locked="0"/>
    </xf>
    <xf numFmtId="43" fontId="0" fillId="8" borderId="61" xfId="0" applyNumberFormat="1" applyFill="1" applyBorder="1" applyAlignment="1">
      <alignment horizontal="right" vertical="top"/>
    </xf>
    <xf numFmtId="44" fontId="0" fillId="12" borderId="61" xfId="2" applyFont="1" applyFill="1" applyBorder="1" applyAlignment="1" applyProtection="1">
      <alignment vertical="top"/>
      <protection locked="0"/>
    </xf>
    <xf numFmtId="43" fontId="0" fillId="0" borderId="61" xfId="0" applyNumberFormat="1" applyBorder="1" applyAlignment="1">
      <alignment horizontal="right" vertical="top"/>
    </xf>
    <xf numFmtId="10" fontId="7" fillId="0" borderId="19" xfId="3" applyNumberFormat="1" applyFont="1" applyFill="1" applyBorder="1" applyAlignment="1" applyProtection="1">
      <alignment horizontal="right" vertical="top"/>
      <protection locked="0"/>
    </xf>
    <xf numFmtId="10" fontId="7" fillId="0" borderId="61" xfId="3" applyNumberFormat="1" applyFont="1" applyFill="1" applyBorder="1" applyAlignment="1" applyProtection="1">
      <alignment horizontal="right" vertical="top"/>
    </xf>
    <xf numFmtId="44" fontId="0" fillId="7" borderId="61" xfId="2" applyFont="1" applyFill="1" applyBorder="1" applyAlignment="1" applyProtection="1">
      <alignment vertical="top"/>
      <protection locked="0"/>
    </xf>
    <xf numFmtId="165" fontId="0" fillId="13" borderId="61" xfId="2" applyNumberFormat="1" applyFont="1" applyFill="1" applyBorder="1" applyAlignment="1" applyProtection="1">
      <alignment vertical="top"/>
      <protection locked="0"/>
    </xf>
    <xf numFmtId="0" fontId="11" fillId="3" borderId="7" xfId="0" applyFont="1" applyFill="1" applyBorder="1" applyProtection="1">
      <protection hidden="1"/>
    </xf>
    <xf numFmtId="41" fontId="7" fillId="4" borderId="7" xfId="4" applyNumberFormat="1" applyFont="1" applyFill="1" applyBorder="1" applyAlignment="1" applyProtection="1">
      <alignment vertical="top"/>
      <protection locked="0"/>
    </xf>
    <xf numFmtId="41" fontId="7" fillId="4" borderId="7" xfId="5" applyNumberFormat="1" applyFont="1" applyFill="1" applyBorder="1" applyAlignment="1" applyProtection="1">
      <alignment vertical="top"/>
      <protection locked="0"/>
    </xf>
    <xf numFmtId="41" fontId="9" fillId="2" borderId="0" xfId="0" applyNumberFormat="1" applyFont="1" applyFill="1" applyAlignment="1" applyProtection="1">
      <alignment horizontal="center" vertical="top" wrapText="1"/>
      <protection hidden="1"/>
    </xf>
    <xf numFmtId="41" fontId="7" fillId="2" borderId="62" xfId="4" applyNumberFormat="1" applyFont="1" applyFill="1" applyBorder="1" applyAlignment="1" applyProtection="1">
      <alignment horizontal="center" vertical="top" wrapText="1"/>
      <protection hidden="1"/>
    </xf>
    <xf numFmtId="41" fontId="7" fillId="2" borderId="38" xfId="4" applyNumberFormat="1" applyFont="1" applyFill="1" applyBorder="1" applyAlignment="1" applyProtection="1">
      <alignment horizontal="center" vertical="top" wrapText="1"/>
      <protection hidden="1"/>
    </xf>
    <xf numFmtId="0" fontId="7" fillId="2" borderId="52" xfId="7" applyFont="1" applyFill="1" applyBorder="1" applyAlignment="1" applyProtection="1">
      <alignment horizontal="center" vertical="top"/>
      <protection hidden="1"/>
    </xf>
    <xf numFmtId="0" fontId="7" fillId="2" borderId="45" xfId="7" applyFont="1" applyFill="1" applyBorder="1" applyAlignment="1" applyProtection="1">
      <alignment horizontal="center" vertical="top"/>
      <protection hidden="1"/>
    </xf>
    <xf numFmtId="0" fontId="7" fillId="2" borderId="9" xfId="7" applyFont="1" applyFill="1" applyBorder="1" applyAlignment="1" applyProtection="1">
      <alignment horizontal="center" vertical="top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13" fillId="2" borderId="10" xfId="7" applyFont="1" applyFill="1" applyBorder="1" applyAlignment="1" applyProtection="1">
      <alignment horizontal="center" vertical="center" wrapText="1"/>
      <protection hidden="1"/>
    </xf>
    <xf numFmtId="0" fontId="13" fillId="2" borderId="15" xfId="7" applyFont="1" applyFill="1" applyBorder="1" applyAlignment="1" applyProtection="1">
      <alignment horizontal="center" vertical="center" wrapText="1"/>
      <protection hidden="1"/>
    </xf>
    <xf numFmtId="0" fontId="13" fillId="2" borderId="13" xfId="7" applyFont="1" applyFill="1" applyBorder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4" fillId="2" borderId="16" xfId="7" applyFont="1" applyFill="1" applyBorder="1" applyAlignment="1" applyProtection="1">
      <alignment horizontal="center" vertical="top"/>
      <protection hidden="1"/>
    </xf>
    <xf numFmtId="0" fontId="14" fillId="2" borderId="0" xfId="7" applyFont="1" applyFill="1" applyAlignment="1" applyProtection="1">
      <alignment horizontal="center" vertical="top"/>
      <protection hidden="1"/>
    </xf>
    <xf numFmtId="43" fontId="39" fillId="8" borderId="2" xfId="0" applyNumberFormat="1" applyFont="1" applyFill="1" applyBorder="1" applyAlignment="1" applyProtection="1">
      <alignment horizontal="center" vertical="center" wrapText="1"/>
      <protection hidden="1"/>
    </xf>
    <xf numFmtId="43" fontId="39" fillId="8" borderId="0" xfId="0" applyNumberFormat="1" applyFont="1" applyFill="1" applyAlignment="1" applyProtection="1">
      <alignment horizontal="center" vertical="center" wrapText="1"/>
      <protection hidden="1"/>
    </xf>
    <xf numFmtId="43" fontId="39" fillId="8" borderId="36" xfId="0" applyNumberFormat="1" applyFont="1" applyFill="1" applyBorder="1" applyAlignment="1" applyProtection="1">
      <alignment horizontal="center" vertical="center" wrapText="1"/>
      <protection hidden="1"/>
    </xf>
    <xf numFmtId="43" fontId="42" fillId="8" borderId="22" xfId="0" applyNumberFormat="1" applyFont="1" applyFill="1" applyBorder="1" applyAlignment="1" applyProtection="1">
      <alignment horizontal="center" vertical="top" wrapText="1"/>
      <protection hidden="1"/>
    </xf>
    <xf numFmtId="43" fontId="42" fillId="8" borderId="29" xfId="0" applyNumberFormat="1" applyFont="1" applyFill="1" applyBorder="1" applyAlignment="1" applyProtection="1">
      <alignment horizontal="center" vertical="top" wrapText="1"/>
      <protection hidden="1"/>
    </xf>
    <xf numFmtId="43" fontId="42" fillId="8" borderId="35" xfId="0" applyNumberFormat="1" applyFont="1" applyFill="1" applyBorder="1" applyAlignment="1" applyProtection="1">
      <alignment horizontal="center" vertical="top" wrapText="1"/>
      <protection hidden="1"/>
    </xf>
    <xf numFmtId="43" fontId="42" fillId="8" borderId="20" xfId="0" applyNumberFormat="1" applyFont="1" applyFill="1" applyBorder="1" applyAlignment="1" applyProtection="1">
      <alignment horizontal="center" vertical="top" wrapText="1"/>
      <protection hidden="1"/>
    </xf>
    <xf numFmtId="43" fontId="42" fillId="8" borderId="3" xfId="0" applyNumberFormat="1" applyFont="1" applyFill="1" applyBorder="1" applyAlignment="1" applyProtection="1">
      <alignment horizontal="center" vertical="top" wrapText="1"/>
      <protection hidden="1"/>
    </xf>
    <xf numFmtId="43" fontId="42" fillId="8" borderId="21" xfId="0" applyNumberFormat="1" applyFont="1" applyFill="1" applyBorder="1" applyAlignment="1" applyProtection="1">
      <alignment horizontal="center" vertical="top" wrapText="1"/>
      <protection hidden="1"/>
    </xf>
    <xf numFmtId="43" fontId="39" fillId="0" borderId="0" xfId="0" applyNumberFormat="1" applyFont="1" applyAlignment="1" applyProtection="1">
      <alignment horizontal="center" vertical="center" wrapText="1"/>
      <protection hidden="1"/>
    </xf>
    <xf numFmtId="43" fontId="39" fillId="5" borderId="3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0" xfId="4" applyNumberFormat="1" applyFont="1" applyFill="1" applyAlignment="1" applyProtection="1">
      <alignment horizontal="right"/>
      <protection hidden="1"/>
    </xf>
    <xf numFmtId="9" fontId="7" fillId="2" borderId="0" xfId="3" applyFont="1" applyFill="1" applyAlignment="1" applyProtection="1">
      <alignment horizontal="right"/>
      <protection hidden="1"/>
    </xf>
    <xf numFmtId="9" fontId="7" fillId="2" borderId="0" xfId="5" applyNumberFormat="1" applyFont="1" applyFill="1" applyAlignment="1" applyProtection="1">
      <alignment horizontal="right"/>
      <protection hidden="1"/>
    </xf>
    <xf numFmtId="44" fontId="7" fillId="2" borderId="0" xfId="2" applyFont="1" applyFill="1" applyAlignment="1" applyProtection="1">
      <alignment horizontal="right"/>
      <protection hidden="1"/>
    </xf>
    <xf numFmtId="0" fontId="14" fillId="2" borderId="0" xfId="5" applyFont="1" applyFill="1" applyProtection="1">
      <protection hidden="1"/>
    </xf>
  </cellXfs>
  <cellStyles count="12">
    <cellStyle name="Comma" xfId="1" builtinId="3"/>
    <cellStyle name="Currency" xfId="2" builtinId="4"/>
    <cellStyle name="Hyperlink" xfId="10" builtinId="8"/>
    <cellStyle name="Normal" xfId="0" builtinId="0"/>
    <cellStyle name="Normal 10" xfId="6" xr:uid="{162BE148-B9D8-45F2-BD6F-16A6A1DA7E99}"/>
    <cellStyle name="Normal 3" xfId="4" xr:uid="{B5EC20DC-EAFC-4D05-BAA6-859BA5A4520E}"/>
    <cellStyle name="Normal 3 2 3" xfId="5" xr:uid="{0E321E3E-D8C1-4635-B34A-73E05549B43C}"/>
    <cellStyle name="Normal 3 5" xfId="9" xr:uid="{D8DD388C-38D2-4EEC-9560-0371384B006A}"/>
    <cellStyle name="Normal 8 2" xfId="7" xr:uid="{E6EE19AC-96CF-4816-82A5-916FC9D3B4E3}"/>
    <cellStyle name="Percent" xfId="3" builtinId="5"/>
    <cellStyle name="Percent 2 2 2" xfId="11" xr:uid="{DB1EE453-1976-475E-9170-8BB10CC0F56D}"/>
    <cellStyle name="Percent 4 2" xfId="8" xr:uid="{D32CAAE6-193C-4446-B679-D729DD0E9D5A}"/>
  </cellStyles>
  <dxfs count="261"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dkielar/Local%20Settings/Temporary%20Internet%20Files/OLK21/Accrued_Inter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interest Bond"/>
      <sheetName val="Sheet1"/>
      <sheetName val="Bond Amortization1"/>
      <sheetName val="Bond Amortization1 (2)"/>
      <sheetName val="Bond Amortization1 (3)"/>
      <sheetName val="Bond Discount"/>
      <sheetName val="Balance Sheet"/>
      <sheetName val="Bond Closing Costs Amortization"/>
      <sheetName val="Grants"/>
      <sheetName val="AR Grants"/>
      <sheetName val="AR School Districts"/>
      <sheetName val="All"/>
      <sheetName val="Facility"/>
      <sheetName val="Technology"/>
      <sheetName val="Curriculum"/>
      <sheetName val="Salary Accts &amp; Unions"/>
      <sheetName val="Validation Tab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://leg.wa.gov/osa/pensionfunding/Pages/Contribution-Rat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7A5D8-5338-4CE5-8796-C441D9CB1D9D}">
  <sheetPr codeName="Sheet72">
    <tabColor theme="5" tint="-0.499984740745262"/>
  </sheetPr>
  <dimension ref="B2:T98"/>
  <sheetViews>
    <sheetView zoomScale="70" zoomScaleNormal="70" zoomScaleSheetLayoutView="75" workbookViewId="0">
      <pane xSplit="1" ySplit="12" topLeftCell="B13" activePane="bottomRight" state="frozen"/>
      <selection activeCell="K95" sqref="K95"/>
      <selection pane="topRight" activeCell="K95" sqref="K95"/>
      <selection pane="bottomLeft" activeCell="K95" sqref="K95"/>
      <selection pane="bottomRight" activeCell="D20" sqref="D20"/>
    </sheetView>
  </sheetViews>
  <sheetFormatPr defaultColWidth="9.140625" defaultRowHeight="15" customHeight="1" x14ac:dyDescent="0.25"/>
  <cols>
    <col min="1" max="1" width="2.7109375" style="1" customWidth="1"/>
    <col min="2" max="2" width="58.42578125" style="1" customWidth="1"/>
    <col min="3" max="3" width="2.7109375" style="2" customWidth="1"/>
    <col min="4" max="4" width="23.140625" style="2" customWidth="1"/>
    <col min="5" max="5" width="2.7109375" style="2" customWidth="1"/>
    <col min="6" max="6" width="98.140625" style="3" bestFit="1" customWidth="1"/>
    <col min="7" max="9" width="9.5703125" style="4" customWidth="1"/>
    <col min="10" max="19" width="9.140625" style="4" customWidth="1"/>
    <col min="20" max="20" width="9.85546875" style="4" bestFit="1" customWidth="1"/>
    <col min="21" max="22" width="9.85546875" style="1" bestFit="1" customWidth="1"/>
    <col min="23" max="24" width="11.5703125" style="1" bestFit="1" customWidth="1"/>
    <col min="25" max="16384" width="9.140625" style="1"/>
  </cols>
  <sheetData>
    <row r="2" spans="2:6" ht="15" hidden="1" customHeight="1" x14ac:dyDescent="0.25"/>
    <row r="3" spans="2:6" s="4" customFormat="1" ht="15" hidden="1" customHeight="1" x14ac:dyDescent="0.25">
      <c r="B3" s="1"/>
      <c r="C3" s="2"/>
      <c r="D3" s="2"/>
      <c r="E3" s="2"/>
      <c r="F3" s="3"/>
    </row>
    <row r="4" spans="2:6" s="4" customFormat="1" ht="50.25" customHeight="1" x14ac:dyDescent="0.25">
      <c r="B4" s="349" t="s">
        <v>0</v>
      </c>
      <c r="C4" s="349"/>
      <c r="D4" s="349"/>
      <c r="E4" s="349"/>
      <c r="F4" s="349"/>
    </row>
    <row r="5" spans="2:6" s="4" customFormat="1" ht="15" customHeight="1" x14ac:dyDescent="0.25">
      <c r="B5" s="5"/>
      <c r="C5" s="2"/>
      <c r="E5" s="6"/>
      <c r="F5" s="3"/>
    </row>
    <row r="6" spans="2:6" s="4" customFormat="1" ht="31.5" x14ac:dyDescent="0.25">
      <c r="B6" s="308" t="s">
        <v>1</v>
      </c>
      <c r="C6" s="8"/>
      <c r="D6" s="309" t="s">
        <v>2</v>
      </c>
      <c r="E6" s="6"/>
      <c r="F6" s="9" t="s">
        <v>3</v>
      </c>
    </row>
    <row r="7" spans="2:6" s="4" customFormat="1" ht="15" customHeight="1" x14ac:dyDescent="0.25">
      <c r="B7" s="11" t="s">
        <v>4</v>
      </c>
      <c r="C7" s="2"/>
      <c r="D7" s="310">
        <f>+D31</f>
        <v>745203.4</v>
      </c>
      <c r="E7" s="6"/>
      <c r="F7" s="12"/>
    </row>
    <row r="8" spans="2:6" s="4" customFormat="1" ht="15" customHeight="1" x14ac:dyDescent="0.25">
      <c r="B8" s="11" t="s">
        <v>5</v>
      </c>
      <c r="C8" s="2"/>
      <c r="D8" s="311">
        <f>D88</f>
        <v>713445.61662052642</v>
      </c>
      <c r="E8" s="6"/>
      <c r="F8" s="12"/>
    </row>
    <row r="9" spans="2:6" s="4" customFormat="1" ht="15" customHeight="1" x14ac:dyDescent="0.25">
      <c r="B9" s="11" t="s">
        <v>6</v>
      </c>
      <c r="C9" s="2"/>
      <c r="D9" s="311">
        <f>D7-D8</f>
        <v>31757.783379473607</v>
      </c>
      <c r="E9" s="6"/>
      <c r="F9" s="12"/>
    </row>
    <row r="10" spans="2:6" s="4" customFormat="1" ht="15" customHeight="1" x14ac:dyDescent="0.25">
      <c r="B10" s="15"/>
      <c r="C10" s="2"/>
      <c r="D10" s="2"/>
      <c r="E10" s="6"/>
      <c r="F10" s="3"/>
    </row>
    <row r="11" spans="2:6" s="4" customFormat="1" ht="15" customHeight="1" x14ac:dyDescent="0.25">
      <c r="B11" s="15"/>
      <c r="C11" s="2"/>
      <c r="D11" s="350" t="s">
        <v>9</v>
      </c>
      <c r="E11" s="6"/>
      <c r="F11" s="3"/>
    </row>
    <row r="12" spans="2:6" s="4" customFormat="1" ht="15" customHeight="1" x14ac:dyDescent="0.25">
      <c r="B12" s="15"/>
      <c r="C12" s="2"/>
      <c r="D12" s="351"/>
      <c r="E12" s="6"/>
      <c r="F12" s="3"/>
    </row>
    <row r="13" spans="2:6" s="4" customFormat="1" ht="15" customHeight="1" x14ac:dyDescent="0.25">
      <c r="B13" s="14"/>
      <c r="C13" s="1"/>
      <c r="D13" s="1"/>
      <c r="E13" s="1"/>
      <c r="F13" s="16"/>
    </row>
    <row r="14" spans="2:6" s="4" customFormat="1" ht="15.75" x14ac:dyDescent="0.25">
      <c r="B14" s="346" t="s">
        <v>10</v>
      </c>
      <c r="C14" s="2"/>
      <c r="D14" s="18"/>
      <c r="E14" s="18"/>
      <c r="F14" s="19"/>
    </row>
    <row r="15" spans="2:6" s="4" customFormat="1" x14ac:dyDescent="0.25">
      <c r="B15" s="21" t="s">
        <v>11</v>
      </c>
      <c r="C15" s="1"/>
      <c r="D15" s="18"/>
      <c r="E15" s="18"/>
      <c r="F15" s="19"/>
    </row>
    <row r="16" spans="2:6" s="4" customFormat="1" x14ac:dyDescent="0.25">
      <c r="B16" s="23" t="s">
        <v>13</v>
      </c>
      <c r="C16" s="2"/>
      <c r="D16" s="347">
        <v>25000</v>
      </c>
      <c r="E16" s="25"/>
      <c r="F16" s="26" t="s">
        <v>14</v>
      </c>
    </row>
    <row r="17" spans="2:6" s="4" customFormat="1" ht="15.75" thickBot="1" x14ac:dyDescent="0.3">
      <c r="B17" s="21" t="s">
        <v>16</v>
      </c>
      <c r="C17" s="2"/>
      <c r="D17" s="27">
        <f>SUM(D16:D16)</f>
        <v>25000</v>
      </c>
      <c r="E17" s="25"/>
      <c r="F17" s="26"/>
    </row>
    <row r="18" spans="2:6" s="4" customFormat="1" ht="15.75" thickTop="1" x14ac:dyDescent="0.25">
      <c r="B18" s="21"/>
      <c r="C18" s="2"/>
      <c r="D18" s="28"/>
      <c r="E18" s="25"/>
      <c r="F18" s="26"/>
    </row>
    <row r="19" spans="2:6" s="4" customFormat="1" x14ac:dyDescent="0.25">
      <c r="B19" s="21" t="s">
        <v>17</v>
      </c>
      <c r="C19" s="2"/>
      <c r="D19" s="18"/>
      <c r="E19" s="25"/>
      <c r="F19" s="26"/>
    </row>
    <row r="20" spans="2:6" s="4" customFormat="1" x14ac:dyDescent="0.25">
      <c r="B20" s="23" t="s">
        <v>19</v>
      </c>
      <c r="C20" s="2"/>
      <c r="D20" s="24">
        <v>475203.4</v>
      </c>
      <c r="E20" s="25"/>
      <c r="F20" s="26" t="s">
        <v>20</v>
      </c>
    </row>
    <row r="21" spans="2:6" s="4" customFormat="1" ht="15.75" thickBot="1" x14ac:dyDescent="0.3">
      <c r="B21" s="21" t="s">
        <v>21</v>
      </c>
      <c r="C21" s="2"/>
      <c r="D21" s="27">
        <f>D20</f>
        <v>475203.4</v>
      </c>
      <c r="E21" s="25"/>
      <c r="F21" s="26"/>
    </row>
    <row r="22" spans="2:6" s="4" customFormat="1" ht="15.75" thickTop="1" x14ac:dyDescent="0.25">
      <c r="B22" s="23"/>
      <c r="C22" s="2"/>
      <c r="E22" s="25"/>
      <c r="F22" s="26"/>
    </row>
    <row r="23" spans="2:6" s="4" customFormat="1" x14ac:dyDescent="0.25">
      <c r="B23" s="21" t="s">
        <v>22</v>
      </c>
      <c r="C23" s="2"/>
      <c r="D23" s="18"/>
      <c r="E23" s="25"/>
      <c r="F23" s="26"/>
    </row>
    <row r="24" spans="2:6" s="4" customFormat="1" x14ac:dyDescent="0.25">
      <c r="B24" s="23" t="s">
        <v>24</v>
      </c>
      <c r="C24" s="2"/>
      <c r="D24" s="24">
        <f>230000+15000</f>
        <v>245000</v>
      </c>
      <c r="E24" s="25"/>
      <c r="F24" s="29" t="s">
        <v>25</v>
      </c>
    </row>
    <row r="25" spans="2:6" s="4" customFormat="1" x14ac:dyDescent="0.25">
      <c r="B25" s="21" t="s">
        <v>26</v>
      </c>
      <c r="C25" s="2"/>
      <c r="D25" s="30">
        <f>D24</f>
        <v>245000</v>
      </c>
      <c r="E25" s="25"/>
      <c r="F25" s="26"/>
    </row>
    <row r="26" spans="2:6" s="4" customFormat="1" x14ac:dyDescent="0.25">
      <c r="B26" s="23"/>
      <c r="C26" s="2"/>
      <c r="E26" s="25"/>
      <c r="F26" s="26"/>
    </row>
    <row r="27" spans="2:6" s="4" customFormat="1" x14ac:dyDescent="0.25">
      <c r="B27" s="21" t="s">
        <v>27</v>
      </c>
      <c r="C27" s="2"/>
      <c r="D27" s="18"/>
      <c r="E27" s="25"/>
      <c r="F27" s="26"/>
    </row>
    <row r="28" spans="2:6" s="4" customFormat="1" x14ac:dyDescent="0.25">
      <c r="B28" s="23" t="s">
        <v>28</v>
      </c>
      <c r="C28" s="2"/>
      <c r="D28" s="24">
        <v>0</v>
      </c>
      <c r="E28" s="31"/>
      <c r="F28" s="26"/>
    </row>
    <row r="29" spans="2:6" s="4" customFormat="1" x14ac:dyDescent="0.25">
      <c r="B29" s="21" t="s">
        <v>29</v>
      </c>
      <c r="C29" s="2"/>
      <c r="D29" s="30">
        <f>+D28</f>
        <v>0</v>
      </c>
      <c r="E29" s="32"/>
      <c r="F29" s="33"/>
    </row>
    <row r="30" spans="2:6" s="4" customFormat="1" x14ac:dyDescent="0.25">
      <c r="B30" s="21"/>
      <c r="C30" s="2"/>
      <c r="D30" s="18"/>
      <c r="E30" s="19"/>
      <c r="F30" s="26"/>
    </row>
    <row r="31" spans="2:6" s="4" customFormat="1" x14ac:dyDescent="0.25">
      <c r="B31" s="34" t="s">
        <v>30</v>
      </c>
      <c r="C31" s="2"/>
      <c r="D31" s="30">
        <f>+D29+D25+D21+D17</f>
        <v>745203.4</v>
      </c>
      <c r="E31" s="25"/>
      <c r="F31" s="26"/>
    </row>
    <row r="32" spans="2:6" s="4" customFormat="1" ht="15" customHeight="1" x14ac:dyDescent="0.25">
      <c r="B32" s="35"/>
      <c r="C32" s="2"/>
      <c r="D32" s="19"/>
      <c r="E32" s="19"/>
      <c r="F32" s="26"/>
    </row>
    <row r="33" spans="2:6" s="4" customFormat="1" ht="15" customHeight="1" x14ac:dyDescent="0.25">
      <c r="B33" s="36" t="s">
        <v>32</v>
      </c>
      <c r="C33" s="2"/>
      <c r="D33" s="19"/>
      <c r="E33" s="19"/>
      <c r="F33" s="26"/>
    </row>
    <row r="34" spans="2:6" s="4" customFormat="1" ht="15" customHeight="1" x14ac:dyDescent="0.25">
      <c r="B34" s="21" t="s">
        <v>33</v>
      </c>
      <c r="C34" s="2"/>
      <c r="D34" s="19"/>
      <c r="E34" s="19"/>
      <c r="F34" s="26"/>
    </row>
    <row r="35" spans="2:6" s="4" customFormat="1" ht="15" customHeight="1" x14ac:dyDescent="0.25">
      <c r="B35" s="37" t="s">
        <v>34</v>
      </c>
      <c r="C35" s="2"/>
      <c r="D35" s="348">
        <f>80000/12*13</f>
        <v>86666.666666666672</v>
      </c>
      <c r="E35" s="6"/>
      <c r="F35" s="29" t="s">
        <v>35</v>
      </c>
    </row>
    <row r="36" spans="2:6" s="4" customFormat="1" ht="15" customHeight="1" x14ac:dyDescent="0.25">
      <c r="B36" s="37" t="s">
        <v>36</v>
      </c>
      <c r="C36" s="2"/>
      <c r="D36" s="348">
        <f>80000/12*9+4000</f>
        <v>64000</v>
      </c>
      <c r="E36" s="6"/>
      <c r="F36" s="29" t="s">
        <v>37</v>
      </c>
    </row>
    <row r="37" spans="2:6" s="4" customFormat="1" ht="15" customHeight="1" x14ac:dyDescent="0.25">
      <c r="B37" s="37" t="s">
        <v>41</v>
      </c>
      <c r="C37" s="2"/>
      <c r="D37" s="347">
        <v>20000</v>
      </c>
      <c r="E37" s="6"/>
      <c r="F37" s="26" t="s">
        <v>380</v>
      </c>
    </row>
    <row r="38" spans="2:6" s="4" customFormat="1" ht="15" customHeight="1" x14ac:dyDescent="0.25">
      <c r="B38" s="37" t="s">
        <v>42</v>
      </c>
      <c r="C38" s="2"/>
      <c r="D38" s="347">
        <v>9170</v>
      </c>
      <c r="E38" s="6"/>
      <c r="F38" s="26" t="s">
        <v>381</v>
      </c>
    </row>
    <row r="39" spans="2:6" s="4" customFormat="1" ht="15" customHeight="1" x14ac:dyDescent="0.25">
      <c r="B39" s="37" t="s">
        <v>43</v>
      </c>
      <c r="C39" s="2"/>
      <c r="D39" s="347">
        <v>8448</v>
      </c>
      <c r="E39" s="6"/>
      <c r="F39" s="26" t="s">
        <v>382</v>
      </c>
    </row>
    <row r="40" spans="2:6" s="4" customFormat="1" ht="15" customHeight="1" thickBot="1" x14ac:dyDescent="0.3">
      <c r="B40" s="21" t="s">
        <v>44</v>
      </c>
      <c r="C40" s="2"/>
      <c r="D40" s="39">
        <f>SUM(D35:D39)</f>
        <v>188284.66666666669</v>
      </c>
      <c r="E40" s="31"/>
      <c r="F40" s="26"/>
    </row>
    <row r="41" spans="2:6" s="4" customFormat="1" ht="15.75" thickTop="1" x14ac:dyDescent="0.25">
      <c r="B41" s="21"/>
      <c r="C41" s="2"/>
      <c r="D41" s="32"/>
      <c r="E41" s="32"/>
      <c r="F41" s="33"/>
    </row>
    <row r="42" spans="2:6" s="4" customFormat="1" ht="15" customHeight="1" x14ac:dyDescent="0.25">
      <c r="B42" s="21" t="s">
        <v>45</v>
      </c>
      <c r="C42" s="2"/>
      <c r="D42" s="6"/>
      <c r="E42" s="6"/>
      <c r="F42" s="26"/>
    </row>
    <row r="43" spans="2:6" s="4" customFormat="1" ht="15" customHeight="1" x14ac:dyDescent="0.25">
      <c r="B43" s="37" t="s">
        <v>46</v>
      </c>
      <c r="C43" s="2"/>
      <c r="D43" s="347">
        <v>42175.438596491222</v>
      </c>
      <c r="E43" s="6"/>
      <c r="F43" s="26" t="s">
        <v>47</v>
      </c>
    </row>
    <row r="44" spans="2:6" s="4" customFormat="1" ht="15" customHeight="1" thickBot="1" x14ac:dyDescent="0.3">
      <c r="B44" s="21" t="s">
        <v>54</v>
      </c>
      <c r="C44" s="2"/>
      <c r="D44" s="39">
        <f>SUM(D43:D43)</f>
        <v>42175.438596491222</v>
      </c>
      <c r="E44" s="31"/>
      <c r="F44" s="26"/>
    </row>
    <row r="45" spans="2:6" s="4" customFormat="1" ht="15.75" thickTop="1" x14ac:dyDescent="0.25">
      <c r="C45" s="2"/>
      <c r="D45" s="32"/>
      <c r="E45" s="32"/>
      <c r="F45" s="33"/>
    </row>
    <row r="46" spans="2:6" s="4" customFormat="1" ht="15" customHeight="1" x14ac:dyDescent="0.25">
      <c r="B46" s="21" t="s">
        <v>55</v>
      </c>
      <c r="C46" s="2"/>
      <c r="D46" s="6"/>
      <c r="E46" s="6"/>
      <c r="F46" s="26"/>
    </row>
    <row r="47" spans="2:6" s="4" customFormat="1" ht="15" customHeight="1" x14ac:dyDescent="0.25">
      <c r="B47" s="23" t="s">
        <v>384</v>
      </c>
      <c r="C47" s="2"/>
      <c r="D47" s="24">
        <v>34569.015789473684</v>
      </c>
      <c r="E47" s="6"/>
      <c r="F47" s="26" t="s">
        <v>385</v>
      </c>
    </row>
    <row r="48" spans="2:6" s="4" customFormat="1" ht="15" customHeight="1" thickBot="1" x14ac:dyDescent="0.3">
      <c r="B48" s="21" t="s">
        <v>61</v>
      </c>
      <c r="C48" s="2"/>
      <c r="D48" s="39">
        <f>SUM(D47:D47)</f>
        <v>34569.015789473684</v>
      </c>
      <c r="E48" s="31"/>
      <c r="F48" s="26"/>
    </row>
    <row r="49" spans="2:6" s="4" customFormat="1" ht="6" customHeight="1" thickTop="1" x14ac:dyDescent="0.25">
      <c r="C49" s="2"/>
      <c r="D49" s="31"/>
      <c r="E49" s="31"/>
      <c r="F49" s="33"/>
    </row>
    <row r="50" spans="2:6" s="4" customFormat="1" ht="15" customHeight="1" thickBot="1" x14ac:dyDescent="0.3">
      <c r="B50" s="21" t="s">
        <v>62</v>
      </c>
      <c r="C50" s="2"/>
      <c r="D50" s="40">
        <f>D40+D44+D48</f>
        <v>265029.12105263158</v>
      </c>
      <c r="E50" s="31"/>
      <c r="F50" s="26"/>
    </row>
    <row r="51" spans="2:6" s="4" customFormat="1" ht="6" customHeight="1" thickTop="1" x14ac:dyDescent="0.25">
      <c r="C51" s="2"/>
      <c r="D51" s="32"/>
      <c r="E51" s="32"/>
      <c r="F51" s="33"/>
    </row>
    <row r="52" spans="2:6" s="4" customFormat="1" ht="15" customHeight="1" x14ac:dyDescent="0.25">
      <c r="B52" s="21" t="s">
        <v>63</v>
      </c>
      <c r="C52" s="2"/>
      <c r="D52" s="6"/>
      <c r="E52" s="6"/>
      <c r="F52" s="26"/>
    </row>
    <row r="53" spans="2:6" s="4" customFormat="1" ht="15" customHeight="1" x14ac:dyDescent="0.25">
      <c r="B53" s="23" t="s">
        <v>64</v>
      </c>
      <c r="C53" s="2"/>
      <c r="D53" s="24">
        <f>+$D$50*0.062</f>
        <v>16431.805505263157</v>
      </c>
      <c r="E53" s="6"/>
      <c r="F53" s="26"/>
    </row>
    <row r="54" spans="2:6" s="4" customFormat="1" ht="15" customHeight="1" x14ac:dyDescent="0.25">
      <c r="B54" s="23" t="s">
        <v>65</v>
      </c>
      <c r="C54" s="2"/>
      <c r="D54" s="24">
        <f>+$D$50*0.0145</f>
        <v>3842.9222552631581</v>
      </c>
      <c r="E54" s="6"/>
      <c r="F54" s="26"/>
    </row>
    <row r="55" spans="2:6" s="4" customFormat="1" ht="15" customHeight="1" x14ac:dyDescent="0.25">
      <c r="B55" s="23" t="s">
        <v>66</v>
      </c>
      <c r="C55" s="2"/>
      <c r="D55" s="24">
        <f>+$D$50*0.0138</f>
        <v>3657.4018705263156</v>
      </c>
      <c r="E55" s="6"/>
      <c r="F55" s="26"/>
    </row>
    <row r="56" spans="2:6" s="4" customFormat="1" ht="15" customHeight="1" x14ac:dyDescent="0.25">
      <c r="B56" s="23" t="s">
        <v>67</v>
      </c>
      <c r="C56" s="2"/>
      <c r="D56" s="24">
        <f>+$D$50*0.01</f>
        <v>2650.2912105263158</v>
      </c>
      <c r="E56" s="6"/>
      <c r="F56" s="26"/>
    </row>
    <row r="57" spans="2:6" s="4" customFormat="1" ht="15" customHeight="1" x14ac:dyDescent="0.25">
      <c r="B57" s="23" t="s">
        <v>68</v>
      </c>
      <c r="C57" s="2"/>
      <c r="D57" s="24">
        <f>+$D$50*0.006</f>
        <v>1590.1747263157895</v>
      </c>
      <c r="E57" s="6"/>
      <c r="F57" s="26"/>
    </row>
    <row r="58" spans="2:6" s="4" customFormat="1" ht="15" customHeight="1" thickBot="1" x14ac:dyDescent="0.3">
      <c r="B58" s="21" t="s">
        <v>72</v>
      </c>
      <c r="C58" s="2"/>
      <c r="D58" s="39">
        <f>SUM(D53:D57)</f>
        <v>28172.595567894736</v>
      </c>
      <c r="E58" s="31"/>
      <c r="F58" s="41"/>
    </row>
    <row r="59" spans="2:6" s="4" customFormat="1" ht="15" customHeight="1" thickTop="1" x14ac:dyDescent="0.25">
      <c r="C59" s="2"/>
      <c r="D59" s="31"/>
      <c r="E59" s="31"/>
      <c r="F59" s="33"/>
    </row>
    <row r="60" spans="2:6" s="4" customFormat="1" ht="15" customHeight="1" thickBot="1" x14ac:dyDescent="0.3">
      <c r="B60" s="21" t="s">
        <v>73</v>
      </c>
      <c r="C60" s="2"/>
      <c r="D60" s="40">
        <f>D50+D58</f>
        <v>293201.71662052633</v>
      </c>
      <c r="E60" s="31"/>
      <c r="F60" s="26"/>
    </row>
    <row r="61" spans="2:6" s="4" customFormat="1" ht="15" customHeight="1" thickTop="1" x14ac:dyDescent="0.25">
      <c r="B61" s="21"/>
      <c r="C61" s="2"/>
      <c r="D61" s="31"/>
      <c r="E61" s="31"/>
      <c r="F61" s="26"/>
    </row>
    <row r="62" spans="2:6" s="4" customFormat="1" x14ac:dyDescent="0.25">
      <c r="B62" s="21" t="s">
        <v>74</v>
      </c>
      <c r="C62" s="2"/>
      <c r="D62" s="6"/>
      <c r="E62" s="6"/>
      <c r="F62" s="26"/>
    </row>
    <row r="63" spans="2:6" s="4" customFormat="1" x14ac:dyDescent="0.25">
      <c r="B63" s="23" t="s">
        <v>76</v>
      </c>
      <c r="C63" s="2"/>
      <c r="D63" s="24">
        <v>3000</v>
      </c>
      <c r="E63" s="25"/>
      <c r="F63" s="26"/>
    </row>
    <row r="64" spans="2:6" s="4" customFormat="1" x14ac:dyDescent="0.25">
      <c r="B64" s="23" t="s">
        <v>78</v>
      </c>
      <c r="C64" s="2"/>
      <c r="D64" s="24">
        <f>2500*13</f>
        <v>32500</v>
      </c>
      <c r="E64" s="25"/>
      <c r="F64" s="26" t="s">
        <v>79</v>
      </c>
    </row>
    <row r="65" spans="2:6" s="4" customFormat="1" ht="45" x14ac:dyDescent="0.25">
      <c r="B65" s="23" t="s">
        <v>81</v>
      </c>
      <c r="C65" s="42"/>
      <c r="D65" s="24">
        <f>30000+1500</f>
        <v>31500</v>
      </c>
      <c r="E65" s="25"/>
      <c r="F65" s="43" t="s">
        <v>82</v>
      </c>
    </row>
    <row r="66" spans="2:6" s="4" customFormat="1" x14ac:dyDescent="0.25">
      <c r="B66" s="23" t="s">
        <v>83</v>
      </c>
      <c r="C66" s="42"/>
      <c r="D66" s="24">
        <v>12950</v>
      </c>
      <c r="E66" s="25"/>
      <c r="F66" s="26" t="s">
        <v>84</v>
      </c>
    </row>
    <row r="67" spans="2:6" s="4" customFormat="1" ht="15.75" thickBot="1" x14ac:dyDescent="0.3">
      <c r="B67" s="21" t="s">
        <v>85</v>
      </c>
      <c r="C67" s="42"/>
      <c r="D67" s="39">
        <f>SUM(D63:D66)</f>
        <v>79950</v>
      </c>
      <c r="E67" s="31"/>
      <c r="F67" s="26"/>
    </row>
    <row r="68" spans="2:6" s="4" customFormat="1" ht="15.75" thickTop="1" x14ac:dyDescent="0.25">
      <c r="B68" s="21"/>
      <c r="C68" s="42"/>
      <c r="D68" s="31"/>
      <c r="E68" s="31"/>
      <c r="F68" s="33"/>
    </row>
    <row r="69" spans="2:6" s="4" customFormat="1" x14ac:dyDescent="0.25">
      <c r="B69" s="21" t="s">
        <v>86</v>
      </c>
      <c r="C69" s="42"/>
      <c r="D69" s="6"/>
      <c r="E69" s="6"/>
      <c r="F69" s="26"/>
    </row>
    <row r="70" spans="2:6" s="4" customFormat="1" x14ac:dyDescent="0.25">
      <c r="B70" s="23" t="s">
        <v>87</v>
      </c>
      <c r="C70" s="42"/>
      <c r="D70" s="24">
        <v>10000</v>
      </c>
      <c r="E70" s="25"/>
      <c r="F70" s="26" t="s">
        <v>88</v>
      </c>
    </row>
    <row r="71" spans="2:6" s="4" customFormat="1" x14ac:dyDescent="0.25">
      <c r="B71" s="23" t="s">
        <v>89</v>
      </c>
      <c r="C71" s="42"/>
      <c r="D71" s="24">
        <v>100000</v>
      </c>
      <c r="E71" s="25"/>
      <c r="F71" s="26" t="s">
        <v>387</v>
      </c>
    </row>
    <row r="72" spans="2:6" s="4" customFormat="1" x14ac:dyDescent="0.25">
      <c r="B72" s="23" t="s">
        <v>92</v>
      </c>
      <c r="C72" s="2"/>
      <c r="D72" s="24">
        <v>100000</v>
      </c>
      <c r="E72" s="25"/>
      <c r="F72" s="26" t="s">
        <v>386</v>
      </c>
    </row>
    <row r="73" spans="2:6" s="4" customFormat="1" x14ac:dyDescent="0.25">
      <c r="B73" s="23" t="s">
        <v>94</v>
      </c>
      <c r="C73" s="2"/>
      <c r="D73" s="24">
        <v>25760</v>
      </c>
      <c r="E73" s="25"/>
      <c r="F73" s="26" t="s">
        <v>388</v>
      </c>
    </row>
    <row r="74" spans="2:6" s="4" customFormat="1" x14ac:dyDescent="0.25">
      <c r="B74" s="23" t="s">
        <v>95</v>
      </c>
      <c r="C74" s="2"/>
      <c r="D74" s="24">
        <v>9818.4000000000015</v>
      </c>
      <c r="E74" s="25"/>
      <c r="F74" s="26" t="s">
        <v>96</v>
      </c>
    </row>
    <row r="75" spans="2:6" s="4" customFormat="1" x14ac:dyDescent="0.25">
      <c r="B75" s="23" t="s">
        <v>101</v>
      </c>
      <c r="C75" s="2"/>
      <c r="D75" s="24">
        <v>2000</v>
      </c>
      <c r="E75" s="25"/>
      <c r="F75" s="26" t="s">
        <v>102</v>
      </c>
    </row>
    <row r="76" spans="2:6" s="4" customFormat="1" x14ac:dyDescent="0.25">
      <c r="B76" s="23" t="s">
        <v>104</v>
      </c>
      <c r="C76" s="2"/>
      <c r="D76" s="24">
        <v>2500</v>
      </c>
      <c r="E76" s="25"/>
      <c r="F76" s="26" t="s">
        <v>105</v>
      </c>
    </row>
    <row r="77" spans="2:6" s="4" customFormat="1" ht="30" x14ac:dyDescent="0.25">
      <c r="B77" s="23" t="s">
        <v>106</v>
      </c>
      <c r="C77" s="2"/>
      <c r="D77" s="24">
        <v>6000</v>
      </c>
      <c r="E77" s="25"/>
      <c r="F77" s="26" t="s">
        <v>107</v>
      </c>
    </row>
    <row r="78" spans="2:6" s="45" customFormat="1" x14ac:dyDescent="0.25">
      <c r="B78" s="23" t="s">
        <v>110</v>
      </c>
      <c r="C78" s="2"/>
      <c r="D78" s="24">
        <f>D16*0.25-1500</f>
        <v>4750</v>
      </c>
      <c r="E78" s="25"/>
      <c r="F78" s="26" t="s">
        <v>111</v>
      </c>
    </row>
    <row r="79" spans="2:6" s="4" customFormat="1" x14ac:dyDescent="0.25">
      <c r="B79" s="23" t="s">
        <v>112</v>
      </c>
      <c r="C79" s="2"/>
      <c r="D79" s="24">
        <v>1500</v>
      </c>
      <c r="E79" s="25"/>
      <c r="F79" s="26" t="s">
        <v>113</v>
      </c>
    </row>
    <row r="80" spans="2:6" s="4" customFormat="1" ht="15.75" thickBot="1" x14ac:dyDescent="0.3">
      <c r="B80" s="21" t="s">
        <v>115</v>
      </c>
      <c r="C80" s="42"/>
      <c r="D80" s="39">
        <f>SUM(D70:D79)</f>
        <v>262328.40000000002</v>
      </c>
      <c r="E80" s="31"/>
      <c r="F80" s="26"/>
    </row>
    <row r="81" spans="2:20" s="4" customFormat="1" ht="15.75" thickTop="1" x14ac:dyDescent="0.25">
      <c r="B81" s="46"/>
      <c r="C81" s="42"/>
      <c r="D81" s="25"/>
      <c r="E81" s="25"/>
      <c r="F81" s="26"/>
    </row>
    <row r="82" spans="2:20" s="4" customFormat="1" x14ac:dyDescent="0.25">
      <c r="B82" s="21" t="s">
        <v>116</v>
      </c>
      <c r="C82" s="42"/>
      <c r="D82" s="6"/>
      <c r="E82" s="6"/>
      <c r="F82" s="26"/>
    </row>
    <row r="83" spans="2:20" s="4" customFormat="1" x14ac:dyDescent="0.25">
      <c r="B83" s="23" t="s">
        <v>117</v>
      </c>
      <c r="C83" s="42"/>
      <c r="D83" s="24">
        <v>8500</v>
      </c>
      <c r="E83" s="25"/>
      <c r="F83" s="26" t="s">
        <v>118</v>
      </c>
    </row>
    <row r="84" spans="2:20" s="4" customFormat="1" x14ac:dyDescent="0.25">
      <c r="B84" s="23" t="s">
        <v>120</v>
      </c>
      <c r="C84" s="2"/>
      <c r="D84" s="24">
        <v>55465.499999999993</v>
      </c>
      <c r="E84" s="25"/>
      <c r="F84" s="26" t="s">
        <v>121</v>
      </c>
    </row>
    <row r="85" spans="2:20" s="4" customFormat="1" x14ac:dyDescent="0.25">
      <c r="B85" s="23" t="s">
        <v>125</v>
      </c>
      <c r="C85" s="2"/>
      <c r="D85" s="24">
        <v>14000</v>
      </c>
      <c r="E85" s="25"/>
      <c r="F85" s="26" t="s">
        <v>383</v>
      </c>
    </row>
    <row r="86" spans="2:20" s="4" customFormat="1" ht="15.75" thickBot="1" x14ac:dyDescent="0.3">
      <c r="B86" s="21" t="s">
        <v>126</v>
      </c>
      <c r="C86" s="2"/>
      <c r="D86" s="39">
        <f>SUM(D83:D85)</f>
        <v>77965.5</v>
      </c>
      <c r="E86" s="31"/>
      <c r="F86" s="26"/>
    </row>
    <row r="87" spans="2:20" s="4" customFormat="1" ht="15.75" thickTop="1" x14ac:dyDescent="0.25">
      <c r="B87" s="21"/>
      <c r="C87" s="2"/>
      <c r="D87" s="31"/>
      <c r="E87" s="31"/>
      <c r="F87" s="33"/>
    </row>
    <row r="88" spans="2:20" s="4" customFormat="1" x14ac:dyDescent="0.25">
      <c r="B88" s="21" t="s">
        <v>5</v>
      </c>
      <c r="C88" s="2"/>
      <c r="D88" s="48">
        <f>SUM(D60+D67+D80+D86)</f>
        <v>713445.61662052642</v>
      </c>
      <c r="E88" s="31"/>
      <c r="F88" s="26"/>
    </row>
    <row r="89" spans="2:20" s="4" customFormat="1" ht="15.75" thickBot="1" x14ac:dyDescent="0.3">
      <c r="B89" s="21" t="s">
        <v>128</v>
      </c>
      <c r="C89" s="2"/>
      <c r="D89" s="39">
        <f>+D31-D88</f>
        <v>31757.783379473607</v>
      </c>
      <c r="E89" s="31"/>
      <c r="F89" s="26"/>
    </row>
    <row r="90" spans="2:20" s="44" customFormat="1" ht="15" customHeight="1" thickTop="1" x14ac:dyDescent="0.25">
      <c r="C90" s="49"/>
      <c r="D90" s="49"/>
      <c r="E90" s="49"/>
      <c r="F90" s="50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</row>
    <row r="91" spans="2:20" s="44" customFormat="1" ht="15" customHeight="1" x14ac:dyDescent="0.25">
      <c r="C91" s="49"/>
      <c r="D91" s="49"/>
      <c r="E91" s="49"/>
      <c r="F91" s="50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</row>
    <row r="92" spans="2:20" s="44" customFormat="1" ht="15" customHeight="1" x14ac:dyDescent="0.25">
      <c r="C92" s="49"/>
      <c r="D92" s="49"/>
      <c r="E92" s="49"/>
      <c r="F92" s="50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</row>
    <row r="93" spans="2:20" s="44" customFormat="1" ht="15" customHeight="1" x14ac:dyDescent="0.25">
      <c r="C93" s="49"/>
      <c r="D93" s="49"/>
      <c r="E93" s="49"/>
      <c r="F93" s="50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</row>
    <row r="94" spans="2:20" s="44" customFormat="1" ht="15" customHeight="1" x14ac:dyDescent="0.25">
      <c r="C94" s="49"/>
      <c r="D94" s="49"/>
      <c r="E94" s="49"/>
      <c r="F94" s="50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</row>
    <row r="95" spans="2:20" s="44" customFormat="1" ht="15" customHeight="1" x14ac:dyDescent="0.25">
      <c r="C95" s="49"/>
      <c r="D95" s="49"/>
      <c r="E95" s="49"/>
      <c r="F95" s="50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</row>
    <row r="96" spans="2:20" s="44" customFormat="1" ht="15" customHeight="1" x14ac:dyDescent="0.25">
      <c r="C96" s="49"/>
      <c r="D96" s="49"/>
      <c r="E96" s="49"/>
      <c r="F96" s="50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</row>
    <row r="97" spans="3:20" s="44" customFormat="1" ht="15" customHeight="1" x14ac:dyDescent="0.25">
      <c r="C97" s="49"/>
      <c r="D97" s="49"/>
      <c r="E97" s="49"/>
      <c r="F97" s="50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</row>
    <row r="98" spans="3:20" s="44" customFormat="1" ht="15" customHeight="1" x14ac:dyDescent="0.25">
      <c r="C98" s="49"/>
      <c r="D98" s="49"/>
      <c r="E98" s="49"/>
      <c r="F98" s="50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</row>
  </sheetData>
  <sheetProtection formatColumns="0" formatRows="0"/>
  <mergeCells count="2">
    <mergeCell ref="B4:F4"/>
    <mergeCell ref="D11:D12"/>
  </mergeCells>
  <conditionalFormatting sqref="E31 D43:E43 D70:E71 E35:E36 E53:E57 F25:F28 F20:F23 D81:F81 F80 E16:F19 E20:E27 D83:E85 F82:F86 D74:E79 F60:F64 D63:E66 F52:F58 D47:E47 F42:F44 D37:E39">
    <cfRule type="expression" dxfId="260" priority="18">
      <formula>#REF!=3</formula>
    </cfRule>
  </conditionalFormatting>
  <conditionalFormatting sqref="F88:F89 F69:F71 F50 F46 F33:F34 F30:F31 F14:F15 F66:F67 F48 F74:F79 F37:F40">
    <cfRule type="expression" dxfId="259" priority="17">
      <formula>#REF!=3</formula>
    </cfRule>
  </conditionalFormatting>
  <conditionalFormatting sqref="D16">
    <cfRule type="expression" dxfId="258" priority="16">
      <formula>#REF!=3</formula>
    </cfRule>
  </conditionalFormatting>
  <conditionalFormatting sqref="D20 D24">
    <cfRule type="expression" dxfId="257" priority="15">
      <formula>#REF!=3</formula>
    </cfRule>
  </conditionalFormatting>
  <conditionalFormatting sqref="F24">
    <cfRule type="expression" dxfId="256" priority="14">
      <formula>#REF!=3</formula>
    </cfRule>
  </conditionalFormatting>
  <conditionalFormatting sqref="D35:D36">
    <cfRule type="expression" dxfId="255" priority="13">
      <formula>#REF!=3</formula>
    </cfRule>
  </conditionalFormatting>
  <conditionalFormatting sqref="D53:D57">
    <cfRule type="expression" dxfId="254" priority="12">
      <formula>#REF!=3</formula>
    </cfRule>
  </conditionalFormatting>
  <conditionalFormatting sqref="D28">
    <cfRule type="expression" dxfId="253" priority="10">
      <formula>#REF!=3</formula>
    </cfRule>
  </conditionalFormatting>
  <conditionalFormatting sqref="F35:F36">
    <cfRule type="expression" dxfId="252" priority="9">
      <formula>#REF!=3</formula>
    </cfRule>
  </conditionalFormatting>
  <conditionalFormatting sqref="D72:E72">
    <cfRule type="expression" dxfId="251" priority="8">
      <formula>#REF!=3</formula>
    </cfRule>
  </conditionalFormatting>
  <conditionalFormatting sqref="F72">
    <cfRule type="expression" dxfId="250" priority="7">
      <formula>#REF!=3</formula>
    </cfRule>
  </conditionalFormatting>
  <conditionalFormatting sqref="D73:E73">
    <cfRule type="expression" dxfId="249" priority="6">
      <formula>#REF!=3</formula>
    </cfRule>
  </conditionalFormatting>
  <conditionalFormatting sqref="F73">
    <cfRule type="expression" dxfId="248" priority="5">
      <formula>#REF!=3</formula>
    </cfRule>
  </conditionalFormatting>
  <conditionalFormatting sqref="F47">
    <cfRule type="expression" dxfId="247" priority="1">
      <formula>#REF!=3</formula>
    </cfRule>
  </conditionalFormatting>
  <printOptions horizontalCentered="1"/>
  <pageMargins left="0.5" right="0.25" top="0.5" bottom="0.25" header="0.5" footer="0.5"/>
  <pageSetup scale="59" orientation="portrait" r:id="rId1"/>
  <headerFooter alignWithMargins="0"/>
  <rowBreaks count="1" manualBreakCount="1">
    <brk id="32" min="1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4ADB0-BF45-4EF3-B017-BD15C2F475CB}">
  <sheetPr codeName="Sheet73">
    <tabColor rgb="FF00B050"/>
    <pageSetUpPr fitToPage="1"/>
  </sheetPr>
  <dimension ref="B1:AL175"/>
  <sheetViews>
    <sheetView tabSelected="1" showWhiteSpace="0" view="pageBreakPreview" zoomScale="85" zoomScaleNormal="70" zoomScaleSheetLayoutView="85" zoomScalePageLayoutView="55" workbookViewId="0">
      <selection activeCell="F6" sqref="F6"/>
    </sheetView>
  </sheetViews>
  <sheetFormatPr defaultColWidth="9.140625" defaultRowHeight="15" customHeight="1" x14ac:dyDescent="0.25"/>
  <cols>
    <col min="1" max="1" width="2.7109375" style="1" customWidth="1"/>
    <col min="2" max="2" width="58.85546875" style="1" customWidth="1"/>
    <col min="3" max="3" width="2.7109375" style="2" customWidth="1"/>
    <col min="4" max="4" width="15.7109375" style="2" customWidth="1"/>
    <col min="5" max="8" width="16.7109375" style="2" bestFit="1" customWidth="1"/>
    <col min="9" max="9" width="1.7109375" style="2" customWidth="1"/>
    <col min="10" max="10" width="75.5703125" style="19" customWidth="1"/>
    <col min="11" max="12" width="14.5703125" style="1" bestFit="1" customWidth="1"/>
    <col min="13" max="13" width="15" style="1" bestFit="1" customWidth="1"/>
    <col min="14" max="19" width="9.140625" style="1" customWidth="1"/>
    <col min="20" max="24" width="9.7109375" style="4" customWidth="1"/>
    <col min="25" max="27" width="9.5703125" style="4" customWidth="1"/>
    <col min="28" max="37" width="9.140625" style="4" customWidth="1"/>
    <col min="38" max="38" width="9.85546875" style="4" bestFit="1" customWidth="1"/>
    <col min="39" max="40" width="9.85546875" style="1" bestFit="1" customWidth="1"/>
    <col min="41" max="42" width="11.5703125" style="1" bestFit="1" customWidth="1"/>
    <col min="43" max="16384" width="9.140625" style="1"/>
  </cols>
  <sheetData>
    <row r="1" spans="2:22" s="4" customFormat="1" ht="15" customHeight="1" x14ac:dyDescent="0.25">
      <c r="B1" s="5"/>
      <c r="C1" s="2"/>
      <c r="D1" s="6"/>
      <c r="E1" s="6"/>
      <c r="F1" s="6"/>
      <c r="G1" s="6"/>
      <c r="H1" s="6"/>
      <c r="I1" s="6"/>
      <c r="J1" s="19"/>
      <c r="K1" s="1"/>
      <c r="L1" s="1"/>
      <c r="M1" s="1"/>
      <c r="N1" s="1"/>
      <c r="O1" s="1"/>
      <c r="P1" s="1"/>
      <c r="Q1" s="1"/>
      <c r="R1" s="1"/>
      <c r="S1" s="1"/>
    </row>
    <row r="2" spans="2:22" s="4" customFormat="1" ht="15" customHeight="1" x14ac:dyDescent="0.25">
      <c r="B2" s="7" t="s">
        <v>1</v>
      </c>
      <c r="C2" s="8"/>
      <c r="D2" s="6"/>
      <c r="E2" s="6"/>
      <c r="F2" s="6"/>
      <c r="G2" s="6"/>
      <c r="H2" s="6"/>
      <c r="I2" s="6"/>
      <c r="J2" s="52"/>
      <c r="K2" s="2"/>
      <c r="L2" s="2"/>
      <c r="M2" s="2"/>
      <c r="N2" s="2"/>
      <c r="O2" s="2"/>
      <c r="P2" s="2"/>
      <c r="Q2" s="2"/>
      <c r="R2" s="2"/>
      <c r="S2" s="2"/>
      <c r="T2" s="10"/>
      <c r="U2" s="10"/>
      <c r="V2" s="10"/>
    </row>
    <row r="3" spans="2:22" s="4" customFormat="1" ht="15" customHeight="1" x14ac:dyDescent="0.25">
      <c r="B3" s="11" t="s">
        <v>131</v>
      </c>
      <c r="C3" s="2"/>
      <c r="D3" s="310">
        <v>96</v>
      </c>
      <c r="E3" s="310">
        <v>144</v>
      </c>
      <c r="F3" s="310">
        <v>192</v>
      </c>
      <c r="G3" s="310">
        <v>224</v>
      </c>
      <c r="H3" s="310">
        <v>252</v>
      </c>
      <c r="I3" s="6"/>
      <c r="K3" s="2"/>
      <c r="L3" s="2"/>
      <c r="M3" s="2"/>
      <c r="N3" s="2"/>
      <c r="O3" s="2"/>
      <c r="P3" s="2"/>
      <c r="Q3" s="2"/>
      <c r="R3" s="2"/>
      <c r="S3" s="2"/>
      <c r="T3" s="10"/>
      <c r="U3" s="10"/>
      <c r="V3" s="10"/>
    </row>
    <row r="4" spans="2:22" s="4" customFormat="1" ht="15" customHeight="1" x14ac:dyDescent="0.25">
      <c r="B4" s="11" t="s">
        <v>4</v>
      </c>
      <c r="C4" s="2"/>
      <c r="D4" s="310">
        <f t="shared" ref="D4:H4" si="0">D56</f>
        <v>2034072.8896863486</v>
      </c>
      <c r="E4" s="310">
        <f t="shared" si="0"/>
        <v>2634417.4813735811</v>
      </c>
      <c r="F4" s="310">
        <f t="shared" si="0"/>
        <v>3009534.4644437949</v>
      </c>
      <c r="G4" s="310">
        <f t="shared" si="0"/>
        <v>3146473.9775152341</v>
      </c>
      <c r="H4" s="310">
        <f t="shared" si="0"/>
        <v>4574146.508191959</v>
      </c>
      <c r="I4" s="13"/>
      <c r="J4" s="26"/>
      <c r="K4" s="1"/>
      <c r="L4" s="1"/>
      <c r="M4" s="1"/>
      <c r="N4" s="1"/>
      <c r="O4" s="1"/>
      <c r="P4" s="1"/>
      <c r="Q4" s="1"/>
      <c r="R4" s="1"/>
      <c r="S4" s="1"/>
      <c r="T4" s="10"/>
      <c r="U4" s="10"/>
      <c r="V4" s="10"/>
    </row>
    <row r="5" spans="2:22" s="4" customFormat="1" ht="15" customHeight="1" x14ac:dyDescent="0.25">
      <c r="B5" s="11" t="s">
        <v>5</v>
      </c>
      <c r="C5" s="2"/>
      <c r="D5" s="311">
        <f t="shared" ref="D5:H5" si="1">D150</f>
        <v>1802797.9003440186</v>
      </c>
      <c r="E5" s="311">
        <f t="shared" si="1"/>
        <v>2389374.9797823997</v>
      </c>
      <c r="F5" s="311">
        <f t="shared" si="1"/>
        <v>2909813.2798871794</v>
      </c>
      <c r="G5" s="311">
        <f t="shared" si="1"/>
        <v>3393202.7358124061</v>
      </c>
      <c r="H5" s="311">
        <f t="shared" si="1"/>
        <v>4083850.1938678119</v>
      </c>
      <c r="I5" s="13"/>
      <c r="J5" s="26"/>
      <c r="K5" s="2"/>
      <c r="L5" s="2"/>
      <c r="M5" s="2"/>
      <c r="N5" s="1"/>
      <c r="O5" s="1"/>
      <c r="P5" s="1"/>
      <c r="Q5" s="1"/>
      <c r="R5" s="1"/>
      <c r="S5" s="1"/>
      <c r="T5" s="10"/>
      <c r="U5" s="10"/>
      <c r="V5" s="10"/>
    </row>
    <row r="6" spans="2:22" s="4" customFormat="1" ht="15" customHeight="1" x14ac:dyDescent="0.25">
      <c r="B6" s="11" t="s">
        <v>6</v>
      </c>
      <c r="C6" s="2"/>
      <c r="D6" s="311">
        <f t="shared" ref="D6:H6" si="2">D4-D5</f>
        <v>231274.98934233002</v>
      </c>
      <c r="E6" s="311">
        <f t="shared" si="2"/>
        <v>245042.50159118138</v>
      </c>
      <c r="F6" s="311">
        <f t="shared" si="2"/>
        <v>99721.184556615539</v>
      </c>
      <c r="G6" s="311">
        <f t="shared" si="2"/>
        <v>-246728.75829717191</v>
      </c>
      <c r="H6" s="311">
        <f t="shared" si="2"/>
        <v>490296.31432414707</v>
      </c>
      <c r="I6" s="13"/>
      <c r="J6" s="12"/>
      <c r="K6" s="1"/>
      <c r="L6" s="1"/>
      <c r="M6" s="1"/>
      <c r="N6" s="1"/>
      <c r="O6" s="1"/>
      <c r="P6" s="1"/>
      <c r="Q6" s="1"/>
      <c r="R6" s="1"/>
      <c r="S6" s="1"/>
      <c r="T6" s="10"/>
      <c r="U6" s="10"/>
      <c r="V6" s="10"/>
    </row>
    <row r="7" spans="2:22" s="4" customFormat="1" ht="15" customHeight="1" x14ac:dyDescent="0.25">
      <c r="B7" s="11" t="s">
        <v>7</v>
      </c>
      <c r="C7" s="2"/>
      <c r="D7" s="311">
        <f>IFERROR(IF(D4&gt;0,D4/VLOOKUP("Total Enrollment",X_Enrollment,2,FALSE),0),0)</f>
        <v>21188.259267566133</v>
      </c>
      <c r="E7" s="311">
        <f>IFERROR(IF(E4&gt;0,E4/VLOOKUP("Total Enrollment",X_Enrollment,3,FALSE),0),0)</f>
        <v>18294.565842872093</v>
      </c>
      <c r="F7" s="311">
        <f>IFERROR(IF(F4&gt;0,F4/VLOOKUP("Total Enrollment",X_Enrollment,4,FALSE),0),0)</f>
        <v>15674.658668978098</v>
      </c>
      <c r="G7" s="311">
        <f>IFERROR(IF(G4&gt;0,G4/VLOOKUP("Total Enrollment",X_Enrollment,5,FALSE),0),0)</f>
        <v>14046.758828193009</v>
      </c>
      <c r="H7" s="311">
        <f>IFERROR(IF(H4&gt;0,H4/VLOOKUP("Total Enrollment",X_Enrollment,6,FALSE),0),0)</f>
        <v>18151.375032507774</v>
      </c>
      <c r="I7" s="13"/>
      <c r="J7" s="38"/>
      <c r="K7" s="1"/>
      <c r="L7" s="1"/>
      <c r="M7" s="1"/>
      <c r="N7" s="1"/>
      <c r="O7" s="1"/>
      <c r="P7" s="1"/>
      <c r="Q7" s="1"/>
      <c r="R7" s="1"/>
      <c r="S7" s="1"/>
      <c r="T7" s="10"/>
      <c r="U7" s="10"/>
      <c r="V7" s="10"/>
    </row>
    <row r="8" spans="2:22" s="4" customFormat="1" ht="15" customHeight="1" x14ac:dyDescent="0.25">
      <c r="B8" s="11" t="s">
        <v>132</v>
      </c>
      <c r="C8" s="2"/>
      <c r="D8" s="311">
        <v>10576.288544749563</v>
      </c>
      <c r="E8" s="311">
        <v>10401.036944835761</v>
      </c>
      <c r="F8" s="311">
        <v>9415.1919800859432</v>
      </c>
      <c r="G8" s="311">
        <v>9361.2616973173863</v>
      </c>
      <c r="H8" s="311">
        <v>14447.888335246709</v>
      </c>
      <c r="I8" s="13"/>
      <c r="J8" s="26"/>
      <c r="K8" s="2"/>
      <c r="L8" s="2"/>
      <c r="M8" s="2"/>
      <c r="N8" s="1"/>
      <c r="O8" s="1"/>
      <c r="P8" s="1"/>
      <c r="Q8" s="1"/>
      <c r="R8" s="1"/>
      <c r="S8" s="1"/>
      <c r="T8" s="10"/>
      <c r="U8" s="10"/>
      <c r="V8" s="10"/>
    </row>
    <row r="9" spans="2:22" s="4" customFormat="1" ht="15" customHeight="1" x14ac:dyDescent="0.25">
      <c r="B9" s="53" t="s">
        <v>8</v>
      </c>
      <c r="C9" s="54"/>
      <c r="D9" s="311">
        <f>IFERROR(IF(D5&gt;0,D5/VLOOKUP("Total Enrollment",X_Enrollment,2,FALSE),0),0)</f>
        <v>18779.144795250195</v>
      </c>
      <c r="E9" s="311">
        <f>IFERROR(IF(E5&gt;0,E5/VLOOKUP("Total Enrollment",X_Enrollment,3,FALSE),0),0)</f>
        <v>16592.881804044442</v>
      </c>
      <c r="F9" s="311">
        <f>IFERROR(IF(F5&gt;0,F5/VLOOKUP("Total Enrollment",X_Enrollment,4,FALSE),0),0)</f>
        <v>15155.277499412392</v>
      </c>
      <c r="G9" s="311">
        <f>IFERROR(IF(G5&gt;0,G5/VLOOKUP("Total Enrollment",X_Enrollment,5,FALSE),0),0)</f>
        <v>15148.226499162527</v>
      </c>
      <c r="H9" s="311">
        <f>IFERROR(IF(H5&gt;0,H5/VLOOKUP("Total Enrollment",X_Enrollment,6,FALSE),0),0)</f>
        <v>16205.754737570682</v>
      </c>
      <c r="I9" s="13"/>
      <c r="J9" s="26"/>
      <c r="N9" s="1"/>
      <c r="O9" s="1"/>
      <c r="P9" s="1"/>
      <c r="Q9" s="1"/>
      <c r="R9" s="1"/>
      <c r="S9" s="1"/>
      <c r="T9" s="10"/>
      <c r="U9" s="10"/>
      <c r="V9" s="10"/>
    </row>
    <row r="10" spans="2:22" s="4" customFormat="1" ht="15" customHeight="1" x14ac:dyDescent="0.25">
      <c r="B10" s="15"/>
      <c r="C10" s="2"/>
      <c r="D10" s="2"/>
      <c r="E10" s="2"/>
      <c r="F10" s="2"/>
      <c r="G10" s="2"/>
      <c r="H10" s="2"/>
      <c r="I10" s="2"/>
      <c r="J10" s="19"/>
      <c r="N10" s="1"/>
      <c r="O10" s="1"/>
      <c r="P10" s="1"/>
      <c r="Q10" s="1"/>
      <c r="R10" s="1"/>
      <c r="S10" s="1"/>
      <c r="T10" s="10"/>
      <c r="U10" s="10"/>
      <c r="V10" s="10"/>
    </row>
    <row r="11" spans="2:22" s="4" customFormat="1" ht="15" customHeight="1" x14ac:dyDescent="0.25">
      <c r="B11" s="15"/>
      <c r="C11" s="2"/>
      <c r="D11" s="312" t="s">
        <v>133</v>
      </c>
      <c r="E11" s="313" t="s">
        <v>134</v>
      </c>
      <c r="F11" s="313" t="s">
        <v>135</v>
      </c>
      <c r="G11" s="313" t="s">
        <v>136</v>
      </c>
      <c r="H11" s="313" t="s">
        <v>137</v>
      </c>
      <c r="I11" s="13"/>
      <c r="J11" s="19"/>
      <c r="N11" s="1"/>
      <c r="O11" s="1"/>
      <c r="P11" s="1"/>
      <c r="Q11" s="1"/>
      <c r="R11" s="1"/>
      <c r="S11" s="1"/>
      <c r="T11" s="10"/>
      <c r="U11" s="10"/>
      <c r="V11" s="10"/>
    </row>
    <row r="12" spans="2:22" s="4" customFormat="1" ht="15" customHeight="1" x14ac:dyDescent="0.25">
      <c r="B12" s="15"/>
      <c r="C12" s="2"/>
      <c r="D12" s="55" t="s">
        <v>324</v>
      </c>
      <c r="E12" s="56" t="str">
        <f>VLOOKUP(2,X_Years,3,FALSE)&amp;"-"&amp;RIGHT(VLOOKUP(2,X_Years,4,FALSE),2)</f>
        <v>2022-23</v>
      </c>
      <c r="F12" s="56" t="str">
        <f>VLOOKUP(2,X_Years,4,FALSE)&amp;"-"&amp;RIGHT(VLOOKUP(2,X_Years,5,FALSE),2)</f>
        <v>2023-24</v>
      </c>
      <c r="G12" s="56" t="str">
        <f>VLOOKUP(2,X_Years,5,FALSE)&amp;"-"&amp;RIGHT(VLOOKUP(2,X_Years,6,FALSE),2)</f>
        <v>2024-25</v>
      </c>
      <c r="H12" s="56" t="str">
        <f>VLOOKUP(2,X_Years,6,FALSE)&amp;"-"&amp;RIGHT(VLOOKUP(2,X_Years,7,FALSE),2)</f>
        <v>2025-26</v>
      </c>
      <c r="I12" s="13"/>
      <c r="J12" s="57" t="s">
        <v>3</v>
      </c>
      <c r="N12" s="1"/>
      <c r="O12" s="1"/>
      <c r="P12" s="1"/>
      <c r="Q12" s="1"/>
      <c r="R12" s="1"/>
      <c r="S12" s="1"/>
      <c r="T12" s="10"/>
      <c r="U12" s="10"/>
      <c r="V12" s="10"/>
    </row>
    <row r="13" spans="2:22" s="4" customFormat="1" ht="15" customHeight="1" x14ac:dyDescent="0.25">
      <c r="B13" s="14"/>
      <c r="C13" s="1"/>
      <c r="D13" s="1"/>
      <c r="E13" s="1"/>
      <c r="F13" s="1"/>
      <c r="G13" s="1"/>
      <c r="H13" s="1"/>
      <c r="I13" s="1"/>
      <c r="J13" s="58"/>
    </row>
    <row r="14" spans="2:22" s="4" customFormat="1" ht="15" customHeight="1" x14ac:dyDescent="0.25">
      <c r="B14" s="17" t="str">
        <f>'State &amp; Fed Rev'!C2</f>
        <v>REVENUE</v>
      </c>
      <c r="C14" s="2"/>
      <c r="D14" s="18"/>
      <c r="E14" s="18"/>
      <c r="F14" s="18"/>
      <c r="G14" s="18"/>
      <c r="H14" s="18"/>
      <c r="I14" s="20"/>
      <c r="J14" s="19"/>
      <c r="L14" s="1"/>
      <c r="M14" s="1"/>
      <c r="N14" s="1"/>
      <c r="O14" s="1"/>
      <c r="P14" s="1"/>
      <c r="Q14" s="1"/>
      <c r="R14" s="1"/>
      <c r="S14" s="1"/>
    </row>
    <row r="15" spans="2:22" s="4" customFormat="1" ht="15" customHeight="1" x14ac:dyDescent="0.25">
      <c r="B15" s="21" t="str">
        <f>'Local &amp; Pvt Rev'!C4</f>
        <v>2000 - LOCAL SUPPORT - NON-TAX</v>
      </c>
      <c r="C15" s="1"/>
      <c r="D15" s="18"/>
      <c r="E15" s="18"/>
      <c r="F15" s="18"/>
      <c r="G15" s="18"/>
      <c r="H15" s="18"/>
      <c r="I15" s="22"/>
      <c r="J15" s="26"/>
      <c r="K15" s="1"/>
      <c r="L15" s="1"/>
      <c r="M15" s="1"/>
      <c r="N15" s="1"/>
      <c r="O15" s="1"/>
      <c r="P15" s="1"/>
      <c r="Q15" s="1"/>
      <c r="R15" s="1"/>
      <c r="S15" s="1"/>
    </row>
    <row r="16" spans="2:22" s="4" customFormat="1" ht="15" customHeight="1" x14ac:dyDescent="0.25">
      <c r="B16" s="23" t="str">
        <f>'Local &amp; Pvt Rev'!C5</f>
        <v xml:space="preserve">2200 - Sale Of Goods, Supplies, &amp; Services </v>
      </c>
      <c r="C16" s="1"/>
      <c r="D16" s="25">
        <v>7200</v>
      </c>
      <c r="E16" s="25">
        <v>10800</v>
      </c>
      <c r="F16" s="25">
        <v>14400</v>
      </c>
      <c r="G16" s="25">
        <v>16800</v>
      </c>
      <c r="H16" s="25">
        <v>18900</v>
      </c>
      <c r="I16" s="22"/>
      <c r="J16" s="43" t="str">
        <f>+'Local &amp; Pvt Rev'!K5</f>
        <v>School misc sales (merch, student store, fees, etc)</v>
      </c>
      <c r="K16" s="59"/>
      <c r="L16" s="59"/>
      <c r="M16" s="59"/>
      <c r="N16" s="1"/>
      <c r="O16" s="1"/>
      <c r="P16" s="1"/>
      <c r="Q16" s="1"/>
      <c r="R16" s="1"/>
      <c r="S16" s="1"/>
    </row>
    <row r="17" spans="2:19" s="4" customFormat="1" ht="15" customHeight="1" x14ac:dyDescent="0.25">
      <c r="B17" s="23" t="str">
        <f>'Local &amp; Pvt Rev'!C6</f>
        <v xml:space="preserve">2500 - Gifts Grants, and Donations (Local)   </v>
      </c>
      <c r="C17" s="1"/>
      <c r="D17" s="25">
        <v>25000</v>
      </c>
      <c r="E17" s="25">
        <v>25000</v>
      </c>
      <c r="F17" s="25">
        <v>25000</v>
      </c>
      <c r="G17" s="25">
        <v>25000</v>
      </c>
      <c r="H17" s="25">
        <v>25000</v>
      </c>
      <c r="I17" s="22"/>
      <c r="J17" s="43" t="str">
        <f>+'Local &amp; Pvt Rev'!K6</f>
        <v>Local donations (parents, small orgs)</v>
      </c>
      <c r="K17" s="59"/>
      <c r="L17" s="59"/>
      <c r="M17" s="59"/>
      <c r="N17" s="1"/>
      <c r="O17" s="1"/>
      <c r="P17" s="1"/>
      <c r="Q17" s="1"/>
      <c r="R17" s="1"/>
      <c r="S17" s="1"/>
    </row>
    <row r="18" spans="2:19" s="4" customFormat="1" ht="15" customHeight="1" x14ac:dyDescent="0.25">
      <c r="B18" s="23" t="str">
        <f>'Local &amp; Pvt Rev'!C7</f>
        <v xml:space="preserve">2298 - Local lunch sales </v>
      </c>
      <c r="C18" s="1"/>
      <c r="D18" s="25">
        <v>25920</v>
      </c>
      <c r="E18" s="25">
        <v>38880</v>
      </c>
      <c r="F18" s="25">
        <v>51840</v>
      </c>
      <c r="G18" s="25">
        <v>60480</v>
      </c>
      <c r="H18" s="25">
        <v>68040</v>
      </c>
      <c r="I18" s="22"/>
      <c r="J18" s="43">
        <f>+'Local &amp; Pvt Rev'!K7</f>
        <v>0</v>
      </c>
      <c r="K18" s="1"/>
      <c r="L18" s="1"/>
      <c r="M18" s="1"/>
      <c r="N18" s="1"/>
      <c r="O18" s="1"/>
      <c r="P18" s="1"/>
      <c r="Q18" s="1"/>
      <c r="R18" s="1"/>
      <c r="S18" s="1"/>
    </row>
    <row r="19" spans="2:19" s="4" customFormat="1" ht="15" customHeight="1" thickBot="1" x14ac:dyDescent="0.3">
      <c r="B19" s="21" t="str">
        <f>"TOTAL "&amp;B15</f>
        <v>TOTAL 2000 - LOCAL SUPPORT - NON-TAX</v>
      </c>
      <c r="C19" s="1"/>
      <c r="D19" s="314">
        <f t="shared" ref="D19:H19" si="3">SUM(D16:D18)</f>
        <v>58120</v>
      </c>
      <c r="E19" s="314">
        <f t="shared" si="3"/>
        <v>74680</v>
      </c>
      <c r="F19" s="314">
        <f t="shared" si="3"/>
        <v>91240</v>
      </c>
      <c r="G19" s="314">
        <f t="shared" si="3"/>
        <v>102280</v>
      </c>
      <c r="H19" s="314">
        <f t="shared" si="3"/>
        <v>111940</v>
      </c>
      <c r="I19" s="22"/>
      <c r="J19" s="26"/>
      <c r="K19" s="59"/>
      <c r="L19" s="59"/>
      <c r="M19" s="59"/>
      <c r="N19" s="1"/>
      <c r="O19" s="1"/>
      <c r="P19" s="1"/>
      <c r="Q19" s="1"/>
      <c r="R19" s="1"/>
      <c r="S19" s="1"/>
    </row>
    <row r="20" spans="2:19" s="4" customFormat="1" ht="6" customHeight="1" thickTop="1" x14ac:dyDescent="0.25">
      <c r="B20" s="23"/>
      <c r="C20" s="1"/>
      <c r="D20" s="18"/>
      <c r="E20" s="18"/>
      <c r="F20" s="18"/>
      <c r="G20" s="18"/>
      <c r="H20" s="18"/>
      <c r="I20" s="22"/>
      <c r="J20" s="26"/>
      <c r="K20" s="59"/>
      <c r="L20" s="59"/>
      <c r="M20" s="59"/>
      <c r="N20" s="1"/>
      <c r="O20" s="1"/>
      <c r="P20" s="1"/>
      <c r="Q20" s="1"/>
      <c r="R20" s="1"/>
      <c r="S20" s="1"/>
    </row>
    <row r="21" spans="2:19" s="4" customFormat="1" ht="15" customHeight="1" x14ac:dyDescent="0.25">
      <c r="B21" s="21" t="str">
        <f>+'State &amp; Fed Rev'!C10</f>
        <v>3000 - STATE REVENUE - GENERAL PURPOSE</v>
      </c>
      <c r="C21" s="1"/>
      <c r="D21" s="18"/>
      <c r="E21" s="18"/>
      <c r="F21" s="18"/>
      <c r="G21" s="18"/>
      <c r="H21" s="18"/>
      <c r="I21" s="22"/>
      <c r="J21" s="26"/>
      <c r="K21" s="60"/>
      <c r="L21" s="60"/>
      <c r="M21" s="60"/>
      <c r="N21" s="61"/>
      <c r="O21" s="1"/>
      <c r="P21" s="1"/>
      <c r="Q21" s="1"/>
      <c r="R21" s="1"/>
      <c r="S21" s="1"/>
    </row>
    <row r="22" spans="2:19" s="4" customFormat="1" ht="15" customHeight="1" x14ac:dyDescent="0.25">
      <c r="B22" s="23" t="str">
        <f>'State &amp; Fed Rev'!C16</f>
        <v xml:space="preserve">3100 - Apportionment   </v>
      </c>
      <c r="C22" s="1"/>
      <c r="D22" s="25">
        <v>1015323.700295958</v>
      </c>
      <c r="E22" s="25">
        <v>1497749.3200563497</v>
      </c>
      <c r="F22" s="25">
        <v>1807716.8601765011</v>
      </c>
      <c r="G22" s="25">
        <v>2096922.6201990945</v>
      </c>
      <c r="H22" s="25">
        <v>3640867.8604821707</v>
      </c>
      <c r="I22" s="22"/>
      <c r="J22" s="26" t="s">
        <v>138</v>
      </c>
      <c r="K22" s="1"/>
      <c r="L22" s="1"/>
      <c r="M22" s="1"/>
      <c r="N22" s="1"/>
      <c r="O22" s="1"/>
      <c r="P22" s="1"/>
      <c r="Q22" s="1"/>
      <c r="R22" s="1"/>
      <c r="S22" s="1"/>
    </row>
    <row r="23" spans="2:19" s="4" customFormat="1" ht="15" customHeight="1" x14ac:dyDescent="0.25">
      <c r="B23" s="23" t="str">
        <f>'State &amp; Fed Rev'!C17</f>
        <v xml:space="preserve">3121 - Special Education - General Apportionment  </v>
      </c>
      <c r="C23" s="1"/>
      <c r="D23" s="25">
        <v>26991.966586480336</v>
      </c>
      <c r="E23" s="25">
        <v>41290.513382899437</v>
      </c>
      <c r="F23" s="25">
        <v>53793.816314379706</v>
      </c>
      <c r="G23" s="25">
        <v>62399.614332884899</v>
      </c>
      <c r="H23" s="25">
        <v>69840.598006588625</v>
      </c>
      <c r="I23" s="22"/>
      <c r="J23" s="26" t="s">
        <v>138</v>
      </c>
      <c r="K23" s="1"/>
      <c r="L23" s="1"/>
      <c r="M23" s="1"/>
      <c r="N23" s="1"/>
      <c r="O23" s="1"/>
      <c r="P23" s="1"/>
      <c r="Q23" s="1"/>
      <c r="R23" s="1"/>
      <c r="S23" s="1"/>
    </row>
    <row r="24" spans="2:19" s="4" customFormat="1" ht="15" customHeight="1" thickBot="1" x14ac:dyDescent="0.3">
      <c r="B24" s="21" t="str">
        <f>"TOTAL "&amp;B21</f>
        <v>TOTAL 3000 - STATE REVENUE - GENERAL PURPOSE</v>
      </c>
      <c r="C24" s="1"/>
      <c r="D24" s="314">
        <f t="shared" ref="D24:H24" si="4">SUM(D22:D23)</f>
        <v>1042315.6668824384</v>
      </c>
      <c r="E24" s="314">
        <f t="shared" si="4"/>
        <v>1539039.8334392491</v>
      </c>
      <c r="F24" s="314">
        <f t="shared" si="4"/>
        <v>1861510.6764908808</v>
      </c>
      <c r="G24" s="314">
        <f t="shared" si="4"/>
        <v>2159322.2345319795</v>
      </c>
      <c r="H24" s="314">
        <f t="shared" si="4"/>
        <v>3710708.4584887591</v>
      </c>
      <c r="I24" s="22"/>
      <c r="J24" s="26"/>
      <c r="K24" s="1"/>
      <c r="L24" s="1"/>
      <c r="M24" s="1"/>
      <c r="N24" s="1"/>
      <c r="O24" s="1"/>
      <c r="P24" s="1"/>
      <c r="Q24" s="1"/>
      <c r="R24" s="1"/>
      <c r="S24" s="1"/>
    </row>
    <row r="25" spans="2:19" s="4" customFormat="1" ht="6" customHeight="1" thickTop="1" x14ac:dyDescent="0.25">
      <c r="B25" s="23"/>
      <c r="C25" s="1"/>
      <c r="D25" s="18"/>
      <c r="E25" s="18"/>
      <c r="F25" s="18"/>
      <c r="G25" s="18"/>
      <c r="H25" s="18"/>
      <c r="I25" s="22"/>
      <c r="J25" s="26"/>
      <c r="K25" s="1"/>
      <c r="L25" s="1"/>
      <c r="M25" s="1"/>
      <c r="N25" s="1"/>
      <c r="O25" s="1"/>
      <c r="P25" s="1"/>
      <c r="Q25" s="1"/>
      <c r="R25" s="1"/>
      <c r="S25" s="1"/>
    </row>
    <row r="26" spans="2:19" s="4" customFormat="1" ht="15" customHeight="1" x14ac:dyDescent="0.25">
      <c r="B26" s="21" t="str">
        <f>'State &amp; Fed Rev'!C20</f>
        <v>4000 - STATE REVENUE - SPECIAL PURPOSE</v>
      </c>
      <c r="C26" s="1"/>
      <c r="D26" s="18"/>
      <c r="E26" s="18"/>
      <c r="F26" s="18"/>
      <c r="G26" s="18"/>
      <c r="H26" s="18"/>
      <c r="I26" s="22"/>
      <c r="J26" s="26"/>
      <c r="K26" s="1"/>
      <c r="L26" s="1"/>
      <c r="M26" s="1"/>
      <c r="N26" s="1"/>
      <c r="O26" s="1"/>
      <c r="P26" s="1"/>
      <c r="Q26" s="1"/>
      <c r="R26" s="1"/>
      <c r="S26" s="1"/>
    </row>
    <row r="27" spans="2:19" s="4" customFormat="1" ht="15" customHeight="1" x14ac:dyDescent="0.25">
      <c r="B27" s="23" t="str">
        <f>'State &amp; Fed Rev'!C21</f>
        <v xml:space="preserve">4121 - Special Education - State   </v>
      </c>
      <c r="C27" s="1"/>
      <c r="D27" s="25">
        <v>126420.03080743145</v>
      </c>
      <c r="E27" s="25">
        <v>193397.26773761073</v>
      </c>
      <c r="F27" s="25">
        <v>251947.65581849546</v>
      </c>
      <c r="G27" s="25">
        <v>292249.85723906994</v>
      </c>
      <c r="H27" s="25">
        <v>327096.09821788286</v>
      </c>
      <c r="I27" s="22"/>
      <c r="J27" s="26" t="s">
        <v>138</v>
      </c>
      <c r="K27" s="1"/>
      <c r="L27" s="1"/>
      <c r="M27" s="1"/>
      <c r="N27" s="1"/>
      <c r="O27" s="1"/>
      <c r="P27" s="1"/>
      <c r="Q27" s="1"/>
      <c r="R27" s="1"/>
      <c r="S27" s="1"/>
    </row>
    <row r="28" spans="2:19" s="4" customFormat="1" ht="15" customHeight="1" x14ac:dyDescent="0.25">
      <c r="B28" s="23" t="str">
        <f>'State &amp; Fed Rev'!C22</f>
        <v xml:space="preserve">4155 - Learning Assistance   </v>
      </c>
      <c r="C28" s="1"/>
      <c r="D28" s="25">
        <v>30323.453963586115</v>
      </c>
      <c r="E28" s="25">
        <v>30827.833358786087</v>
      </c>
      <c r="F28" s="25">
        <v>47013.291269704525</v>
      </c>
      <c r="G28" s="25">
        <v>63732.655712838554</v>
      </c>
      <c r="H28" s="25">
        <v>75600.980170079551</v>
      </c>
      <c r="I28" s="22"/>
      <c r="J28" s="26" t="s">
        <v>138</v>
      </c>
      <c r="K28" s="1"/>
      <c r="L28" s="1"/>
      <c r="M28" s="1"/>
      <c r="N28" s="1"/>
      <c r="O28" s="1"/>
      <c r="P28" s="1"/>
      <c r="Q28" s="1"/>
      <c r="R28" s="1"/>
      <c r="S28" s="1"/>
    </row>
    <row r="29" spans="2:19" s="4" customFormat="1" ht="15" customHeight="1" x14ac:dyDescent="0.25">
      <c r="B29" s="23" t="str">
        <f>'State &amp; Fed Rev'!C23</f>
        <v>4165 - Transitional Bilingual</v>
      </c>
      <c r="C29" s="1"/>
      <c r="D29" s="25">
        <v>6539.2287501668943</v>
      </c>
      <c r="E29" s="25">
        <v>9167.4522497648522</v>
      </c>
      <c r="F29" s="25">
        <v>10779.942830915552</v>
      </c>
      <c r="G29" s="25">
        <v>11290.650489937194</v>
      </c>
      <c r="H29" s="25">
        <v>11707.411228362964</v>
      </c>
      <c r="I29" s="22"/>
      <c r="J29" s="26" t="s">
        <v>138</v>
      </c>
      <c r="K29" s="1"/>
      <c r="L29" s="1"/>
      <c r="M29" s="1"/>
      <c r="N29" s="1"/>
      <c r="O29" s="1"/>
      <c r="P29" s="1"/>
      <c r="Q29" s="1"/>
      <c r="R29" s="1"/>
      <c r="S29" s="1"/>
    </row>
    <row r="30" spans="2:19" s="4" customFormat="1" ht="15" customHeight="1" x14ac:dyDescent="0.25">
      <c r="B30" s="23" t="str">
        <f>'State &amp; Fed Rev'!C24</f>
        <v xml:space="preserve">4174 - Highly Capable      </v>
      </c>
      <c r="C30" s="1"/>
      <c r="D30" s="25">
        <v>2730.6918501515092</v>
      </c>
      <c r="E30" s="25">
        <v>4164.1684393088108</v>
      </c>
      <c r="F30" s="25">
        <v>5644.8631686502395</v>
      </c>
      <c r="G30" s="25">
        <v>6695.8055320690246</v>
      </c>
      <c r="H30" s="25">
        <v>7761.0773263673236</v>
      </c>
      <c r="I30" s="22"/>
      <c r="J30" s="26" t="s">
        <v>138</v>
      </c>
      <c r="K30" s="1"/>
      <c r="L30" s="1"/>
      <c r="M30" s="1"/>
      <c r="N30" s="1"/>
      <c r="O30" s="1"/>
      <c r="P30" s="1"/>
      <c r="Q30" s="1"/>
      <c r="R30" s="1"/>
      <c r="S30" s="1"/>
    </row>
    <row r="31" spans="2:19" s="4" customFormat="1" ht="15" customHeight="1" x14ac:dyDescent="0.25">
      <c r="B31" s="23" t="str">
        <f>'State &amp; Fed Rev'!C25</f>
        <v xml:space="preserve">4198 - School Food Service      </v>
      </c>
      <c r="C31" s="1"/>
      <c r="D31" s="62">
        <v>6012.9000000000005</v>
      </c>
      <c r="E31" s="62">
        <v>9019.35</v>
      </c>
      <c r="F31" s="62">
        <v>12025.800000000001</v>
      </c>
      <c r="G31" s="62">
        <v>14030.100000000002</v>
      </c>
      <c r="H31" s="62">
        <v>15783.862500000001</v>
      </c>
      <c r="I31" s="22"/>
      <c r="J31" s="26"/>
      <c r="K31" s="1"/>
      <c r="L31" s="1"/>
      <c r="M31" s="1"/>
      <c r="N31" s="1"/>
      <c r="O31" s="1"/>
      <c r="P31" s="1"/>
      <c r="Q31" s="1"/>
      <c r="R31" s="1"/>
      <c r="S31" s="1"/>
    </row>
    <row r="32" spans="2:19" s="4" customFormat="1" ht="15" customHeight="1" x14ac:dyDescent="0.25">
      <c r="B32" s="23" t="str">
        <f>'State &amp; Fed Rev'!C26</f>
        <v>4199 - Transportation - Operations</v>
      </c>
      <c r="C32" s="1"/>
      <c r="D32" s="25">
        <v>38144.517432574132</v>
      </c>
      <c r="E32" s="25">
        <v>57216.776148861201</v>
      </c>
      <c r="F32" s="25">
        <v>76289.034865148264</v>
      </c>
      <c r="G32" s="25">
        <v>89003.874009339663</v>
      </c>
      <c r="H32" s="25">
        <v>100129.3582605071</v>
      </c>
      <c r="I32" s="22"/>
      <c r="J32" s="26" t="s">
        <v>139</v>
      </c>
      <c r="K32" s="1"/>
      <c r="L32" s="1"/>
      <c r="M32" s="1"/>
      <c r="N32" s="1"/>
      <c r="O32" s="1"/>
      <c r="P32" s="1"/>
      <c r="Q32" s="1"/>
      <c r="R32" s="1"/>
      <c r="S32" s="1"/>
    </row>
    <row r="33" spans="2:19" s="4" customFormat="1" ht="15" customHeight="1" thickBot="1" x14ac:dyDescent="0.3">
      <c r="B33" s="21" t="str">
        <f>"TOTAL "&amp; B26</f>
        <v>TOTAL 4000 - STATE REVENUE - SPECIAL PURPOSE</v>
      </c>
      <c r="C33" s="1"/>
      <c r="D33" s="314">
        <f t="shared" ref="D33:H33" si="5">SUM(D27:D32)</f>
        <v>210170.82280391009</v>
      </c>
      <c r="E33" s="314">
        <f t="shared" si="5"/>
        <v>303792.84793433169</v>
      </c>
      <c r="F33" s="314">
        <f t="shared" si="5"/>
        <v>403700.58795291407</v>
      </c>
      <c r="G33" s="314">
        <f t="shared" si="5"/>
        <v>477002.94298325432</v>
      </c>
      <c r="H33" s="314">
        <f t="shared" si="5"/>
        <v>538078.78770319978</v>
      </c>
      <c r="I33" s="22"/>
      <c r="J33" s="26"/>
      <c r="K33" s="1"/>
      <c r="L33" s="1"/>
      <c r="M33" s="1"/>
      <c r="N33" s="1"/>
      <c r="O33" s="1"/>
      <c r="P33" s="1"/>
      <c r="Q33" s="1"/>
      <c r="R33" s="1"/>
      <c r="S33" s="1"/>
    </row>
    <row r="34" spans="2:19" s="4" customFormat="1" ht="6" customHeight="1" thickTop="1" x14ac:dyDescent="0.25">
      <c r="B34" s="23"/>
      <c r="C34" s="1"/>
      <c r="D34" s="18"/>
      <c r="E34" s="18"/>
      <c r="F34" s="18"/>
      <c r="G34" s="18"/>
      <c r="H34" s="18"/>
      <c r="I34" s="22"/>
      <c r="J34" s="26"/>
      <c r="K34" s="1"/>
      <c r="L34" s="1"/>
      <c r="M34" s="1"/>
      <c r="N34" s="1"/>
      <c r="O34" s="1"/>
      <c r="P34" s="1"/>
      <c r="Q34" s="1"/>
      <c r="R34" s="1"/>
      <c r="S34" s="1"/>
    </row>
    <row r="35" spans="2:19" s="4" customFormat="1" ht="15" customHeight="1" x14ac:dyDescent="0.25">
      <c r="B35" s="21" t="str">
        <f>'State &amp; Fed Rev'!C29</f>
        <v>5000 - FEDERAL REVENUE - RESTRICTED</v>
      </c>
      <c r="C35" s="1"/>
      <c r="D35" s="18"/>
      <c r="E35" s="18"/>
      <c r="F35" s="18"/>
      <c r="G35" s="18"/>
      <c r="H35" s="18"/>
      <c r="I35" s="22"/>
      <c r="J35" s="26"/>
      <c r="K35" s="1"/>
      <c r="L35" s="1"/>
      <c r="M35" s="1"/>
      <c r="N35" s="1"/>
      <c r="O35" s="1"/>
      <c r="P35" s="1"/>
      <c r="Q35" s="1"/>
      <c r="R35" s="1"/>
      <c r="S35" s="1"/>
    </row>
    <row r="36" spans="2:19" s="4" customFormat="1" ht="15" customHeight="1" x14ac:dyDescent="0.25">
      <c r="B36" s="23" t="str">
        <f>'State &amp; Fed Rev'!C30</f>
        <v>Title I</v>
      </c>
      <c r="C36" s="1"/>
      <c r="D36" s="25">
        <v>15360</v>
      </c>
      <c r="E36" s="25">
        <v>23040</v>
      </c>
      <c r="F36" s="25">
        <v>30720</v>
      </c>
      <c r="G36" s="25">
        <v>35840</v>
      </c>
      <c r="H36" s="25">
        <v>40723.199999999997</v>
      </c>
      <c r="I36" s="22"/>
      <c r="J36" s="26" t="s">
        <v>140</v>
      </c>
      <c r="K36" s="1"/>
      <c r="L36" s="1"/>
      <c r="M36" s="1"/>
      <c r="N36" s="1"/>
      <c r="O36" s="1"/>
      <c r="P36" s="1"/>
      <c r="Q36" s="1"/>
      <c r="R36" s="1"/>
      <c r="S36" s="1"/>
    </row>
    <row r="37" spans="2:19" s="4" customFormat="1" ht="15" customHeight="1" x14ac:dyDescent="0.25">
      <c r="B37" s="23" t="str">
        <f>'State &amp; Fed Rev'!C31</f>
        <v>Title II</v>
      </c>
      <c r="C37" s="1"/>
      <c r="D37" s="25">
        <v>2400</v>
      </c>
      <c r="E37" s="25">
        <v>3600</v>
      </c>
      <c r="F37" s="25">
        <v>4800</v>
      </c>
      <c r="G37" s="25">
        <v>5600</v>
      </c>
      <c r="H37" s="25">
        <v>6363</v>
      </c>
      <c r="I37" s="22"/>
      <c r="J37" s="26" t="s">
        <v>140</v>
      </c>
      <c r="K37" s="1"/>
      <c r="L37" s="1"/>
      <c r="M37" s="1"/>
      <c r="N37" s="1"/>
      <c r="O37" s="1"/>
      <c r="P37" s="1"/>
      <c r="Q37" s="1"/>
      <c r="R37" s="1"/>
      <c r="S37" s="1"/>
    </row>
    <row r="38" spans="2:19" s="4" customFormat="1" ht="15" customHeight="1" x14ac:dyDescent="0.25">
      <c r="B38" s="23" t="str">
        <f>'State &amp; Fed Rev'!C32</f>
        <v>Title III</v>
      </c>
      <c r="C38" s="1"/>
      <c r="D38" s="25">
        <v>369.6</v>
      </c>
      <c r="E38" s="25">
        <v>369.6</v>
      </c>
      <c r="F38" s="25">
        <v>369.6</v>
      </c>
      <c r="G38" s="25">
        <v>369.6</v>
      </c>
      <c r="H38" s="25">
        <v>373.29600000000005</v>
      </c>
      <c r="I38" s="22"/>
      <c r="J38" s="26" t="s">
        <v>140</v>
      </c>
      <c r="K38" s="1"/>
      <c r="L38" s="1"/>
      <c r="M38" s="1"/>
      <c r="N38" s="1"/>
      <c r="O38" s="1"/>
      <c r="P38" s="1"/>
      <c r="Q38" s="1"/>
      <c r="R38" s="1"/>
      <c r="S38" s="1"/>
    </row>
    <row r="39" spans="2:19" s="4" customFormat="1" ht="15" customHeight="1" x14ac:dyDescent="0.25">
      <c r="B39" s="63" t="str">
        <f>'State &amp; Fed Rev'!C33</f>
        <v>IDEA Funding</v>
      </c>
      <c r="C39" s="1"/>
      <c r="D39" s="25">
        <v>16848</v>
      </c>
      <c r="E39" s="25">
        <v>25272</v>
      </c>
      <c r="F39" s="25">
        <v>33696</v>
      </c>
      <c r="G39" s="25">
        <v>39312</v>
      </c>
      <c r="H39" s="25">
        <v>44668.26</v>
      </c>
      <c r="I39" s="22"/>
      <c r="J39" s="26" t="s">
        <v>140</v>
      </c>
      <c r="K39" s="1"/>
      <c r="L39" s="1"/>
      <c r="M39" s="1"/>
      <c r="N39" s="1"/>
      <c r="O39" s="1"/>
      <c r="P39" s="1"/>
      <c r="Q39" s="1"/>
      <c r="R39" s="1"/>
      <c r="S39" s="1"/>
    </row>
    <row r="40" spans="2:19" s="4" customFormat="1" ht="15" customHeight="1" thickBot="1" x14ac:dyDescent="0.3">
      <c r="B40" s="21" t="str">
        <f>"TOTAL "&amp;B35</f>
        <v>TOTAL 5000 - FEDERAL REVENUE - RESTRICTED</v>
      </c>
      <c r="C40" s="1"/>
      <c r="D40" s="314">
        <f t="shared" ref="D40:H40" si="6">SUM(D36:D39)</f>
        <v>34977.599999999999</v>
      </c>
      <c r="E40" s="314">
        <f t="shared" si="6"/>
        <v>52281.599999999999</v>
      </c>
      <c r="F40" s="314">
        <f t="shared" si="6"/>
        <v>69585.600000000006</v>
      </c>
      <c r="G40" s="314">
        <f t="shared" si="6"/>
        <v>81121.600000000006</v>
      </c>
      <c r="H40" s="314">
        <f t="shared" si="6"/>
        <v>92127.755999999994</v>
      </c>
      <c r="I40" s="22"/>
      <c r="J40" s="26"/>
      <c r="K40" s="1"/>
      <c r="L40" s="1"/>
      <c r="M40" s="1"/>
      <c r="N40" s="1"/>
      <c r="O40" s="1"/>
      <c r="P40" s="1"/>
      <c r="Q40" s="1"/>
      <c r="R40" s="1"/>
      <c r="S40" s="1"/>
    </row>
    <row r="41" spans="2:19" s="4" customFormat="1" ht="6" customHeight="1" thickTop="1" x14ac:dyDescent="0.25">
      <c r="B41" s="23"/>
      <c r="C41" s="1"/>
      <c r="D41" s="18"/>
      <c r="E41" s="18"/>
      <c r="F41" s="18"/>
      <c r="G41" s="18"/>
      <c r="H41" s="18"/>
      <c r="I41" s="22"/>
      <c r="J41" s="26"/>
      <c r="K41" s="1"/>
      <c r="L41" s="1"/>
      <c r="M41" s="1"/>
      <c r="N41" s="1"/>
      <c r="O41" s="1"/>
      <c r="P41" s="1"/>
      <c r="Q41" s="1"/>
      <c r="R41" s="1"/>
      <c r="S41" s="1"/>
    </row>
    <row r="42" spans="2:19" s="4" customFormat="1" ht="15" customHeight="1" x14ac:dyDescent="0.25">
      <c r="B42" s="21" t="str">
        <f>'State &amp; Fed Rev'!C35</f>
        <v>6000 - FEDERAL REVENUE - SPECIAL PURPOSE</v>
      </c>
      <c r="C42" s="1"/>
      <c r="D42" s="18"/>
      <c r="E42" s="18"/>
      <c r="F42" s="18"/>
      <c r="G42" s="18"/>
      <c r="H42" s="18"/>
      <c r="I42" s="22"/>
      <c r="J42" s="26"/>
      <c r="K42" s="1"/>
      <c r="L42" s="1"/>
      <c r="M42" s="1"/>
      <c r="N42" s="1"/>
      <c r="O42" s="1"/>
      <c r="P42" s="1"/>
      <c r="Q42" s="1"/>
      <c r="R42" s="1"/>
      <c r="S42" s="1"/>
    </row>
    <row r="43" spans="2:19" s="4" customFormat="1" ht="15" customHeight="1" x14ac:dyDescent="0.25">
      <c r="B43" s="23" t="str">
        <f>'State &amp; Fed Rev'!C37</f>
        <v xml:space="preserve">6198 - School Food Services     </v>
      </c>
      <c r="C43" s="1"/>
      <c r="D43" s="25">
        <v>45748.800000000003</v>
      </c>
      <c r="E43" s="25">
        <v>68623.199999999997</v>
      </c>
      <c r="F43" s="25">
        <v>91497.600000000006</v>
      </c>
      <c r="G43" s="25">
        <v>106747.2</v>
      </c>
      <c r="H43" s="25">
        <v>121291.50600000001</v>
      </c>
      <c r="I43" s="22"/>
      <c r="J43" s="26" t="s">
        <v>141</v>
      </c>
      <c r="K43" s="1"/>
      <c r="L43" s="1"/>
      <c r="M43" s="1"/>
      <c r="N43" s="1"/>
      <c r="O43" s="1"/>
      <c r="P43" s="1"/>
      <c r="Q43" s="1"/>
      <c r="R43" s="1"/>
      <c r="S43" s="1"/>
    </row>
    <row r="44" spans="2:19" s="4" customFormat="1" ht="15" customHeight="1" x14ac:dyDescent="0.25">
      <c r="B44" s="23" t="str">
        <f>'State &amp; Fed Rev'!C36</f>
        <v>CSP</v>
      </c>
      <c r="C44" s="1"/>
      <c r="D44" s="25">
        <v>174240</v>
      </c>
      <c r="E44" s="25">
        <v>380000</v>
      </c>
      <c r="F44" s="25">
        <v>300000</v>
      </c>
      <c r="G44" s="25">
        <v>220000</v>
      </c>
      <c r="H44" s="25">
        <v>0</v>
      </c>
      <c r="I44" s="22"/>
      <c r="J44" s="26"/>
      <c r="K44" s="1"/>
      <c r="L44" s="1"/>
      <c r="M44" s="1"/>
      <c r="N44" s="1"/>
      <c r="O44" s="1"/>
      <c r="P44" s="1"/>
      <c r="Q44" s="1"/>
      <c r="R44" s="1"/>
      <c r="S44" s="1"/>
    </row>
    <row r="45" spans="2:19" s="4" customFormat="1" ht="15" customHeight="1" thickBot="1" x14ac:dyDescent="0.3">
      <c r="B45" s="21" t="str">
        <f>"TOTAL "&amp;B42</f>
        <v>TOTAL 6000 - FEDERAL REVENUE - SPECIAL PURPOSE</v>
      </c>
      <c r="C45" s="1"/>
      <c r="D45" s="314">
        <f t="shared" ref="D45:H45" si="7">SUM(D43:D44)</f>
        <v>219988.8</v>
      </c>
      <c r="E45" s="314">
        <f t="shared" si="7"/>
        <v>448623.2</v>
      </c>
      <c r="F45" s="314">
        <f t="shared" si="7"/>
        <v>391497.6</v>
      </c>
      <c r="G45" s="314">
        <f t="shared" si="7"/>
        <v>326747.2</v>
      </c>
      <c r="H45" s="314">
        <f t="shared" si="7"/>
        <v>121291.50600000001</v>
      </c>
      <c r="I45" s="22"/>
      <c r="J45" s="26"/>
      <c r="K45" s="1"/>
      <c r="L45" s="1"/>
      <c r="M45" s="1"/>
      <c r="N45" s="1"/>
      <c r="O45" s="1"/>
      <c r="P45" s="1"/>
      <c r="Q45" s="1"/>
      <c r="R45" s="1"/>
      <c r="S45" s="1"/>
    </row>
    <row r="46" spans="2:19" s="4" customFormat="1" ht="6" customHeight="1" thickTop="1" x14ac:dyDescent="0.25">
      <c r="B46" s="23"/>
      <c r="C46" s="1"/>
      <c r="D46" s="18"/>
      <c r="E46" s="18"/>
      <c r="F46" s="18"/>
      <c r="G46" s="18"/>
      <c r="H46" s="18"/>
      <c r="I46" s="22"/>
      <c r="J46" s="26"/>
      <c r="K46" s="1"/>
      <c r="L46" s="1"/>
      <c r="M46" s="1"/>
      <c r="N46" s="1"/>
      <c r="O46" s="1"/>
      <c r="P46" s="1"/>
      <c r="Q46" s="1"/>
      <c r="R46" s="1"/>
      <c r="S46" s="1"/>
    </row>
    <row r="47" spans="2:19" s="4" customFormat="1" ht="15" customHeight="1" x14ac:dyDescent="0.25">
      <c r="B47" s="21" t="str">
        <f>'Local &amp; Pvt Rev'!C9</f>
        <v>8000 - OTHER ENTITIES</v>
      </c>
      <c r="C47" s="1"/>
      <c r="D47" s="18"/>
      <c r="E47" s="18"/>
      <c r="F47" s="18"/>
      <c r="G47" s="18"/>
      <c r="H47" s="18"/>
      <c r="I47" s="22"/>
      <c r="J47" s="26"/>
      <c r="K47" s="1"/>
      <c r="L47" s="1"/>
      <c r="M47" s="1"/>
      <c r="N47" s="1"/>
      <c r="O47" s="1"/>
      <c r="P47" s="1"/>
      <c r="Q47" s="1"/>
      <c r="R47" s="1"/>
      <c r="S47" s="1"/>
    </row>
    <row r="48" spans="2:19" s="4" customFormat="1" ht="15" customHeight="1" x14ac:dyDescent="0.25">
      <c r="B48" s="23" t="str">
        <f>'Local &amp; Pvt Rev'!C10</f>
        <v xml:space="preserve">8100 - Governmental Entities      </v>
      </c>
      <c r="C48" s="1"/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2"/>
      <c r="J48" s="26"/>
      <c r="K48" s="1"/>
      <c r="L48" s="1"/>
      <c r="M48" s="1"/>
      <c r="N48" s="1"/>
      <c r="O48" s="1"/>
      <c r="P48" s="1"/>
      <c r="Q48" s="1"/>
      <c r="R48" s="1"/>
      <c r="S48" s="1"/>
    </row>
    <row r="49" spans="2:19" s="4" customFormat="1" ht="15" customHeight="1" x14ac:dyDescent="0.25">
      <c r="B49" s="23" t="str">
        <f>'Local &amp; Pvt Rev'!C11</f>
        <v xml:space="preserve">8200 - Private Foundations  </v>
      </c>
      <c r="C49" s="1"/>
      <c r="D49" s="25">
        <v>468500</v>
      </c>
      <c r="E49" s="25">
        <v>216000</v>
      </c>
      <c r="F49" s="25">
        <v>192000</v>
      </c>
      <c r="G49" s="25">
        <v>0</v>
      </c>
      <c r="H49" s="25">
        <v>0</v>
      </c>
      <c r="I49" s="22"/>
      <c r="J49" s="43" t="s">
        <v>142</v>
      </c>
      <c r="K49" s="1"/>
      <c r="L49" s="1"/>
      <c r="M49" s="1"/>
      <c r="N49" s="1"/>
      <c r="O49" s="1"/>
      <c r="P49" s="1"/>
      <c r="Q49" s="1"/>
      <c r="R49" s="1"/>
      <c r="S49" s="1"/>
    </row>
    <row r="50" spans="2:19" s="4" customFormat="1" ht="15" customHeight="1" thickBot="1" x14ac:dyDescent="0.3">
      <c r="B50" s="21" t="str">
        <f>"TOTAL "&amp;B47</f>
        <v>TOTAL 8000 - OTHER ENTITIES</v>
      </c>
      <c r="C50" s="1"/>
      <c r="D50" s="314">
        <f>SUM(D48:D49)</f>
        <v>468500</v>
      </c>
      <c r="E50" s="314">
        <f t="shared" ref="E50:H50" si="8">SUM(E48:E49)</f>
        <v>216000</v>
      </c>
      <c r="F50" s="314">
        <f t="shared" si="8"/>
        <v>192000</v>
      </c>
      <c r="G50" s="314">
        <f t="shared" si="8"/>
        <v>0</v>
      </c>
      <c r="H50" s="314">
        <f t="shared" si="8"/>
        <v>0</v>
      </c>
      <c r="I50" s="22"/>
      <c r="J50" s="26"/>
      <c r="K50" s="1"/>
      <c r="L50" s="1"/>
      <c r="M50" s="1"/>
      <c r="N50" s="1"/>
      <c r="O50" s="1"/>
      <c r="P50" s="1"/>
      <c r="Q50" s="1"/>
      <c r="R50" s="1"/>
      <c r="S50" s="1"/>
    </row>
    <row r="51" spans="2:19" s="4" customFormat="1" ht="6" customHeight="1" thickTop="1" x14ac:dyDescent="0.25">
      <c r="B51" s="23"/>
      <c r="C51" s="1"/>
      <c r="D51" s="18"/>
      <c r="E51" s="18"/>
      <c r="F51" s="18"/>
      <c r="G51" s="18"/>
      <c r="H51" s="18"/>
      <c r="I51" s="22"/>
      <c r="J51" s="26"/>
      <c r="K51" s="1"/>
      <c r="L51" s="1"/>
      <c r="M51" s="1"/>
      <c r="N51" s="1"/>
      <c r="O51" s="1"/>
      <c r="P51" s="1"/>
      <c r="Q51" s="1"/>
      <c r="R51" s="1"/>
      <c r="S51" s="1"/>
    </row>
    <row r="52" spans="2:19" s="4" customFormat="1" ht="15" customHeight="1" x14ac:dyDescent="0.25">
      <c r="B52" s="21" t="str">
        <f>'Local &amp; Pvt Rev'!C19</f>
        <v>9000 - OTHER FINANCING SOURCES</v>
      </c>
      <c r="C52" s="1"/>
      <c r="D52" s="18"/>
      <c r="E52" s="18"/>
      <c r="F52" s="18"/>
      <c r="G52" s="18"/>
      <c r="H52" s="18"/>
      <c r="I52" s="22"/>
      <c r="J52" s="26"/>
      <c r="K52" s="1"/>
      <c r="L52" s="1"/>
      <c r="M52" s="1"/>
      <c r="N52" s="1"/>
      <c r="O52" s="1"/>
      <c r="P52" s="1"/>
      <c r="Q52" s="1"/>
      <c r="R52" s="1"/>
      <c r="S52" s="1"/>
    </row>
    <row r="53" spans="2:19" s="4" customFormat="1" ht="15" customHeight="1" x14ac:dyDescent="0.25">
      <c r="B53" s="23" t="str">
        <f>'Local &amp; Pvt Rev'!C20</f>
        <v xml:space="preserve">9500 - Long-Term Financing      </v>
      </c>
      <c r="C53" s="1"/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2"/>
      <c r="J53" s="26"/>
      <c r="K53" s="1"/>
      <c r="L53" s="1"/>
      <c r="M53" s="1"/>
      <c r="N53" s="1"/>
      <c r="O53" s="1"/>
      <c r="P53" s="1"/>
      <c r="Q53" s="1"/>
      <c r="R53" s="1"/>
      <c r="S53" s="1"/>
    </row>
    <row r="54" spans="2:19" s="4" customFormat="1" ht="15" customHeight="1" thickBot="1" x14ac:dyDescent="0.3">
      <c r="B54" s="21" t="str">
        <f>"TOTAL "&amp;B52</f>
        <v>TOTAL 9000 - OTHER FINANCING SOURCES</v>
      </c>
      <c r="C54" s="1"/>
      <c r="D54" s="315">
        <f>+D53</f>
        <v>0</v>
      </c>
      <c r="E54" s="315">
        <f t="shared" ref="E54:H54" si="9">+E53</f>
        <v>0</v>
      </c>
      <c r="F54" s="315">
        <f t="shared" si="9"/>
        <v>0</v>
      </c>
      <c r="G54" s="315">
        <f t="shared" si="9"/>
        <v>0</v>
      </c>
      <c r="H54" s="315">
        <f t="shared" si="9"/>
        <v>0</v>
      </c>
      <c r="I54" s="22"/>
      <c r="J54" s="26"/>
      <c r="K54" s="1"/>
      <c r="L54" s="1"/>
      <c r="M54" s="1"/>
      <c r="N54" s="1"/>
      <c r="O54" s="1"/>
      <c r="P54" s="1"/>
      <c r="Q54" s="1"/>
      <c r="R54" s="1"/>
      <c r="S54" s="1"/>
    </row>
    <row r="55" spans="2:19" s="4" customFormat="1" ht="6" customHeight="1" thickTop="1" x14ac:dyDescent="0.25">
      <c r="B55" s="21"/>
      <c r="C55" s="2"/>
      <c r="D55" s="316"/>
      <c r="E55" s="316"/>
      <c r="F55" s="316"/>
      <c r="G55" s="316"/>
      <c r="H55" s="316"/>
      <c r="I55" s="20"/>
      <c r="J55" s="26"/>
      <c r="K55" s="1"/>
      <c r="L55" s="1"/>
      <c r="M55" s="1"/>
      <c r="N55" s="1"/>
      <c r="O55" s="1"/>
      <c r="P55" s="1"/>
      <c r="Q55" s="1"/>
      <c r="R55" s="1"/>
      <c r="S55" s="1"/>
    </row>
    <row r="56" spans="2:19" s="4" customFormat="1" ht="15" customHeight="1" thickBot="1" x14ac:dyDescent="0.3">
      <c r="B56" s="34" t="s">
        <v>30</v>
      </c>
      <c r="C56" s="2"/>
      <c r="D56" s="64">
        <f t="shared" ref="D56:H56" si="10">SUM(D19,D24,D33,D40,D45,D50,D54)</f>
        <v>2034072.8896863486</v>
      </c>
      <c r="E56" s="64">
        <f t="shared" si="10"/>
        <v>2634417.4813735811</v>
      </c>
      <c r="F56" s="64">
        <f t="shared" si="10"/>
        <v>3009534.4644437949</v>
      </c>
      <c r="G56" s="64">
        <f t="shared" si="10"/>
        <v>3146473.9775152341</v>
      </c>
      <c r="H56" s="64">
        <f t="shared" si="10"/>
        <v>4574146.508191959</v>
      </c>
      <c r="I56" s="20"/>
      <c r="J56" s="26"/>
      <c r="K56" s="1"/>
      <c r="L56" s="1"/>
      <c r="M56" s="1"/>
      <c r="N56" s="1"/>
      <c r="O56" s="1"/>
      <c r="P56" s="1"/>
      <c r="Q56" s="1"/>
      <c r="R56" s="1"/>
      <c r="S56" s="1"/>
    </row>
    <row r="57" spans="2:19" s="4" customFormat="1" ht="15" customHeight="1" thickTop="1" x14ac:dyDescent="0.25">
      <c r="B57" s="35"/>
      <c r="C57" s="2"/>
      <c r="D57" s="65"/>
      <c r="E57" s="65"/>
      <c r="F57" s="65"/>
      <c r="G57" s="65"/>
      <c r="H57" s="65"/>
      <c r="I57" s="20"/>
      <c r="J57" s="26"/>
      <c r="K57" s="1"/>
      <c r="L57" s="1"/>
      <c r="M57" s="1"/>
      <c r="N57" s="1"/>
      <c r="O57" s="1"/>
      <c r="P57" s="1"/>
      <c r="Q57" s="1"/>
      <c r="R57" s="1"/>
      <c r="S57" s="1"/>
    </row>
    <row r="58" spans="2:19" s="4" customFormat="1" ht="15" customHeight="1" x14ac:dyDescent="0.25">
      <c r="B58" s="36" t="str">
        <f>'Expense Assumptions'!C2</f>
        <v>EXPENSES</v>
      </c>
      <c r="C58" s="2"/>
      <c r="D58" s="65"/>
      <c r="E58" s="65"/>
      <c r="F58" s="65"/>
      <c r="G58" s="65"/>
      <c r="H58" s="65"/>
      <c r="I58" s="20"/>
      <c r="J58" s="26"/>
      <c r="K58" s="1"/>
      <c r="L58" s="1"/>
      <c r="M58" s="1"/>
      <c r="N58" s="1"/>
      <c r="O58" s="1"/>
      <c r="P58" s="1"/>
      <c r="Q58" s="1"/>
      <c r="R58" s="1"/>
      <c r="S58" s="1"/>
    </row>
    <row r="59" spans="2:19" s="4" customFormat="1" ht="15" customHeight="1" x14ac:dyDescent="0.25">
      <c r="B59" s="21" t="s">
        <v>33</v>
      </c>
      <c r="C59" s="2"/>
      <c r="D59" s="65"/>
      <c r="E59" s="65"/>
      <c r="F59" s="65"/>
      <c r="G59" s="65"/>
      <c r="H59" s="65"/>
      <c r="I59" s="20"/>
      <c r="J59" s="26"/>
      <c r="K59" s="1"/>
      <c r="L59" s="1"/>
      <c r="M59" s="1"/>
      <c r="N59" s="1"/>
      <c r="O59" s="1"/>
      <c r="P59" s="1"/>
      <c r="Q59" s="1"/>
      <c r="R59" s="1"/>
      <c r="S59" s="1"/>
    </row>
    <row r="60" spans="2:19" s="4" customFormat="1" ht="15" customHeight="1" x14ac:dyDescent="0.25">
      <c r="B60" s="37" t="s">
        <v>34</v>
      </c>
      <c r="C60" s="2"/>
      <c r="D60" s="66">
        <v>90000</v>
      </c>
      <c r="E60" s="66">
        <v>92700</v>
      </c>
      <c r="F60" s="66">
        <v>95481</v>
      </c>
      <c r="G60" s="66">
        <v>98345.43</v>
      </c>
      <c r="H60" s="66">
        <v>101295.79289999999</v>
      </c>
      <c r="I60" s="20"/>
      <c r="J60" s="26"/>
      <c r="K60" s="1"/>
      <c r="L60" s="1"/>
      <c r="M60" s="1"/>
      <c r="N60" s="1"/>
      <c r="O60" s="1"/>
      <c r="P60" s="1"/>
      <c r="Q60" s="1"/>
      <c r="R60" s="1"/>
      <c r="S60" s="1"/>
    </row>
    <row r="61" spans="2:19" s="4" customFormat="1" ht="15" customHeight="1" x14ac:dyDescent="0.25">
      <c r="B61" s="37" t="s">
        <v>36</v>
      </c>
      <c r="C61" s="2"/>
      <c r="D61" s="66">
        <v>80000</v>
      </c>
      <c r="E61" s="66">
        <v>82400</v>
      </c>
      <c r="F61" s="66">
        <v>84872</v>
      </c>
      <c r="G61" s="66">
        <v>87418.16</v>
      </c>
      <c r="H61" s="66">
        <v>145040.70480000001</v>
      </c>
      <c r="I61" s="20"/>
      <c r="J61" s="26"/>
      <c r="K61" s="1"/>
      <c r="L61" s="1"/>
      <c r="M61" s="1"/>
      <c r="N61" s="1"/>
      <c r="O61" s="1"/>
      <c r="P61" s="1"/>
      <c r="Q61" s="1"/>
      <c r="R61" s="1"/>
      <c r="S61" s="1"/>
    </row>
    <row r="62" spans="2:19" s="4" customFormat="1" ht="15" customHeight="1" x14ac:dyDescent="0.25">
      <c r="B62" s="37" t="s">
        <v>38</v>
      </c>
      <c r="C62" s="2"/>
      <c r="D62" s="66">
        <v>0</v>
      </c>
      <c r="E62" s="66">
        <v>0</v>
      </c>
      <c r="F62" s="66">
        <v>0</v>
      </c>
      <c r="G62" s="66">
        <v>0</v>
      </c>
      <c r="H62" s="66">
        <v>80000</v>
      </c>
      <c r="I62" s="20"/>
      <c r="J62" s="26"/>
      <c r="K62" s="1"/>
      <c r="L62" s="1"/>
      <c r="M62" s="1"/>
      <c r="N62" s="1"/>
      <c r="O62" s="1"/>
      <c r="P62" s="1"/>
      <c r="Q62" s="1"/>
      <c r="R62" s="1"/>
      <c r="S62" s="1"/>
    </row>
    <row r="63" spans="2:19" s="4" customFormat="1" ht="15" customHeight="1" x14ac:dyDescent="0.25">
      <c r="B63" s="37" t="s">
        <v>39</v>
      </c>
      <c r="C63" s="2"/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20"/>
      <c r="J63" s="26"/>
      <c r="K63" s="1"/>
      <c r="L63" s="1"/>
      <c r="M63" s="1"/>
      <c r="N63" s="1"/>
      <c r="O63" s="1"/>
      <c r="P63" s="1"/>
      <c r="Q63" s="1"/>
      <c r="R63" s="1"/>
      <c r="S63" s="1"/>
    </row>
    <row r="64" spans="2:19" s="4" customFormat="1" ht="15" customHeight="1" x14ac:dyDescent="0.25">
      <c r="B64" s="37" t="s">
        <v>41</v>
      </c>
      <c r="C64" s="2"/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20"/>
      <c r="J64" s="26"/>
      <c r="K64" s="1"/>
      <c r="L64" s="1"/>
      <c r="M64" s="1"/>
      <c r="N64" s="1"/>
      <c r="O64" s="1"/>
      <c r="P64" s="1"/>
      <c r="Q64" s="1"/>
      <c r="R64" s="1"/>
      <c r="S64" s="1"/>
    </row>
    <row r="65" spans="2:19" s="4" customFormat="1" ht="15" customHeight="1" x14ac:dyDescent="0.25">
      <c r="B65" s="37" t="s">
        <v>143</v>
      </c>
      <c r="C65" s="2"/>
      <c r="D65" s="66">
        <v>40000</v>
      </c>
      <c r="E65" s="66">
        <v>41200</v>
      </c>
      <c r="F65" s="66">
        <v>42436</v>
      </c>
      <c r="G65" s="66">
        <v>43709.08</v>
      </c>
      <c r="H65" s="66">
        <v>45020.352400000003</v>
      </c>
      <c r="I65" s="20"/>
      <c r="J65" s="26"/>
      <c r="K65" s="1"/>
      <c r="L65" s="1"/>
      <c r="M65" s="1"/>
      <c r="N65" s="1"/>
      <c r="O65" s="1"/>
      <c r="P65" s="1"/>
      <c r="Q65" s="1"/>
      <c r="R65" s="1"/>
      <c r="S65" s="1"/>
    </row>
    <row r="66" spans="2:19" s="4" customFormat="1" ht="15" customHeight="1" x14ac:dyDescent="0.25">
      <c r="B66" s="37" t="s">
        <v>43</v>
      </c>
      <c r="C66" s="2"/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20"/>
      <c r="J66" s="26"/>
      <c r="K66" s="1"/>
      <c r="L66" s="1"/>
      <c r="M66" s="1"/>
      <c r="N66" s="1"/>
      <c r="O66" s="1"/>
      <c r="P66" s="1"/>
      <c r="Q66" s="1"/>
      <c r="R66" s="1"/>
      <c r="S66" s="1"/>
    </row>
    <row r="67" spans="2:19" s="4" customFormat="1" ht="15" customHeight="1" thickBot="1" x14ac:dyDescent="0.3">
      <c r="B67" s="21" t="s">
        <v>44</v>
      </c>
      <c r="C67" s="2"/>
      <c r="D67" s="315">
        <f t="shared" ref="D67:H67" si="11">SUM(D60:D66)</f>
        <v>210000</v>
      </c>
      <c r="E67" s="315">
        <f t="shared" si="11"/>
        <v>216300</v>
      </c>
      <c r="F67" s="315">
        <f t="shared" si="11"/>
        <v>222789</v>
      </c>
      <c r="G67" s="315">
        <f t="shared" si="11"/>
        <v>229472.66999999998</v>
      </c>
      <c r="H67" s="315">
        <f t="shared" si="11"/>
        <v>371356.85010000004</v>
      </c>
      <c r="I67" s="20"/>
      <c r="J67" s="26"/>
      <c r="K67" s="1"/>
      <c r="L67" s="1"/>
      <c r="M67" s="1"/>
      <c r="N67" s="1"/>
      <c r="O67" s="1"/>
      <c r="P67" s="1"/>
      <c r="Q67" s="1"/>
      <c r="R67" s="1"/>
      <c r="S67" s="1"/>
    </row>
    <row r="68" spans="2:19" s="4" customFormat="1" ht="6" customHeight="1" thickTop="1" x14ac:dyDescent="0.25">
      <c r="B68" s="21"/>
      <c r="C68" s="2"/>
      <c r="D68" s="67"/>
      <c r="E68" s="67"/>
      <c r="F68" s="67"/>
      <c r="G68" s="67"/>
      <c r="H68" s="67"/>
      <c r="I68" s="20"/>
      <c r="J68" s="26"/>
      <c r="K68" s="1"/>
      <c r="L68" s="1"/>
      <c r="M68" s="1"/>
      <c r="N68" s="1"/>
      <c r="O68" s="1"/>
      <c r="P68" s="1"/>
      <c r="Q68" s="1"/>
      <c r="R68" s="1"/>
      <c r="S68" s="1"/>
    </row>
    <row r="69" spans="2:19" s="4" customFormat="1" ht="15" customHeight="1" x14ac:dyDescent="0.25">
      <c r="B69" s="21" t="s">
        <v>45</v>
      </c>
      <c r="C69" s="2"/>
      <c r="D69" s="66"/>
      <c r="E69" s="66"/>
      <c r="F69" s="66"/>
      <c r="G69" s="66"/>
      <c r="H69" s="66"/>
      <c r="I69" s="20"/>
      <c r="J69" s="26"/>
      <c r="K69" s="1"/>
      <c r="L69" s="1"/>
      <c r="M69" s="1"/>
      <c r="N69" s="1"/>
      <c r="O69" s="1"/>
      <c r="P69" s="1"/>
      <c r="Q69" s="1"/>
      <c r="R69" s="1"/>
      <c r="S69" s="1"/>
    </row>
    <row r="70" spans="2:19" s="4" customFormat="1" ht="15" customHeight="1" x14ac:dyDescent="0.25">
      <c r="B70" s="37" t="s">
        <v>46</v>
      </c>
      <c r="C70" s="2"/>
      <c r="D70" s="66">
        <v>236000</v>
      </c>
      <c r="E70" s="66">
        <v>347080</v>
      </c>
      <c r="F70" s="66">
        <v>565492.39999999991</v>
      </c>
      <c r="G70" s="66">
        <v>634457.17200000002</v>
      </c>
      <c r="H70" s="66">
        <v>705490.88716000004</v>
      </c>
      <c r="I70" s="20"/>
      <c r="J70" s="26"/>
      <c r="K70" s="1"/>
      <c r="L70" s="1"/>
      <c r="M70" s="1"/>
      <c r="N70" s="1"/>
      <c r="O70" s="1"/>
      <c r="P70" s="1"/>
      <c r="Q70" s="1"/>
      <c r="R70" s="1"/>
      <c r="S70" s="1"/>
    </row>
    <row r="71" spans="2:19" s="4" customFormat="1" ht="15" customHeight="1" x14ac:dyDescent="0.25">
      <c r="B71" s="37" t="s">
        <v>48</v>
      </c>
      <c r="C71" s="2"/>
      <c r="D71" s="66">
        <v>63000</v>
      </c>
      <c r="E71" s="66">
        <v>64890</v>
      </c>
      <c r="F71" s="66">
        <v>66836.7</v>
      </c>
      <c r="G71" s="66">
        <v>96341.800999999992</v>
      </c>
      <c r="H71" s="66">
        <v>126732.05502999999</v>
      </c>
      <c r="I71" s="20"/>
      <c r="J71" s="26"/>
      <c r="K71" s="1"/>
      <c r="L71" s="1"/>
      <c r="M71" s="1"/>
      <c r="N71" s="1"/>
      <c r="O71" s="1"/>
      <c r="P71" s="1"/>
      <c r="Q71" s="1"/>
      <c r="R71" s="1"/>
      <c r="S71" s="1"/>
    </row>
    <row r="72" spans="2:19" s="4" customFormat="1" ht="15" customHeight="1" x14ac:dyDescent="0.25">
      <c r="B72" s="37" t="s">
        <v>49</v>
      </c>
      <c r="C72" s="2"/>
      <c r="D72" s="66">
        <v>84000</v>
      </c>
      <c r="E72" s="66">
        <v>142520</v>
      </c>
      <c r="F72" s="66">
        <v>202795.6</v>
      </c>
      <c r="G72" s="66">
        <v>208879.46799999999</v>
      </c>
      <c r="H72" s="66">
        <v>243145.85204</v>
      </c>
      <c r="I72" s="20"/>
      <c r="J72" s="26"/>
      <c r="K72" s="1"/>
      <c r="L72" s="1"/>
      <c r="M72" s="1"/>
      <c r="N72" s="1"/>
      <c r="O72" s="1"/>
      <c r="P72" s="1"/>
      <c r="Q72" s="1"/>
      <c r="R72" s="1"/>
      <c r="S72" s="1"/>
    </row>
    <row r="73" spans="2:19" s="4" customFormat="1" ht="15" customHeight="1" x14ac:dyDescent="0.25">
      <c r="B73" s="37" t="s">
        <v>50</v>
      </c>
      <c r="C73" s="2"/>
      <c r="D73" s="66">
        <v>0</v>
      </c>
      <c r="E73" s="66">
        <v>0</v>
      </c>
      <c r="F73" s="66">
        <v>0</v>
      </c>
      <c r="G73" s="66">
        <v>52000</v>
      </c>
      <c r="H73" s="66">
        <v>79560</v>
      </c>
      <c r="I73" s="20"/>
      <c r="J73" s="26"/>
      <c r="K73" s="1"/>
      <c r="L73" s="1"/>
      <c r="M73" s="1"/>
      <c r="N73" s="1"/>
      <c r="O73" s="1"/>
      <c r="P73" s="1"/>
      <c r="Q73" s="1"/>
      <c r="R73" s="1"/>
      <c r="S73" s="1"/>
    </row>
    <row r="74" spans="2:19" s="4" customFormat="1" ht="15" customHeight="1" x14ac:dyDescent="0.25">
      <c r="B74" s="37" t="s">
        <v>51</v>
      </c>
      <c r="C74" s="2"/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20"/>
      <c r="J74" s="26"/>
      <c r="K74" s="1"/>
      <c r="L74" s="1"/>
      <c r="M74" s="1"/>
      <c r="N74" s="1"/>
      <c r="O74" s="1"/>
      <c r="P74" s="1"/>
      <c r="Q74" s="1"/>
      <c r="R74" s="1"/>
      <c r="S74" s="1"/>
    </row>
    <row r="75" spans="2:19" s="4" customFormat="1" ht="15" customHeight="1" x14ac:dyDescent="0.25">
      <c r="B75" s="37" t="s">
        <v>52</v>
      </c>
      <c r="C75" s="2"/>
      <c r="D75" s="66">
        <v>0</v>
      </c>
      <c r="E75" s="66">
        <v>0</v>
      </c>
      <c r="F75" s="66">
        <v>0</v>
      </c>
      <c r="G75" s="66">
        <v>50000</v>
      </c>
      <c r="H75" s="66">
        <v>101500</v>
      </c>
      <c r="I75" s="20"/>
      <c r="J75" s="26"/>
      <c r="K75" s="1"/>
      <c r="L75" s="1"/>
      <c r="M75" s="1"/>
      <c r="N75" s="1"/>
      <c r="O75" s="1"/>
      <c r="P75" s="1"/>
      <c r="Q75" s="1"/>
      <c r="R75" s="1"/>
      <c r="S75" s="1"/>
    </row>
    <row r="76" spans="2:19" s="4" customFormat="1" ht="15" customHeight="1" x14ac:dyDescent="0.25">
      <c r="B76" s="37" t="s">
        <v>53</v>
      </c>
      <c r="C76" s="2"/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20"/>
      <c r="J76" s="26"/>
      <c r="K76" s="1"/>
      <c r="L76" s="1"/>
      <c r="M76" s="1"/>
      <c r="N76" s="1"/>
      <c r="O76" s="1"/>
      <c r="P76" s="1"/>
      <c r="Q76" s="1"/>
      <c r="R76" s="1"/>
      <c r="S76" s="1"/>
    </row>
    <row r="77" spans="2:19" s="4" customFormat="1" ht="15" customHeight="1" thickBot="1" x14ac:dyDescent="0.3">
      <c r="B77" s="21" t="s">
        <v>54</v>
      </c>
      <c r="C77" s="2"/>
      <c r="D77" s="315">
        <f t="shared" ref="D77:H77" si="12">SUM(D70:D76)</f>
        <v>383000</v>
      </c>
      <c r="E77" s="315">
        <f t="shared" si="12"/>
        <v>554490</v>
      </c>
      <c r="F77" s="315">
        <f t="shared" si="12"/>
        <v>835124.69999999984</v>
      </c>
      <c r="G77" s="315">
        <f t="shared" si="12"/>
        <v>1041678.441</v>
      </c>
      <c r="H77" s="315">
        <f t="shared" si="12"/>
        <v>1256428.7942300001</v>
      </c>
      <c r="I77" s="20"/>
      <c r="J77" s="26"/>
      <c r="K77" s="1"/>
      <c r="L77" s="1"/>
      <c r="M77" s="1"/>
      <c r="N77" s="1"/>
      <c r="O77" s="1"/>
      <c r="P77" s="1"/>
      <c r="Q77" s="1"/>
      <c r="R77" s="1"/>
      <c r="S77" s="1"/>
    </row>
    <row r="78" spans="2:19" s="4" customFormat="1" ht="6" customHeight="1" thickTop="1" x14ac:dyDescent="0.25">
      <c r="B78" s="21"/>
      <c r="C78" s="2"/>
      <c r="D78" s="67"/>
      <c r="E78" s="67"/>
      <c r="F78" s="67"/>
      <c r="G78" s="67"/>
      <c r="H78" s="67"/>
      <c r="I78" s="20"/>
      <c r="J78" s="26"/>
      <c r="K78" s="1"/>
      <c r="L78" s="1"/>
      <c r="M78" s="1"/>
      <c r="N78" s="1"/>
      <c r="O78" s="1"/>
      <c r="P78" s="1"/>
      <c r="Q78" s="1"/>
      <c r="R78" s="1"/>
      <c r="S78" s="1"/>
    </row>
    <row r="79" spans="2:19" s="4" customFormat="1" ht="15" customHeight="1" x14ac:dyDescent="0.25">
      <c r="B79" s="21" t="s">
        <v>55</v>
      </c>
      <c r="C79" s="2"/>
      <c r="D79" s="66"/>
      <c r="E79" s="66"/>
      <c r="F79" s="66"/>
      <c r="G79" s="66"/>
      <c r="H79" s="66"/>
      <c r="I79" s="20"/>
      <c r="J79" s="26"/>
      <c r="K79" s="1"/>
      <c r="L79" s="1"/>
      <c r="M79" s="1"/>
      <c r="N79" s="1"/>
      <c r="O79" s="1"/>
      <c r="P79" s="1"/>
      <c r="Q79" s="1"/>
      <c r="R79" s="1"/>
      <c r="S79" s="1"/>
    </row>
    <row r="80" spans="2:19" s="4" customFormat="1" ht="15" customHeight="1" x14ac:dyDescent="0.25">
      <c r="B80" s="23" t="s">
        <v>56</v>
      </c>
      <c r="C80" s="2"/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20"/>
      <c r="J80" s="26"/>
      <c r="K80" s="1"/>
      <c r="L80" s="1"/>
      <c r="M80" s="1"/>
      <c r="N80" s="1"/>
      <c r="O80" s="1"/>
      <c r="P80" s="1"/>
      <c r="Q80" s="1"/>
      <c r="R80" s="1"/>
      <c r="S80" s="1"/>
    </row>
    <row r="81" spans="2:19" s="4" customFormat="1" ht="15" customHeight="1" x14ac:dyDescent="0.25">
      <c r="B81" s="23" t="s">
        <v>57</v>
      </c>
      <c r="C81" s="2"/>
      <c r="D81" s="66">
        <v>0</v>
      </c>
      <c r="E81" s="66">
        <v>0</v>
      </c>
      <c r="F81" s="66">
        <v>0</v>
      </c>
      <c r="G81" s="66">
        <v>0</v>
      </c>
      <c r="H81" s="66">
        <v>0</v>
      </c>
      <c r="I81" s="20"/>
      <c r="J81" s="26"/>
      <c r="K81" s="1"/>
      <c r="L81" s="1"/>
      <c r="M81" s="1"/>
      <c r="N81" s="1"/>
      <c r="O81" s="1"/>
      <c r="P81" s="1"/>
      <c r="Q81" s="1"/>
      <c r="R81" s="1"/>
      <c r="S81" s="1"/>
    </row>
    <row r="82" spans="2:19" s="4" customFormat="1" ht="15" customHeight="1" x14ac:dyDescent="0.25">
      <c r="B82" s="23" t="s">
        <v>58</v>
      </c>
      <c r="C82" s="2"/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20"/>
      <c r="J82" s="26"/>
      <c r="K82" s="1"/>
      <c r="L82" s="1"/>
      <c r="M82" s="1"/>
      <c r="N82" s="1"/>
      <c r="O82" s="1"/>
      <c r="P82" s="1"/>
      <c r="Q82" s="1"/>
      <c r="R82" s="1"/>
      <c r="S82" s="1"/>
    </row>
    <row r="83" spans="2:19" s="4" customFormat="1" ht="15" customHeight="1" x14ac:dyDescent="0.25">
      <c r="B83" s="23" t="s">
        <v>59</v>
      </c>
      <c r="C83" s="2"/>
      <c r="D83" s="66">
        <v>0</v>
      </c>
      <c r="E83" s="66">
        <v>0</v>
      </c>
      <c r="F83" s="66">
        <v>0</v>
      </c>
      <c r="G83" s="66">
        <v>0</v>
      </c>
      <c r="H83" s="66">
        <v>0</v>
      </c>
      <c r="I83" s="20"/>
      <c r="J83" s="26"/>
      <c r="K83" s="1"/>
      <c r="L83" s="1"/>
      <c r="M83" s="1"/>
      <c r="N83" s="1"/>
      <c r="O83" s="1"/>
      <c r="P83" s="1"/>
      <c r="Q83" s="1"/>
      <c r="R83" s="1"/>
      <c r="S83" s="1"/>
    </row>
    <row r="84" spans="2:19" s="4" customFormat="1" ht="15" customHeight="1" x14ac:dyDescent="0.25">
      <c r="B84" s="23" t="s">
        <v>60</v>
      </c>
      <c r="C84" s="2"/>
      <c r="D84" s="66">
        <v>20000</v>
      </c>
      <c r="E84" s="66">
        <v>20600</v>
      </c>
      <c r="F84" s="66">
        <v>21218</v>
      </c>
      <c r="G84" s="66">
        <v>41854.54</v>
      </c>
      <c r="H84" s="66">
        <v>43110.176200000002</v>
      </c>
      <c r="I84" s="20"/>
      <c r="J84" s="26"/>
      <c r="K84" s="1"/>
      <c r="L84" s="1"/>
      <c r="M84" s="1"/>
      <c r="N84" s="1"/>
      <c r="O84" s="1"/>
      <c r="P84" s="1"/>
      <c r="Q84" s="1"/>
      <c r="R84" s="1"/>
      <c r="S84" s="1"/>
    </row>
    <row r="85" spans="2:19" s="4" customFormat="1" ht="15" customHeight="1" thickBot="1" x14ac:dyDescent="0.3">
      <c r="B85" s="21" t="s">
        <v>61</v>
      </c>
      <c r="C85" s="2"/>
      <c r="D85" s="315">
        <f t="shared" ref="D85:H85" si="13">SUM(D80:D84)</f>
        <v>20000</v>
      </c>
      <c r="E85" s="315">
        <f t="shared" si="13"/>
        <v>20600</v>
      </c>
      <c r="F85" s="315">
        <f t="shared" si="13"/>
        <v>21218</v>
      </c>
      <c r="G85" s="315">
        <f t="shared" si="13"/>
        <v>41854.54</v>
      </c>
      <c r="H85" s="315">
        <f t="shared" si="13"/>
        <v>43110.176200000002</v>
      </c>
      <c r="I85" s="20"/>
      <c r="J85" s="26"/>
      <c r="K85" s="1"/>
      <c r="L85" s="1"/>
      <c r="M85" s="1"/>
      <c r="N85" s="1"/>
      <c r="O85" s="1"/>
      <c r="P85" s="1"/>
      <c r="Q85" s="1"/>
      <c r="R85" s="1"/>
      <c r="S85" s="1"/>
    </row>
    <row r="86" spans="2:19" s="4" customFormat="1" ht="6" customHeight="1" thickTop="1" x14ac:dyDescent="0.25">
      <c r="B86" s="21"/>
      <c r="C86" s="2"/>
      <c r="D86" s="28"/>
      <c r="E86" s="28"/>
      <c r="F86" s="28"/>
      <c r="G86" s="28"/>
      <c r="H86" s="28"/>
      <c r="I86" s="20"/>
      <c r="J86" s="26"/>
      <c r="K86" s="1"/>
      <c r="L86" s="1"/>
      <c r="M86" s="1"/>
      <c r="N86" s="1"/>
      <c r="O86" s="1"/>
      <c r="P86" s="1"/>
      <c r="Q86" s="1"/>
      <c r="R86" s="1"/>
      <c r="S86" s="1"/>
    </row>
    <row r="87" spans="2:19" s="4" customFormat="1" ht="15" customHeight="1" thickBot="1" x14ac:dyDescent="0.3">
      <c r="B87" s="21" t="s">
        <v>62</v>
      </c>
      <c r="C87" s="2"/>
      <c r="D87" s="64">
        <f t="shared" ref="D87:H87" si="14">D67+D77+D85</f>
        <v>613000</v>
      </c>
      <c r="E87" s="64">
        <f t="shared" si="14"/>
        <v>791390</v>
      </c>
      <c r="F87" s="64">
        <f t="shared" si="14"/>
        <v>1079131.6999999997</v>
      </c>
      <c r="G87" s="64">
        <f t="shared" si="14"/>
        <v>1313005.6510000001</v>
      </c>
      <c r="H87" s="64">
        <f t="shared" si="14"/>
        <v>1670895.8205300001</v>
      </c>
      <c r="I87" s="20"/>
      <c r="J87" s="26"/>
      <c r="K87" s="1"/>
      <c r="L87" s="1"/>
      <c r="M87" s="1"/>
      <c r="N87" s="1"/>
      <c r="O87" s="1"/>
      <c r="P87" s="1"/>
      <c r="Q87" s="1"/>
      <c r="R87" s="1"/>
      <c r="S87" s="1"/>
    </row>
    <row r="88" spans="2:19" s="4" customFormat="1" ht="6" customHeight="1" thickTop="1" x14ac:dyDescent="0.25">
      <c r="B88" s="21"/>
      <c r="C88" s="2"/>
      <c r="D88" s="67"/>
      <c r="E88" s="67"/>
      <c r="F88" s="67"/>
      <c r="G88" s="67"/>
      <c r="H88" s="67"/>
      <c r="I88" s="20"/>
      <c r="J88" s="26"/>
      <c r="K88" s="1"/>
      <c r="L88" s="1"/>
      <c r="M88" s="1"/>
      <c r="N88" s="1"/>
      <c r="O88" s="1"/>
      <c r="P88" s="1"/>
      <c r="Q88" s="1"/>
      <c r="R88" s="1"/>
      <c r="S88" s="1"/>
    </row>
    <row r="89" spans="2:19" s="4" customFormat="1" ht="15" customHeight="1" x14ac:dyDescent="0.25">
      <c r="B89" s="21" t="str">
        <f>'Expense Assumptions'!C6</f>
        <v>PAYROLL TAXES AND BENEFITS</v>
      </c>
      <c r="C89" s="2"/>
      <c r="D89" s="66"/>
      <c r="E89" s="66"/>
      <c r="F89" s="66"/>
      <c r="G89" s="66"/>
      <c r="H89" s="66"/>
      <c r="I89" s="20"/>
      <c r="J89" s="26"/>
      <c r="K89" s="1"/>
      <c r="L89" s="1"/>
      <c r="M89" s="1"/>
      <c r="N89" s="1"/>
      <c r="O89" s="1"/>
      <c r="P89" s="1"/>
      <c r="Q89" s="1"/>
      <c r="R89" s="1"/>
      <c r="S89" s="1"/>
    </row>
    <row r="90" spans="2:19" s="4" customFormat="1" ht="15" customHeight="1" x14ac:dyDescent="0.25">
      <c r="B90" s="23" t="str">
        <f>'Expense Assumptions'!C7</f>
        <v>Social Security</v>
      </c>
      <c r="C90" s="2"/>
      <c r="D90" s="25">
        <v>38006</v>
      </c>
      <c r="E90" s="25">
        <v>49066.18</v>
      </c>
      <c r="F90" s="25">
        <v>66906.165399999983</v>
      </c>
      <c r="G90" s="25">
        <v>81406.350361999997</v>
      </c>
      <c r="H90" s="25">
        <v>103595.54087286</v>
      </c>
      <c r="I90" s="20"/>
      <c r="J90" s="26"/>
      <c r="K90" s="1"/>
      <c r="L90" s="1"/>
      <c r="M90" s="1"/>
      <c r="N90" s="1"/>
      <c r="O90" s="1"/>
      <c r="P90" s="1"/>
      <c r="Q90" s="1"/>
      <c r="R90" s="1"/>
      <c r="S90" s="1"/>
    </row>
    <row r="91" spans="2:19" s="4" customFormat="1" ht="15" customHeight="1" x14ac:dyDescent="0.25">
      <c r="B91" s="23" t="str">
        <f>'Expense Assumptions'!C8</f>
        <v>Medicare</v>
      </c>
      <c r="C91" s="2"/>
      <c r="D91" s="25">
        <v>8888.5</v>
      </c>
      <c r="E91" s="25">
        <v>11475.155000000001</v>
      </c>
      <c r="F91" s="25">
        <v>15647.409649999996</v>
      </c>
      <c r="G91" s="25">
        <v>19038.581939500004</v>
      </c>
      <c r="H91" s="25">
        <v>24227.989397685003</v>
      </c>
      <c r="I91" s="20"/>
      <c r="J91" s="26"/>
      <c r="K91" s="1"/>
      <c r="L91" s="1"/>
      <c r="M91" s="1"/>
      <c r="N91" s="1"/>
      <c r="O91" s="1"/>
      <c r="P91" s="1"/>
      <c r="Q91" s="1"/>
      <c r="R91" s="1"/>
      <c r="S91" s="1"/>
    </row>
    <row r="92" spans="2:19" s="4" customFormat="1" ht="15" customHeight="1" x14ac:dyDescent="0.25">
      <c r="B92" s="23" t="str">
        <f>'Expense Assumptions'!C9</f>
        <v>State Unemployment</v>
      </c>
      <c r="C92" s="2"/>
      <c r="D92" s="25">
        <v>8459.8659628378391</v>
      </c>
      <c r="E92" s="25">
        <v>10921.783563344596</v>
      </c>
      <c r="F92" s="25">
        <v>14892.837745920606</v>
      </c>
      <c r="G92" s="25">
        <v>18120.476045527957</v>
      </c>
      <c r="H92" s="25">
        <v>23059.63242993434</v>
      </c>
      <c r="I92" s="20"/>
      <c r="J92" s="26"/>
      <c r="K92" s="1"/>
      <c r="L92" s="1"/>
      <c r="M92" s="1"/>
      <c r="N92" s="1"/>
      <c r="O92" s="1"/>
      <c r="P92" s="1"/>
      <c r="Q92" s="1"/>
      <c r="R92" s="1"/>
      <c r="S92" s="1"/>
    </row>
    <row r="93" spans="2:19" s="4" customFormat="1" ht="15" customHeight="1" x14ac:dyDescent="0.25">
      <c r="B93" s="23" t="str">
        <f>'Expense Assumptions'!C11</f>
        <v>Worker's Compensation Insurance</v>
      </c>
      <c r="C93" s="2"/>
      <c r="D93" s="25">
        <v>6130</v>
      </c>
      <c r="E93" s="25">
        <v>7913.9000000000005</v>
      </c>
      <c r="F93" s="25">
        <v>10791.316999999997</v>
      </c>
      <c r="G93" s="25">
        <v>13130.05651</v>
      </c>
      <c r="H93" s="25">
        <v>16708.958205300001</v>
      </c>
      <c r="I93" s="20"/>
      <c r="J93" s="26"/>
      <c r="K93" s="1"/>
      <c r="L93" s="1"/>
      <c r="M93" s="1"/>
      <c r="N93" s="1"/>
      <c r="O93" s="1"/>
      <c r="P93" s="1"/>
      <c r="Q93" s="1"/>
      <c r="R93" s="1"/>
      <c r="S93" s="1"/>
    </row>
    <row r="94" spans="2:19" s="4" customFormat="1" ht="15" customHeight="1" x14ac:dyDescent="0.25">
      <c r="B94" s="23" t="str">
        <f>'Expense Assumptions'!C12</f>
        <v>Federal Unemployment</v>
      </c>
      <c r="C94" s="2"/>
      <c r="D94" s="25">
        <v>3678</v>
      </c>
      <c r="E94" s="25">
        <v>4748.34</v>
      </c>
      <c r="F94" s="25">
        <v>6474.7901999999985</v>
      </c>
      <c r="G94" s="25">
        <v>7878.0339060000006</v>
      </c>
      <c r="H94" s="25">
        <v>10025.374923180001</v>
      </c>
      <c r="I94" s="20"/>
      <c r="J94" s="26"/>
      <c r="K94" s="1"/>
      <c r="L94" s="1"/>
      <c r="M94" s="1"/>
      <c r="N94" s="1"/>
      <c r="O94" s="1"/>
      <c r="P94" s="1"/>
      <c r="Q94" s="1"/>
      <c r="R94" s="1"/>
      <c r="S94" s="1"/>
    </row>
    <row r="95" spans="2:19" s="4" customFormat="1" ht="15" customHeight="1" x14ac:dyDescent="0.25">
      <c r="B95" s="23" t="str">
        <f>'Expense Assumptions'!C13</f>
        <v>SEBB</v>
      </c>
      <c r="C95" s="2"/>
      <c r="D95" s="68">
        <v>150000</v>
      </c>
      <c r="E95" s="68">
        <v>199980</v>
      </c>
      <c r="F95" s="68">
        <v>275427</v>
      </c>
      <c r="G95" s="68">
        <v>327635.71799999999</v>
      </c>
      <c r="H95" s="68">
        <v>405835.56389999995</v>
      </c>
      <c r="I95" s="20"/>
      <c r="J95" s="26"/>
      <c r="K95" s="1"/>
      <c r="L95" s="1"/>
      <c r="M95" s="1"/>
      <c r="N95" s="1"/>
      <c r="O95" s="1"/>
      <c r="P95" s="1"/>
      <c r="Q95" s="1"/>
      <c r="R95" s="1"/>
      <c r="S95" s="1"/>
    </row>
    <row r="96" spans="2:19" s="4" customFormat="1" ht="15" customHeight="1" x14ac:dyDescent="0.25">
      <c r="B96" s="23" t="str">
        <f>'Expense Assumptions'!C14</f>
        <v>SERS (Classified Retirement)</v>
      </c>
      <c r="C96" s="2"/>
      <c r="D96" s="66">
        <v>30590</v>
      </c>
      <c r="E96" s="66">
        <v>31507.7</v>
      </c>
      <c r="F96" s="66">
        <v>32452.931</v>
      </c>
      <c r="G96" s="66">
        <v>36086.518929999998</v>
      </c>
      <c r="H96" s="66">
        <v>55124.114497900009</v>
      </c>
      <c r="I96" s="20"/>
      <c r="J96" s="69"/>
      <c r="K96" s="1"/>
      <c r="L96" s="1"/>
      <c r="M96" s="1"/>
      <c r="N96" s="20">
        <f>D96+D97</f>
        <v>90874.200000000012</v>
      </c>
      <c r="O96" s="20">
        <f>E96+E97</f>
        <v>118784.42600000001</v>
      </c>
      <c r="P96" s="20">
        <f>F96+F97</f>
        <v>163901.55877999999</v>
      </c>
      <c r="Q96" s="20">
        <f>G96+G97</f>
        <v>200046.70554339999</v>
      </c>
      <c r="R96" s="20">
        <f>H96+H97</f>
        <v>252886.00670970205</v>
      </c>
      <c r="S96" s="1"/>
    </row>
    <row r="97" spans="2:38" s="4" customFormat="1" ht="15" customHeight="1" x14ac:dyDescent="0.25">
      <c r="B97" s="23" t="str">
        <f>'Expense Assumptions'!C15</f>
        <v>TRS (Certificated Retirement)</v>
      </c>
      <c r="C97" s="2"/>
      <c r="D97" s="66">
        <v>60284.200000000004</v>
      </c>
      <c r="E97" s="66">
        <v>87276.72600000001</v>
      </c>
      <c r="F97" s="66">
        <v>131448.62777999998</v>
      </c>
      <c r="G97" s="66">
        <v>163960.1866134</v>
      </c>
      <c r="H97" s="66">
        <v>197761.89221180204</v>
      </c>
      <c r="I97" s="20"/>
      <c r="J97" s="26"/>
      <c r="K97" s="1"/>
      <c r="L97" s="1"/>
      <c r="M97" s="1"/>
      <c r="N97" s="1"/>
      <c r="O97" s="1"/>
      <c r="P97" s="1"/>
      <c r="Q97" s="1"/>
      <c r="R97" s="1"/>
      <c r="S97" s="1"/>
    </row>
    <row r="98" spans="2:38" s="4" customFormat="1" ht="15" customHeight="1" thickBot="1" x14ac:dyDescent="0.3">
      <c r="B98" s="21" t="str">
        <f>'Expense Assumptions'!C16</f>
        <v>TOTAL PAYROLL TAXES AND BENEFITS</v>
      </c>
      <c r="C98" s="2"/>
      <c r="D98" s="315">
        <f t="shared" ref="D98:H98" si="15">SUM(D90:D97)</f>
        <v>306036.56596283783</v>
      </c>
      <c r="E98" s="315">
        <f t="shared" si="15"/>
        <v>402889.78456334461</v>
      </c>
      <c r="F98" s="315">
        <f t="shared" si="15"/>
        <v>554041.07877592056</v>
      </c>
      <c r="G98" s="315">
        <f t="shared" si="15"/>
        <v>667255.92230642796</v>
      </c>
      <c r="H98" s="315">
        <f t="shared" si="15"/>
        <v>836339.06643866142</v>
      </c>
      <c r="I98" s="20"/>
      <c r="J98" s="69"/>
      <c r="K98" s="1"/>
      <c r="L98" s="1"/>
      <c r="M98" s="1"/>
      <c r="N98" s="1"/>
      <c r="O98" s="1"/>
      <c r="P98" s="1"/>
      <c r="Q98" s="1"/>
      <c r="R98" s="1"/>
      <c r="S98" s="1"/>
    </row>
    <row r="99" spans="2:38" s="4" customFormat="1" ht="6" customHeight="1" thickTop="1" x14ac:dyDescent="0.25">
      <c r="B99" s="21"/>
      <c r="C99" s="2"/>
      <c r="D99" s="28"/>
      <c r="E99" s="28"/>
      <c r="F99" s="28"/>
      <c r="G99" s="28"/>
      <c r="H99" s="28"/>
      <c r="I99" s="20"/>
      <c r="J99" s="26"/>
      <c r="K99" s="1"/>
      <c r="L99" s="1"/>
      <c r="M99" s="1"/>
      <c r="N99" s="1"/>
      <c r="O99" s="1"/>
      <c r="P99" s="1"/>
      <c r="Q99" s="1"/>
      <c r="R99" s="1"/>
      <c r="S99" s="1"/>
    </row>
    <row r="100" spans="2:38" s="4" customFormat="1" ht="15" customHeight="1" thickBot="1" x14ac:dyDescent="0.3">
      <c r="B100" s="21" t="str">
        <f>'Expense Assumptions'!C18</f>
        <v>TOTAL PERSONNEL, TAX &amp; BENEFIT EXPENSES</v>
      </c>
      <c r="C100" s="2"/>
      <c r="D100" s="64">
        <f t="shared" ref="D100:H100" si="16">D87+D98</f>
        <v>919036.56596283778</v>
      </c>
      <c r="E100" s="64">
        <f t="shared" si="16"/>
        <v>1194279.7845633447</v>
      </c>
      <c r="F100" s="64">
        <f t="shared" si="16"/>
        <v>1633172.7787759202</v>
      </c>
      <c r="G100" s="64">
        <f t="shared" si="16"/>
        <v>1980261.573306428</v>
      </c>
      <c r="H100" s="64">
        <f t="shared" si="16"/>
        <v>2507234.8869686616</v>
      </c>
      <c r="I100" s="20"/>
      <c r="J100" s="69"/>
      <c r="K100" s="1"/>
      <c r="L100" s="1"/>
      <c r="M100" s="1"/>
      <c r="N100" s="1"/>
      <c r="O100" s="1"/>
      <c r="P100" s="1"/>
      <c r="Q100" s="1"/>
      <c r="R100" s="1"/>
      <c r="S100" s="1"/>
    </row>
    <row r="101" spans="2:38" s="4" customFormat="1" ht="6" customHeight="1" thickTop="1" x14ac:dyDescent="0.25">
      <c r="B101" s="21"/>
      <c r="C101" s="2"/>
      <c r="D101" s="67"/>
      <c r="E101" s="67"/>
      <c r="F101" s="67"/>
      <c r="G101" s="67"/>
      <c r="H101" s="67"/>
      <c r="I101" s="20"/>
      <c r="K101" s="1"/>
      <c r="L101" s="1"/>
      <c r="M101" s="1"/>
      <c r="N101" s="1"/>
      <c r="O101" s="1"/>
      <c r="P101" s="1"/>
      <c r="Q101" s="1"/>
      <c r="R101" s="1"/>
      <c r="S101" s="1"/>
    </row>
    <row r="102" spans="2:38" s="4" customFormat="1" ht="15" customHeight="1" x14ac:dyDescent="0.25">
      <c r="B102" s="21" t="str">
        <f>'Expense Assumptions'!C20</f>
        <v>CONTRACTED SERVICES</v>
      </c>
      <c r="C102" s="2"/>
      <c r="D102" s="66"/>
      <c r="E102" s="66"/>
      <c r="F102" s="66"/>
      <c r="G102" s="66"/>
      <c r="H102" s="66"/>
      <c r="I102" s="20"/>
      <c r="J102" s="26"/>
      <c r="K102" s="1"/>
      <c r="L102" s="1"/>
      <c r="M102" s="1"/>
      <c r="N102" s="1"/>
      <c r="O102" s="1"/>
      <c r="P102" s="1"/>
      <c r="Q102" s="1"/>
      <c r="R102" s="1"/>
      <c r="S102" s="1"/>
    </row>
    <row r="103" spans="2:38" s="4" customFormat="1" ht="15" customHeight="1" x14ac:dyDescent="0.25">
      <c r="B103" s="23" t="str">
        <f>'Expense Assumptions'!C21</f>
        <v xml:space="preserve">Accounting / Audit </v>
      </c>
      <c r="C103" s="42"/>
      <c r="D103" s="25">
        <v>18000</v>
      </c>
      <c r="E103" s="25">
        <v>18450</v>
      </c>
      <c r="F103" s="25">
        <v>18911.25</v>
      </c>
      <c r="G103" s="25">
        <v>19384.03125</v>
      </c>
      <c r="H103" s="25">
        <v>19868.632031249999</v>
      </c>
      <c r="I103" s="20"/>
      <c r="J103" s="43" t="str">
        <f>+'Expense Assumptions'!M21</f>
        <v>SAO ($12k) + CPA ($6k) audits</v>
      </c>
      <c r="K103" s="1"/>
      <c r="L103" s="1"/>
      <c r="M103" s="1"/>
      <c r="N103" s="1"/>
      <c r="O103" s="1"/>
      <c r="P103" s="1"/>
      <c r="Q103" s="1"/>
      <c r="R103" s="1"/>
      <c r="S103" s="1"/>
    </row>
    <row r="104" spans="2:38" s="4" customFormat="1" ht="15" customHeight="1" x14ac:dyDescent="0.25">
      <c r="B104" s="23" t="str">
        <f>'Expense Assumptions'!C22</f>
        <v>Legal</v>
      </c>
      <c r="C104" s="42"/>
      <c r="D104" s="25">
        <v>5000</v>
      </c>
      <c r="E104" s="25">
        <v>5000</v>
      </c>
      <c r="F104" s="25">
        <v>5000</v>
      </c>
      <c r="G104" s="25">
        <v>5000</v>
      </c>
      <c r="H104" s="25">
        <v>5000</v>
      </c>
      <c r="I104" s="20"/>
      <c r="J104" s="43" t="str">
        <f>+'Expense Assumptions'!M22</f>
        <v>Flat yearly "in case" amount</v>
      </c>
      <c r="K104" s="1"/>
      <c r="L104" s="1"/>
      <c r="M104" s="1"/>
      <c r="N104" s="1"/>
      <c r="O104" s="1"/>
      <c r="P104" s="1"/>
      <c r="Q104" s="1"/>
      <c r="R104" s="1"/>
      <c r="S104" s="1"/>
    </row>
    <row r="105" spans="2:38" s="4" customFormat="1" ht="15" customHeight="1" x14ac:dyDescent="0.25">
      <c r="B105" s="23" t="str">
        <f>'Expense Assumptions'!C23</f>
        <v>Oversight Fee (3%)</v>
      </c>
      <c r="C105" s="42"/>
      <c r="D105" s="62">
        <v>37394.207690590454</v>
      </c>
      <c r="E105" s="62">
        <v>55014.399941207426</v>
      </c>
      <c r="F105" s="62">
        <v>67595.563933313853</v>
      </c>
      <c r="G105" s="62">
        <v>78668.852325457017</v>
      </c>
      <c r="H105" s="62">
        <v>126990.10151075874</v>
      </c>
      <c r="I105" s="20"/>
      <c r="J105" s="43" t="str">
        <f>+'Expense Assumptions'!M23</f>
        <v>Calculates as a % of total revenue for lines 3100, 3121, 4121, 4155, 4165, 4174 &amp; 4199</v>
      </c>
      <c r="K105" s="1"/>
      <c r="L105" s="1"/>
      <c r="M105" s="1"/>
      <c r="N105" s="1"/>
      <c r="O105" s="1"/>
      <c r="P105" s="1"/>
      <c r="Q105" s="1"/>
      <c r="R105" s="1"/>
      <c r="S105" s="1"/>
    </row>
    <row r="106" spans="2:38" s="4" customFormat="1" ht="15" customHeight="1" x14ac:dyDescent="0.25">
      <c r="B106" s="23" t="str">
        <f>'Expense Assumptions'!C24</f>
        <v>Substitute Teachers</v>
      </c>
      <c r="C106" s="42"/>
      <c r="D106" s="25">
        <v>9000</v>
      </c>
      <c r="E106" s="25">
        <v>9225</v>
      </c>
      <c r="F106" s="25">
        <v>9455.625</v>
      </c>
      <c r="G106" s="25">
        <v>9692.015625</v>
      </c>
      <c r="H106" s="25">
        <v>9934.3160156249996</v>
      </c>
      <c r="I106" s="20"/>
      <c r="J106" s="43"/>
      <c r="K106" s="1"/>
      <c r="L106" s="1"/>
      <c r="M106" s="1"/>
      <c r="N106" s="1"/>
      <c r="O106" s="1"/>
      <c r="P106" s="1"/>
      <c r="Q106" s="1"/>
      <c r="R106" s="1"/>
      <c r="S106" s="1"/>
    </row>
    <row r="107" spans="2:38" s="4" customFormat="1" ht="15" customHeight="1" x14ac:dyDescent="0.25">
      <c r="B107" s="23" t="str">
        <f>'Expense Assumptions'!C25</f>
        <v>Student Health</v>
      </c>
      <c r="C107" s="42"/>
      <c r="D107" s="25">
        <v>14400</v>
      </c>
      <c r="E107" s="25">
        <v>14759.999999999998</v>
      </c>
      <c r="F107" s="25">
        <v>15128.999999999996</v>
      </c>
      <c r="G107" s="25">
        <v>15507.224999999995</v>
      </c>
      <c r="H107" s="25">
        <v>15894.905624999994</v>
      </c>
      <c r="I107" s="20"/>
      <c r="J107" s="43"/>
      <c r="K107" s="1"/>
      <c r="L107" s="1"/>
      <c r="M107" s="1"/>
      <c r="N107" s="1"/>
      <c r="O107" s="1"/>
      <c r="P107" s="1"/>
      <c r="Q107" s="1"/>
      <c r="R107" s="1"/>
      <c r="S107" s="1"/>
    </row>
    <row r="108" spans="2:38" s="4" customFormat="1" ht="15" customHeight="1" x14ac:dyDescent="0.25">
      <c r="B108" s="23" t="str">
        <f>'Expense Assumptions'!C26</f>
        <v>Back Office</v>
      </c>
      <c r="C108" s="42"/>
      <c r="D108" s="25">
        <v>96000</v>
      </c>
      <c r="E108" s="25">
        <v>98399.999999999985</v>
      </c>
      <c r="F108" s="25">
        <v>100859.99999999997</v>
      </c>
      <c r="G108" s="25">
        <v>103381.49999999996</v>
      </c>
      <c r="H108" s="25">
        <v>105966.03749999995</v>
      </c>
      <c r="I108" s="20"/>
      <c r="J108" s="43"/>
      <c r="K108" s="1"/>
      <c r="L108" s="1"/>
      <c r="M108" s="1"/>
      <c r="N108" s="1"/>
      <c r="O108" s="1"/>
      <c r="P108" s="1"/>
      <c r="Q108" s="1"/>
      <c r="R108" s="1"/>
      <c r="S108" s="1"/>
    </row>
    <row r="109" spans="2:38" s="4" customFormat="1" ht="15" customHeight="1" x14ac:dyDescent="0.25">
      <c r="B109" s="23" t="str">
        <f>'Expense Assumptions'!C27</f>
        <v>Special Ed</v>
      </c>
      <c r="C109" s="2"/>
      <c r="D109" s="25">
        <v>12600</v>
      </c>
      <c r="E109" s="25">
        <v>8600</v>
      </c>
      <c r="F109" s="25">
        <v>0</v>
      </c>
      <c r="G109" s="25">
        <v>0</v>
      </c>
      <c r="H109" s="25">
        <v>0</v>
      </c>
      <c r="I109" s="20"/>
      <c r="J109" s="43"/>
      <c r="K109" s="1"/>
      <c r="L109" s="1"/>
      <c r="M109" s="1"/>
      <c r="N109" s="1"/>
      <c r="O109" s="1"/>
      <c r="P109" s="1"/>
      <c r="Q109" s="1"/>
      <c r="R109" s="1"/>
      <c r="S109" s="1"/>
    </row>
    <row r="110" spans="2:38" s="4" customFormat="1" ht="15" customHeight="1" x14ac:dyDescent="0.25">
      <c r="B110" s="23" t="str">
        <f>'Expense Assumptions'!C28</f>
        <v>Program Support / PD</v>
      </c>
      <c r="C110" s="2"/>
      <c r="D110" s="25">
        <v>65000</v>
      </c>
      <c r="E110" s="25">
        <v>58375</v>
      </c>
      <c r="F110" s="25">
        <v>49271.874999999993</v>
      </c>
      <c r="G110" s="25">
        <v>42691.171874999985</v>
      </c>
      <c r="H110" s="25">
        <v>38633.451171874985</v>
      </c>
      <c r="I110" s="20"/>
      <c r="J110" s="43"/>
      <c r="K110" s="1"/>
      <c r="L110" s="1"/>
      <c r="M110" s="1"/>
      <c r="N110" s="1"/>
      <c r="O110" s="1"/>
      <c r="P110" s="1"/>
      <c r="Q110" s="1"/>
      <c r="R110" s="1"/>
      <c r="S110" s="1"/>
    </row>
    <row r="111" spans="2:38" ht="15" customHeight="1" x14ac:dyDescent="0.25">
      <c r="B111" s="23" t="str">
        <f>'Expense Assumptions'!C29</f>
        <v>Tech support</v>
      </c>
      <c r="D111" s="25">
        <v>30000</v>
      </c>
      <c r="E111" s="25">
        <v>30749.999999999996</v>
      </c>
      <c r="F111" s="25">
        <v>31518.749999999993</v>
      </c>
      <c r="G111" s="25">
        <v>32306.718749999989</v>
      </c>
      <c r="H111" s="25">
        <v>33114.386718749985</v>
      </c>
      <c r="I111" s="20"/>
      <c r="J111" s="43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2:38" s="4" customFormat="1" ht="15" customHeight="1" thickBot="1" x14ac:dyDescent="0.3">
      <c r="B112" s="21" t="str">
        <f>'Expense Assumptions'!C30</f>
        <v>TOTAL CONTRACTED SERVICES</v>
      </c>
      <c r="C112" s="2"/>
      <c r="D112" s="314">
        <f t="shared" ref="D112:H112" si="17">SUM(D103:D111)</f>
        <v>287394.20769059047</v>
      </c>
      <c r="E112" s="314">
        <f t="shared" si="17"/>
        <v>298574.39994120743</v>
      </c>
      <c r="F112" s="314">
        <f t="shared" si="17"/>
        <v>297742.06393331382</v>
      </c>
      <c r="G112" s="314">
        <f t="shared" si="17"/>
        <v>306631.51482545695</v>
      </c>
      <c r="H112" s="314">
        <f t="shared" si="17"/>
        <v>355401.83057325869</v>
      </c>
      <c r="I112" s="20"/>
      <c r="J112" s="26"/>
      <c r="K112" s="1"/>
      <c r="L112" s="1"/>
      <c r="M112" s="1"/>
      <c r="N112" s="1"/>
      <c r="O112" s="1"/>
      <c r="P112" s="1"/>
      <c r="Q112" s="1"/>
      <c r="R112" s="1"/>
      <c r="S112" s="1"/>
    </row>
    <row r="113" spans="2:38" s="4" customFormat="1" ht="6" customHeight="1" thickTop="1" x14ac:dyDescent="0.25">
      <c r="B113" s="21"/>
      <c r="C113" s="2"/>
      <c r="D113" s="31"/>
      <c r="E113" s="31"/>
      <c r="F113" s="31"/>
      <c r="G113" s="31"/>
      <c r="H113" s="31"/>
      <c r="I113" s="20"/>
      <c r="J113" s="26"/>
      <c r="K113" s="1"/>
      <c r="L113" s="1"/>
      <c r="M113" s="1"/>
      <c r="N113" s="1"/>
      <c r="O113" s="1"/>
      <c r="P113" s="1"/>
      <c r="Q113" s="1"/>
      <c r="R113" s="1"/>
      <c r="S113" s="1"/>
    </row>
    <row r="114" spans="2:38" s="4" customFormat="1" ht="15" customHeight="1" x14ac:dyDescent="0.25">
      <c r="B114" s="21" t="str">
        <f>'Expense Assumptions'!C32</f>
        <v>SCHOOL OPERATIONS</v>
      </c>
      <c r="C114" s="2"/>
      <c r="D114" s="6"/>
      <c r="E114" s="6"/>
      <c r="F114" s="6"/>
      <c r="G114" s="6"/>
      <c r="H114" s="6"/>
      <c r="I114" s="20"/>
      <c r="J114" s="26"/>
      <c r="K114" s="1"/>
      <c r="L114" s="1"/>
      <c r="M114" s="1"/>
      <c r="N114" s="1"/>
      <c r="O114" s="1"/>
      <c r="P114" s="1"/>
      <c r="Q114" s="1"/>
      <c r="R114" s="1"/>
      <c r="S114" s="1"/>
    </row>
    <row r="115" spans="2:38" s="4" customFormat="1" ht="15" customHeight="1" x14ac:dyDescent="0.25">
      <c r="B115" s="23" t="str">
        <f>'Expense Assumptions'!C33</f>
        <v>Board Expenses</v>
      </c>
      <c r="C115" s="42"/>
      <c r="D115" s="25">
        <v>11250</v>
      </c>
      <c r="E115" s="25">
        <v>11531.249999999998</v>
      </c>
      <c r="F115" s="25">
        <v>6819.5312499999964</v>
      </c>
      <c r="G115" s="25">
        <v>6990.0195312499955</v>
      </c>
      <c r="H115" s="25">
        <v>7164.7700195312445</v>
      </c>
      <c r="I115" s="20"/>
      <c r="J115" s="26" t="str">
        <f>+'Expense Assumptions'!M33</f>
        <v xml:space="preserve">Yearly Board OnTrack + supplies </v>
      </c>
      <c r="K115" s="1"/>
      <c r="L115" s="1"/>
      <c r="M115" s="1"/>
      <c r="N115" s="1"/>
      <c r="O115" s="1"/>
      <c r="P115" s="1"/>
      <c r="Q115" s="1"/>
      <c r="R115" s="1"/>
      <c r="S115" s="1"/>
    </row>
    <row r="116" spans="2:38" s="4" customFormat="1" ht="15" customHeight="1" x14ac:dyDescent="0.25">
      <c r="B116" s="23" t="str">
        <f>'Expense Assumptions'!C34</f>
        <v>Classroom / Teaching Supplies &amp; Materials</v>
      </c>
      <c r="C116" s="42"/>
      <c r="D116" s="25">
        <v>58000</v>
      </c>
      <c r="E116" s="25">
        <v>82000</v>
      </c>
      <c r="F116" s="25">
        <v>42600</v>
      </c>
      <c r="G116" s="25">
        <v>39600</v>
      </c>
      <c r="H116" s="25">
        <v>21200</v>
      </c>
      <c r="I116" s="20"/>
      <c r="J116" s="26"/>
      <c r="K116" s="1"/>
      <c r="L116" s="1"/>
      <c r="M116" s="1"/>
      <c r="N116" s="1"/>
      <c r="O116" s="1"/>
      <c r="P116" s="1"/>
      <c r="Q116" s="1"/>
      <c r="R116" s="1"/>
      <c r="S116" s="1"/>
    </row>
    <row r="117" spans="2:38" s="4" customFormat="1" ht="15" customHeight="1" x14ac:dyDescent="0.25">
      <c r="B117" s="23" t="str">
        <f>'Expense Assumptions'!C35</f>
        <v>Special Ed Supplies &amp; Materials</v>
      </c>
      <c r="C117" s="2"/>
      <c r="D117" s="25">
        <v>6480</v>
      </c>
      <c r="E117" s="25">
        <v>9963</v>
      </c>
      <c r="F117" s="25">
        <v>13616.1</v>
      </c>
      <c r="G117" s="25">
        <v>16282.58625</v>
      </c>
      <c r="H117" s="25">
        <v>18775.85726953125</v>
      </c>
      <c r="I117" s="20"/>
      <c r="J117" s="26" t="str">
        <f>+'Expense Assumptions'!M35</f>
        <v>Estimate per SPED student</v>
      </c>
      <c r="K117" s="1"/>
      <c r="L117" s="1"/>
      <c r="M117" s="1"/>
      <c r="N117" s="1"/>
      <c r="O117" s="1"/>
      <c r="P117" s="1"/>
      <c r="Q117" s="1"/>
      <c r="R117" s="1"/>
      <c r="S117" s="1"/>
    </row>
    <row r="118" spans="2:38" s="4" customFormat="1" ht="15" customHeight="1" x14ac:dyDescent="0.25">
      <c r="B118" s="23" t="str">
        <f>'Expense Assumptions'!C36</f>
        <v>Textbooks / Workbooks</v>
      </c>
      <c r="C118" s="2"/>
      <c r="D118" s="25">
        <v>7200</v>
      </c>
      <c r="E118" s="25">
        <v>11070</v>
      </c>
      <c r="F118" s="25">
        <v>15129</v>
      </c>
      <c r="G118" s="25">
        <v>18091.762500000001</v>
      </c>
      <c r="H118" s="25">
        <v>20862.063632812497</v>
      </c>
      <c r="I118" s="20"/>
      <c r="J118" s="26" t="str">
        <f>+'Expense Assumptions'!M36</f>
        <v>Singapore math ($48 per); Reading-Writing ($37 per - estimate)</v>
      </c>
      <c r="K118" s="1"/>
      <c r="L118" s="1"/>
      <c r="M118" s="1"/>
      <c r="N118" s="1"/>
      <c r="O118" s="1"/>
      <c r="P118" s="1"/>
      <c r="Q118" s="1"/>
      <c r="R118" s="1"/>
      <c r="S118" s="1"/>
    </row>
    <row r="119" spans="2:38" s="4" customFormat="1" ht="15" customHeight="1" x14ac:dyDescent="0.25">
      <c r="B119" s="23" t="str">
        <f>'Expense Assumptions'!C37</f>
        <v xml:space="preserve">Equipment / Furniture   </v>
      </c>
      <c r="C119" s="2"/>
      <c r="D119" s="25">
        <v>58000</v>
      </c>
      <c r="E119" s="25">
        <v>62000</v>
      </c>
      <c r="F119" s="25">
        <v>41000</v>
      </c>
      <c r="G119" s="25">
        <v>18000</v>
      </c>
      <c r="H119" s="25">
        <v>18000</v>
      </c>
      <c r="I119" s="20"/>
      <c r="J119" s="26"/>
      <c r="K119" s="1"/>
      <c r="L119" s="1"/>
      <c r="M119" s="1"/>
      <c r="N119" s="1"/>
      <c r="O119" s="1"/>
      <c r="P119" s="1"/>
      <c r="Q119" s="1"/>
      <c r="R119" s="1"/>
      <c r="S119" s="1"/>
    </row>
    <row r="120" spans="2:38" ht="15" customHeight="1" x14ac:dyDescent="0.25">
      <c r="B120" s="23" t="str">
        <f>'Expense Assumptions'!C38</f>
        <v>Internet / Phone</v>
      </c>
      <c r="D120" s="25">
        <v>10000</v>
      </c>
      <c r="E120" s="25">
        <v>10250</v>
      </c>
      <c r="F120" s="25">
        <v>10506.249999999998</v>
      </c>
      <c r="G120" s="25">
        <v>10768.906249999996</v>
      </c>
      <c r="H120" s="25">
        <v>11038.128906249995</v>
      </c>
      <c r="I120" s="20"/>
      <c r="J120" s="26" t="str">
        <f>+'Expense Assumptions'!M38</f>
        <v>Internet / phone costs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2:38" s="4" customFormat="1" ht="15" customHeight="1" x14ac:dyDescent="0.25">
      <c r="B121" s="23" t="str">
        <f>'Expense Assumptions'!C39</f>
        <v>Technology Hardware</v>
      </c>
      <c r="C121" s="2"/>
      <c r="D121" s="25">
        <v>23600</v>
      </c>
      <c r="E121" s="25">
        <v>30200</v>
      </c>
      <c r="F121" s="25">
        <v>12600</v>
      </c>
      <c r="G121" s="25">
        <v>29900</v>
      </c>
      <c r="H121" s="25">
        <v>41600</v>
      </c>
      <c r="I121" s="20"/>
      <c r="J121" s="26"/>
      <c r="K121" s="1"/>
      <c r="L121" s="1"/>
      <c r="M121" s="1"/>
      <c r="N121" s="1"/>
      <c r="O121" s="1"/>
      <c r="P121" s="1"/>
      <c r="Q121" s="1"/>
      <c r="R121" s="1"/>
      <c r="S121" s="1"/>
    </row>
    <row r="122" spans="2:38" s="4" customFormat="1" ht="15" customHeight="1" x14ac:dyDescent="0.25">
      <c r="B122" s="23" t="str">
        <f>'Expense Assumptions'!C40</f>
        <v>Technology Software</v>
      </c>
      <c r="C122" s="2"/>
      <c r="D122" s="25">
        <v>27739</v>
      </c>
      <c r="E122" s="25">
        <v>31345</v>
      </c>
      <c r="F122" s="25">
        <v>34978</v>
      </c>
      <c r="G122" s="25">
        <v>37373</v>
      </c>
      <c r="H122" s="25">
        <v>39494.5</v>
      </c>
      <c r="I122" s="20"/>
      <c r="J122" s="26"/>
      <c r="K122" s="1"/>
      <c r="L122" s="1"/>
      <c r="M122" s="1"/>
      <c r="N122" s="1"/>
      <c r="O122" s="1"/>
      <c r="P122" s="1"/>
      <c r="Q122" s="1"/>
      <c r="R122" s="1"/>
      <c r="S122" s="1"/>
    </row>
    <row r="123" spans="2:38" s="4" customFormat="1" ht="15" customHeight="1" x14ac:dyDescent="0.25">
      <c r="B123" s="23" t="str">
        <f>'Expense Assumptions'!C41</f>
        <v>Student Testing &amp; Assessment</v>
      </c>
      <c r="C123" s="2"/>
      <c r="D123" s="25">
        <v>3552</v>
      </c>
      <c r="E123" s="25">
        <v>3321</v>
      </c>
      <c r="F123" s="25">
        <v>5805</v>
      </c>
      <c r="G123" s="25">
        <v>7911</v>
      </c>
      <c r="H123" s="25">
        <v>8909</v>
      </c>
      <c r="I123" s="20"/>
      <c r="J123" s="26"/>
      <c r="K123" s="1"/>
      <c r="L123" s="1"/>
      <c r="M123" s="1"/>
      <c r="N123" s="1"/>
      <c r="O123" s="1"/>
      <c r="P123" s="1"/>
      <c r="Q123" s="1"/>
      <c r="R123" s="1"/>
      <c r="S123" s="1"/>
    </row>
    <row r="124" spans="2:38" s="4" customFormat="1" ht="15" customHeight="1" x14ac:dyDescent="0.25">
      <c r="B124" s="23" t="str">
        <f>'Expense Assumptions'!C42</f>
        <v>Field Trips</v>
      </c>
      <c r="C124" s="2"/>
      <c r="D124" s="25">
        <v>9120</v>
      </c>
      <c r="E124" s="25">
        <v>14021.999999999998</v>
      </c>
      <c r="F124" s="25">
        <v>19163.399999999994</v>
      </c>
      <c r="G124" s="25">
        <v>22916.232499999995</v>
      </c>
      <c r="H124" s="25">
        <v>26425.280601562492</v>
      </c>
      <c r="I124" s="20"/>
      <c r="J124" s="26" t="str">
        <f>+'Expense Assumptions'!M42</f>
        <v>Per student</v>
      </c>
      <c r="K124" s="1"/>
      <c r="L124" s="1"/>
      <c r="M124" s="1"/>
      <c r="N124" s="1"/>
      <c r="O124" s="1"/>
      <c r="P124" s="1"/>
      <c r="Q124" s="1"/>
      <c r="R124" s="1"/>
      <c r="S124" s="1"/>
    </row>
    <row r="125" spans="2:38" s="4" customFormat="1" ht="15" customHeight="1" x14ac:dyDescent="0.25">
      <c r="B125" s="23" t="str">
        <f>'Expense Assumptions'!C43</f>
        <v>Transportation (student)</v>
      </c>
      <c r="C125" s="2"/>
      <c r="D125" s="25">
        <v>39600</v>
      </c>
      <c r="E125" s="25">
        <v>45000</v>
      </c>
      <c r="F125" s="25">
        <v>72000</v>
      </c>
      <c r="G125" s="25">
        <v>90000</v>
      </c>
      <c r="H125" s="25">
        <v>101400</v>
      </c>
      <c r="I125" s="20"/>
      <c r="J125" s="26">
        <f>+'Expense Assumptions'!M43</f>
        <v>0</v>
      </c>
      <c r="K125" s="1"/>
      <c r="L125" s="1"/>
      <c r="M125" s="1"/>
      <c r="N125" s="1"/>
      <c r="O125" s="1"/>
      <c r="P125" s="1"/>
      <c r="Q125" s="1"/>
      <c r="R125" s="1"/>
      <c r="S125" s="1"/>
    </row>
    <row r="126" spans="2:38" s="4" customFormat="1" ht="15" customHeight="1" x14ac:dyDescent="0.25">
      <c r="B126" s="23" t="str">
        <f>'Expense Assumptions'!C44</f>
        <v>Student Services - other</v>
      </c>
      <c r="C126" s="42"/>
      <c r="D126" s="25">
        <v>2400</v>
      </c>
      <c r="E126" s="25">
        <v>3689.9999999999995</v>
      </c>
      <c r="F126" s="25">
        <v>5042.9999999999982</v>
      </c>
      <c r="G126" s="25">
        <v>6030.5874999999978</v>
      </c>
      <c r="H126" s="25">
        <v>6954.021210937497</v>
      </c>
      <c r="I126" s="20"/>
      <c r="J126" s="26" t="str">
        <f>+'Expense Assumptions'!M44</f>
        <v>Per student for clubs, dances, graduation, etc</v>
      </c>
      <c r="K126" s="1"/>
      <c r="L126" s="1"/>
      <c r="M126" s="1"/>
      <c r="N126" s="1"/>
      <c r="O126" s="1"/>
      <c r="P126" s="1"/>
      <c r="Q126" s="1"/>
      <c r="R126" s="1"/>
      <c r="S126" s="1"/>
    </row>
    <row r="127" spans="2:38" s="4" customFormat="1" ht="15" customHeight="1" x14ac:dyDescent="0.25">
      <c r="B127" s="23" t="str">
        <f>'Expense Assumptions'!C45</f>
        <v>Office Expense</v>
      </c>
      <c r="C127" s="42"/>
      <c r="D127" s="25">
        <v>10000</v>
      </c>
      <c r="E127" s="25">
        <v>10250</v>
      </c>
      <c r="F127" s="25">
        <v>10506.249999999998</v>
      </c>
      <c r="G127" s="25">
        <v>10768.906249999996</v>
      </c>
      <c r="H127" s="25">
        <v>11038.128906249995</v>
      </c>
      <c r="I127" s="20"/>
      <c r="J127" s="26" t="str">
        <f>+'Expense Assumptions'!M45</f>
        <v>Flat amount for copy paper, pens, hole punchers, etc</v>
      </c>
      <c r="K127" s="1"/>
      <c r="L127" s="1"/>
      <c r="M127" s="1"/>
      <c r="N127" s="1"/>
      <c r="O127" s="1"/>
      <c r="P127" s="1"/>
      <c r="Q127" s="1"/>
      <c r="R127" s="1"/>
      <c r="S127" s="1"/>
    </row>
    <row r="128" spans="2:38" s="4" customFormat="1" ht="15" customHeight="1" x14ac:dyDescent="0.25">
      <c r="B128" s="23" t="str">
        <f>'Expense Assumptions'!C46</f>
        <v>Staff Development</v>
      </c>
      <c r="C128" s="42"/>
      <c r="D128" s="25">
        <v>2500</v>
      </c>
      <c r="E128" s="25">
        <v>3300</v>
      </c>
      <c r="F128" s="25">
        <v>4500</v>
      </c>
      <c r="G128" s="25">
        <v>5300</v>
      </c>
      <c r="H128" s="25">
        <v>6500</v>
      </c>
      <c r="I128" s="20"/>
      <c r="J128" s="26" t="str">
        <f>+'Expense Assumptions'!M46</f>
        <v>Per employee</v>
      </c>
      <c r="K128" s="1"/>
      <c r="L128" s="1"/>
      <c r="M128" s="1"/>
      <c r="N128" s="1"/>
      <c r="O128" s="1"/>
      <c r="P128" s="1"/>
      <c r="Q128" s="1"/>
      <c r="R128" s="1"/>
      <c r="S128" s="1"/>
    </row>
    <row r="129" spans="2:38" s="4" customFormat="1" ht="15" customHeight="1" x14ac:dyDescent="0.25">
      <c r="B129" s="23" t="str">
        <f>'Expense Assumptions'!C47</f>
        <v>Staff Recruitment</v>
      </c>
      <c r="C129" s="42"/>
      <c r="D129" s="25">
        <v>2000</v>
      </c>
      <c r="E129" s="25">
        <v>2050</v>
      </c>
      <c r="F129" s="25">
        <v>2101.25</v>
      </c>
      <c r="G129" s="25">
        <v>2153.78125</v>
      </c>
      <c r="H129" s="25">
        <v>2207.6257812499998</v>
      </c>
      <c r="I129" s="20"/>
      <c r="J129" s="26" t="str">
        <f>+'Expense Assumptions'!M47</f>
        <v>Flat amount for fingerprints and background checks</v>
      </c>
      <c r="K129" s="1"/>
      <c r="L129" s="1"/>
      <c r="M129" s="1"/>
      <c r="N129" s="1"/>
      <c r="O129" s="1"/>
      <c r="P129" s="1"/>
      <c r="Q129" s="1"/>
      <c r="R129" s="1"/>
      <c r="S129" s="1"/>
    </row>
    <row r="130" spans="2:38" s="4" customFormat="1" ht="15" customHeight="1" x14ac:dyDescent="0.25">
      <c r="B130" s="23" t="str">
        <f>'Expense Assumptions'!C48</f>
        <v>Student Recruitment / Marketing</v>
      </c>
      <c r="C130" s="42"/>
      <c r="D130" s="25">
        <v>3000</v>
      </c>
      <c r="E130" s="25">
        <v>3074.9999999999995</v>
      </c>
      <c r="F130" s="25">
        <v>3151.8749999999991</v>
      </c>
      <c r="G130" s="25">
        <v>3230.6718749999986</v>
      </c>
      <c r="H130" s="25">
        <v>3311.4386718749984</v>
      </c>
      <c r="I130" s="20"/>
      <c r="J130" s="26" t="str">
        <f>+'Expense Assumptions'!M48</f>
        <v>Flat amount (can build feeder tab if necessary)</v>
      </c>
      <c r="K130" s="1"/>
      <c r="L130" s="1"/>
      <c r="M130" s="1"/>
      <c r="N130" s="1"/>
      <c r="O130" s="1"/>
      <c r="P130" s="1"/>
      <c r="Q130" s="1"/>
      <c r="R130" s="1"/>
      <c r="S130" s="1"/>
    </row>
    <row r="131" spans="2:38" s="4" customFormat="1" ht="15" customHeight="1" x14ac:dyDescent="0.25">
      <c r="B131" s="23" t="str">
        <f>'Expense Assumptions'!C49</f>
        <v>School Meals / Lunch</v>
      </c>
      <c r="C131" s="2"/>
      <c r="D131" s="25">
        <v>79963.200000000012</v>
      </c>
      <c r="E131" s="25">
        <v>122943.42000000001</v>
      </c>
      <c r="F131" s="25">
        <v>168022.674</v>
      </c>
      <c r="G131" s="25">
        <v>200927.11432499997</v>
      </c>
      <c r="H131" s="25">
        <v>231694.07870601557</v>
      </c>
      <c r="I131" s="20"/>
      <c r="J131" s="26"/>
      <c r="K131" s="1"/>
      <c r="L131" s="1"/>
      <c r="M131" s="1"/>
      <c r="N131" s="1"/>
      <c r="O131" s="1"/>
      <c r="P131" s="1"/>
      <c r="Q131" s="1"/>
      <c r="R131" s="1"/>
      <c r="S131" s="1"/>
    </row>
    <row r="132" spans="2:38" s="4" customFormat="1" ht="15" customHeight="1" x14ac:dyDescent="0.25">
      <c r="B132" s="23" t="str">
        <f>'Expense Assumptions'!C50</f>
        <v>Travel (Staff)</v>
      </c>
      <c r="C132" s="2"/>
      <c r="D132" s="25">
        <v>2500</v>
      </c>
      <c r="E132" s="25">
        <v>2562.5</v>
      </c>
      <c r="F132" s="25">
        <v>2626.5624999999995</v>
      </c>
      <c r="G132" s="25">
        <v>2692.2265624999991</v>
      </c>
      <c r="H132" s="25">
        <v>2759.5322265624986</v>
      </c>
      <c r="I132" s="20"/>
      <c r="J132" s="26" t="str">
        <f>+'Expense Assumptions'!M50</f>
        <v>Flat amount</v>
      </c>
      <c r="K132" s="1"/>
      <c r="L132" s="1"/>
      <c r="M132" s="1"/>
      <c r="N132" s="1"/>
      <c r="O132" s="1"/>
      <c r="P132" s="1"/>
      <c r="Q132" s="1"/>
      <c r="R132" s="1"/>
      <c r="S132" s="1"/>
    </row>
    <row r="133" spans="2:38" s="4" customFormat="1" ht="15" customHeight="1" x14ac:dyDescent="0.25">
      <c r="B133" s="23" t="str">
        <f>'Expense Assumptions'!C51</f>
        <v>Fundraising</v>
      </c>
      <c r="C133" s="2"/>
      <c r="D133" s="25">
        <v>6250</v>
      </c>
      <c r="E133" s="25">
        <v>6250</v>
      </c>
      <c r="F133" s="25">
        <v>6250</v>
      </c>
      <c r="G133" s="25">
        <v>6250</v>
      </c>
      <c r="H133" s="25">
        <v>6250</v>
      </c>
      <c r="I133" s="20"/>
      <c r="J133" s="26" t="str">
        <f>+'Expense Assumptions'!M51</f>
        <v>Database renewal costs, gift processing fees, printing of collateral, event costs</v>
      </c>
      <c r="K133" s="1"/>
      <c r="L133" s="1"/>
      <c r="M133" s="1"/>
      <c r="N133" s="1"/>
      <c r="O133" s="1"/>
      <c r="P133" s="1"/>
      <c r="Q133" s="1"/>
      <c r="R133" s="1"/>
      <c r="S133" s="1"/>
    </row>
    <row r="134" spans="2:38" s="4" customFormat="1" ht="15" customHeight="1" x14ac:dyDescent="0.25">
      <c r="B134" s="23" t="str">
        <f>'Expense Assumptions'!C52</f>
        <v>Dues &amp; Memberships</v>
      </c>
      <c r="C134" s="2"/>
      <c r="D134" s="25">
        <v>1480</v>
      </c>
      <c r="E134" s="25">
        <v>1720</v>
      </c>
      <c r="F134" s="25">
        <v>1960</v>
      </c>
      <c r="G134" s="25">
        <v>2120</v>
      </c>
      <c r="H134" s="25">
        <v>2260</v>
      </c>
      <c r="I134" s="20"/>
      <c r="J134" s="26" t="str">
        <f>+'Expense Assumptions'!M52</f>
        <v>WA Charters ($5 per student), bank fees ($1k)</v>
      </c>
      <c r="K134" s="1"/>
      <c r="L134" s="1"/>
      <c r="M134" s="1"/>
      <c r="N134" s="1"/>
      <c r="O134" s="1"/>
      <c r="P134" s="1"/>
      <c r="Q134" s="1"/>
      <c r="R134" s="1"/>
      <c r="S134" s="1"/>
    </row>
    <row r="135" spans="2:38" s="4" customFormat="1" ht="15" customHeight="1" x14ac:dyDescent="0.25">
      <c r="B135" s="23" t="str">
        <f>'Expense Assumptions'!C53</f>
        <v>Printer</v>
      </c>
      <c r="C135" s="2"/>
      <c r="D135" s="25">
        <v>8000</v>
      </c>
      <c r="E135" s="25">
        <v>8200</v>
      </c>
      <c r="F135" s="25">
        <v>8405</v>
      </c>
      <c r="G135" s="25">
        <v>8615.125</v>
      </c>
      <c r="H135" s="25">
        <v>8830.5031249999993</v>
      </c>
      <c r="I135" s="20"/>
      <c r="J135" s="26" t="str">
        <f>+'Expense Assumptions'!M53</f>
        <v>Printer rental costs</v>
      </c>
      <c r="K135" s="1"/>
      <c r="L135" s="1"/>
      <c r="M135" s="1"/>
      <c r="N135" s="1"/>
      <c r="O135" s="1"/>
      <c r="P135" s="1"/>
      <c r="Q135" s="1"/>
      <c r="R135" s="1"/>
      <c r="S135" s="1"/>
    </row>
    <row r="136" spans="2:38" s="4" customFormat="1" ht="15" customHeight="1" thickBot="1" x14ac:dyDescent="0.3">
      <c r="B136" s="21" t="str">
        <f>'Expense Assumptions'!C54</f>
        <v>TOTAL SCHOOL OPERATIONS</v>
      </c>
      <c r="C136" s="2"/>
      <c r="D136" s="314">
        <f>SUM(D115:D135)</f>
        <v>372634.2</v>
      </c>
      <c r="E136" s="314">
        <f t="shared" ref="E136:H136" si="18">SUM(E115:E135)</f>
        <v>474743.17000000004</v>
      </c>
      <c r="F136" s="314">
        <f t="shared" si="18"/>
        <v>486783.89275</v>
      </c>
      <c r="G136" s="314">
        <f t="shared" si="18"/>
        <v>545921.91979374993</v>
      </c>
      <c r="H136" s="314">
        <f t="shared" si="18"/>
        <v>596674.92905757809</v>
      </c>
      <c r="I136" s="20"/>
      <c r="J136" s="26"/>
      <c r="K136" s="1"/>
      <c r="L136" s="1"/>
      <c r="M136" s="1"/>
      <c r="N136" s="1"/>
      <c r="O136" s="1"/>
      <c r="P136" s="1"/>
      <c r="Q136" s="1"/>
      <c r="R136" s="1"/>
      <c r="S136" s="1"/>
    </row>
    <row r="137" spans="2:38" s="4" customFormat="1" ht="6" customHeight="1" thickTop="1" x14ac:dyDescent="0.25">
      <c r="B137" s="46"/>
      <c r="C137" s="2"/>
      <c r="D137" s="25"/>
      <c r="E137" s="25"/>
      <c r="F137" s="25"/>
      <c r="G137" s="25"/>
      <c r="H137" s="25"/>
      <c r="I137" s="20"/>
      <c r="J137" s="26"/>
      <c r="K137" s="1"/>
      <c r="L137" s="1"/>
      <c r="M137" s="1"/>
      <c r="N137" s="1"/>
      <c r="O137" s="1"/>
      <c r="P137" s="1"/>
      <c r="Q137" s="1"/>
      <c r="R137" s="1"/>
      <c r="S137" s="1"/>
    </row>
    <row r="138" spans="2:38" s="4" customFormat="1" ht="15" customHeight="1" x14ac:dyDescent="0.25">
      <c r="B138" s="21" t="str">
        <f>'Expense Assumptions'!C56</f>
        <v>FACILITY OPERATION &amp; MAINTENANCE</v>
      </c>
      <c r="C138" s="2"/>
      <c r="D138" s="6"/>
      <c r="E138" s="6"/>
      <c r="F138" s="6"/>
      <c r="G138" s="6"/>
      <c r="H138" s="6"/>
      <c r="I138" s="20"/>
      <c r="J138" s="26"/>
      <c r="K138" s="1"/>
      <c r="L138" s="1"/>
      <c r="M138" s="1"/>
      <c r="N138" s="1"/>
      <c r="O138" s="1"/>
      <c r="P138" s="1"/>
      <c r="Q138" s="1"/>
      <c r="R138" s="1"/>
      <c r="S138" s="1"/>
    </row>
    <row r="139" spans="2:38" s="4" customFormat="1" ht="15" customHeight="1" x14ac:dyDescent="0.25">
      <c r="B139" s="23" t="str">
        <f>'Expense Assumptions'!C57</f>
        <v>Insurance</v>
      </c>
      <c r="C139" s="2"/>
      <c r="D139" s="25">
        <v>12500</v>
      </c>
      <c r="E139" s="25">
        <v>12812.499999999998</v>
      </c>
      <c r="F139" s="25">
        <v>13132.812499999996</v>
      </c>
      <c r="G139" s="25">
        <v>13461.132812499995</v>
      </c>
      <c r="H139" s="25">
        <v>13797.661132812493</v>
      </c>
      <c r="I139" s="20"/>
      <c r="J139" s="26" t="str">
        <f>+'Expense Assumptions'!M57</f>
        <v>Quote is 8500 + 4K = 12,500</v>
      </c>
      <c r="K139" s="1"/>
      <c r="L139" s="1"/>
      <c r="M139" s="1"/>
      <c r="N139" s="1"/>
      <c r="O139" s="1"/>
      <c r="P139" s="1"/>
      <c r="Q139" s="1"/>
      <c r="R139" s="1"/>
      <c r="S139" s="1"/>
    </row>
    <row r="140" spans="2:38" ht="15" customHeight="1" x14ac:dyDescent="0.25">
      <c r="B140" s="23" t="str">
        <f>'Expense Assumptions'!C58</f>
        <v>Janitorial Services</v>
      </c>
      <c r="D140" s="319">
        <v>12000</v>
      </c>
      <c r="E140" s="319">
        <v>18450</v>
      </c>
      <c r="F140" s="319">
        <v>25215</v>
      </c>
      <c r="G140" s="319">
        <v>30152.9375</v>
      </c>
      <c r="H140" s="319">
        <v>34770.106054687494</v>
      </c>
      <c r="I140" s="20"/>
      <c r="J140" s="26" t="str">
        <f>+'Expense Assumptions'!M58</f>
        <v>$125 per student, using "student enrollment" as proxy for sq footage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2:38" s="71" customFormat="1" ht="15" customHeight="1" x14ac:dyDescent="0.25">
      <c r="B141" s="23" t="str">
        <f>'Expense Assumptions'!C59</f>
        <v>Building and Land Rent / Lease</v>
      </c>
      <c r="C141" s="2"/>
      <c r="D141" s="25">
        <v>154992.94</v>
      </c>
      <c r="E141" s="25">
        <v>232237.14168</v>
      </c>
      <c r="F141" s="25">
        <v>302111.95000320004</v>
      </c>
      <c r="G141" s="25">
        <v>334785.02619488252</v>
      </c>
      <c r="H141" s="25">
        <v>380484.66711706144</v>
      </c>
      <c r="I141" s="70"/>
      <c r="J141" s="26">
        <f>+'Expense Assumptions'!M59</f>
        <v>0</v>
      </c>
    </row>
    <row r="142" spans="2:38" s="4" customFormat="1" ht="15" customHeight="1" x14ac:dyDescent="0.25">
      <c r="B142" s="23" t="str">
        <f>'Expense Assumptions'!C60</f>
        <v xml:space="preserve">Repairs &amp; Maintenance </v>
      </c>
      <c r="C142" s="2"/>
      <c r="D142" s="25">
        <v>0</v>
      </c>
      <c r="E142" s="25">
        <v>72000</v>
      </c>
      <c r="F142" s="25">
        <v>36000</v>
      </c>
      <c r="G142" s="25">
        <v>54000</v>
      </c>
      <c r="H142" s="25">
        <v>18000</v>
      </c>
      <c r="I142" s="20"/>
      <c r="J142" s="26" t="str">
        <f>+'Expense Assumptions'!M60</f>
        <v>Mostly covered by landlord; $18k estimate for sprinklers over years 2-4</v>
      </c>
      <c r="K142" s="1"/>
      <c r="L142" s="1"/>
      <c r="M142" s="1"/>
      <c r="N142" s="1"/>
      <c r="O142" s="1"/>
      <c r="P142" s="1"/>
      <c r="Q142" s="1"/>
      <c r="R142" s="1"/>
      <c r="S142" s="1"/>
    </row>
    <row r="143" spans="2:38" s="4" customFormat="1" ht="15" customHeight="1" x14ac:dyDescent="0.25">
      <c r="B143" s="23" t="str">
        <f>'Expense Assumptions'!C61</f>
        <v>Security Services</v>
      </c>
      <c r="C143" s="2"/>
      <c r="D143" s="25">
        <v>2500</v>
      </c>
      <c r="E143" s="25">
        <v>2562.5</v>
      </c>
      <c r="F143" s="25">
        <v>2626.5624999999995</v>
      </c>
      <c r="G143" s="25">
        <v>2692.2265624999991</v>
      </c>
      <c r="H143" s="25">
        <v>2759.5322265624986</v>
      </c>
      <c r="I143" s="20"/>
      <c r="J143" s="26" t="str">
        <f>+'Expense Assumptions'!M61</f>
        <v>Estimate for security system ($150/month) + various fees</v>
      </c>
      <c r="K143" s="1"/>
      <c r="L143" s="1"/>
      <c r="M143" s="1"/>
      <c r="N143" s="1"/>
      <c r="O143" s="1"/>
      <c r="P143" s="1"/>
      <c r="Q143" s="1"/>
      <c r="R143" s="1"/>
      <c r="S143" s="1"/>
    </row>
    <row r="144" spans="2:38" s="4" customFormat="1" ht="15" customHeight="1" x14ac:dyDescent="0.25">
      <c r="B144" s="23" t="str">
        <f>'Expense Assumptions'!C62</f>
        <v>Utilities</v>
      </c>
      <c r="C144" s="2"/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0"/>
      <c r="J144" s="26" t="str">
        <f>+'Expense Assumptions'!M62</f>
        <v>Covered by landlord</v>
      </c>
      <c r="K144" s="1"/>
      <c r="L144" s="1"/>
      <c r="M144" s="1"/>
      <c r="N144" s="1"/>
      <c r="O144" s="1"/>
      <c r="P144" s="1"/>
      <c r="Q144" s="1"/>
      <c r="R144" s="1"/>
      <c r="S144" s="1"/>
    </row>
    <row r="145" spans="2:19" s="4" customFormat="1" ht="15" customHeight="1" x14ac:dyDescent="0.25">
      <c r="B145" s="23" t="str">
        <f>'Expense Assumptions'!C63</f>
        <v>Building Updates (Financing)</v>
      </c>
      <c r="C145" s="2"/>
      <c r="D145" s="25">
        <v>0</v>
      </c>
      <c r="E145" s="25">
        <v>22562.959156640409</v>
      </c>
      <c r="F145" s="25">
        <v>37502.185491431046</v>
      </c>
      <c r="G145" s="25">
        <v>37502.185491431046</v>
      </c>
      <c r="H145" s="25">
        <v>37502.185491431046</v>
      </c>
      <c r="I145" s="20"/>
      <c r="J145" s="26">
        <f>+'Expense Assumptions'!M63</f>
        <v>0</v>
      </c>
      <c r="K145" s="1"/>
      <c r="L145" s="1"/>
      <c r="M145" s="1"/>
      <c r="N145" s="1"/>
      <c r="O145" s="1"/>
      <c r="P145" s="1"/>
      <c r="Q145" s="1"/>
      <c r="R145" s="1"/>
      <c r="S145" s="1"/>
    </row>
    <row r="146" spans="2:19" s="4" customFormat="1" ht="15" customHeight="1" thickBot="1" x14ac:dyDescent="0.3">
      <c r="B146" s="21" t="str">
        <f>'Expense Assumptions'!C64</f>
        <v>TOTAL FACILITY OPERATION &amp; MAINTENANCE</v>
      </c>
      <c r="C146" s="2"/>
      <c r="D146" s="314">
        <f t="shared" ref="D146:H146" si="19">SUM(D139:D145)</f>
        <v>181992.94</v>
      </c>
      <c r="E146" s="314">
        <f t="shared" si="19"/>
        <v>360625.1008366404</v>
      </c>
      <c r="F146" s="314">
        <f t="shared" si="19"/>
        <v>416588.51049463107</v>
      </c>
      <c r="G146" s="314">
        <f t="shared" si="19"/>
        <v>472593.50856131356</v>
      </c>
      <c r="H146" s="314">
        <f t="shared" si="19"/>
        <v>487314.15202255495</v>
      </c>
      <c r="I146" s="20"/>
      <c r="J146" s="26"/>
      <c r="K146" s="1"/>
      <c r="L146" s="1"/>
      <c r="M146" s="1"/>
      <c r="N146" s="1"/>
      <c r="O146" s="1"/>
      <c r="P146" s="1"/>
      <c r="Q146" s="1"/>
      <c r="R146" s="1"/>
      <c r="S146" s="1"/>
    </row>
    <row r="147" spans="2:19" s="4" customFormat="1" ht="6" customHeight="1" thickTop="1" x14ac:dyDescent="0.25">
      <c r="B147" s="21"/>
      <c r="C147" s="2"/>
      <c r="D147" s="31"/>
      <c r="E147" s="31"/>
      <c r="F147" s="31"/>
      <c r="G147" s="31"/>
      <c r="H147" s="31"/>
      <c r="I147" s="20"/>
      <c r="J147" s="26"/>
      <c r="K147" s="1"/>
      <c r="L147" s="1"/>
      <c r="M147" s="1"/>
      <c r="N147" s="1"/>
      <c r="O147" s="1"/>
      <c r="P147" s="1"/>
      <c r="Q147" s="1"/>
      <c r="R147" s="1"/>
      <c r="S147" s="1"/>
    </row>
    <row r="148" spans="2:19" s="4" customFormat="1" ht="15" customHeight="1" x14ac:dyDescent="0.25">
      <c r="B148" s="21" t="str">
        <f>'Expense Assumptions'!C66</f>
        <v>RESERVES / CONTIGENCY</v>
      </c>
      <c r="C148" s="2"/>
      <c r="D148" s="25">
        <v>41739.986690590449</v>
      </c>
      <c r="E148" s="25">
        <v>61152.524441207417</v>
      </c>
      <c r="F148" s="25">
        <v>75526.03393331384</v>
      </c>
      <c r="G148" s="25">
        <v>87794.219325457001</v>
      </c>
      <c r="H148" s="25">
        <v>137224.39524575876</v>
      </c>
      <c r="I148" s="20"/>
      <c r="J148" s="26" t="str">
        <f>+'Expense Assumptions'!M66</f>
        <v>Attrition</v>
      </c>
      <c r="K148" s="1"/>
      <c r="L148" s="1"/>
      <c r="M148" s="1"/>
      <c r="N148" s="1"/>
      <c r="O148" s="1"/>
      <c r="P148" s="1"/>
      <c r="Q148" s="1"/>
      <c r="R148" s="1"/>
      <c r="S148" s="1"/>
    </row>
    <row r="149" spans="2:19" s="4" customFormat="1" ht="6" customHeight="1" x14ac:dyDescent="0.25">
      <c r="B149" s="21"/>
      <c r="C149" s="2"/>
      <c r="D149" s="47"/>
      <c r="E149" s="47"/>
      <c r="F149" s="47"/>
      <c r="G149" s="47"/>
      <c r="H149" s="47"/>
      <c r="I149" s="20"/>
      <c r="J149" s="26"/>
      <c r="K149" s="1"/>
      <c r="L149" s="1"/>
      <c r="M149" s="1"/>
      <c r="N149" s="1"/>
      <c r="O149" s="1"/>
      <c r="P149" s="1"/>
      <c r="Q149" s="1"/>
      <c r="R149" s="1"/>
      <c r="S149" s="1"/>
    </row>
    <row r="150" spans="2:19" s="4" customFormat="1" ht="15" customHeight="1" x14ac:dyDescent="0.25">
      <c r="B150" s="21" t="s">
        <v>5</v>
      </c>
      <c r="C150" s="2"/>
      <c r="D150" s="317">
        <f t="shared" ref="D150:H150" si="20">SUM(D100+D112+D136+D146+D148)</f>
        <v>1802797.9003440186</v>
      </c>
      <c r="E150" s="317">
        <f t="shared" si="20"/>
        <v>2389374.9797823997</v>
      </c>
      <c r="F150" s="317">
        <f t="shared" si="20"/>
        <v>2909813.2798871794</v>
      </c>
      <c r="G150" s="317">
        <f t="shared" si="20"/>
        <v>3393202.7358124061</v>
      </c>
      <c r="H150" s="317">
        <f t="shared" si="20"/>
        <v>4083850.1938678119</v>
      </c>
      <c r="I150" s="20"/>
      <c r="J150" s="26"/>
      <c r="K150" s="1"/>
      <c r="L150" s="1"/>
      <c r="M150" s="1"/>
      <c r="N150" s="1"/>
      <c r="O150" s="1"/>
      <c r="P150" s="1"/>
      <c r="Q150" s="1"/>
      <c r="R150" s="1"/>
      <c r="S150" s="1"/>
    </row>
    <row r="151" spans="2:19" s="4" customFormat="1" ht="15" customHeight="1" thickBot="1" x14ac:dyDescent="0.3">
      <c r="B151" s="21" t="s">
        <v>128</v>
      </c>
      <c r="C151" s="42"/>
      <c r="D151" s="314">
        <f t="shared" ref="D151:H151" si="21">D56-D150</f>
        <v>231274.98934233002</v>
      </c>
      <c r="E151" s="314">
        <f t="shared" si="21"/>
        <v>245042.50159118138</v>
      </c>
      <c r="F151" s="314">
        <f t="shared" si="21"/>
        <v>99721.184556615539</v>
      </c>
      <c r="G151" s="314">
        <f t="shared" si="21"/>
        <v>-246728.75829717191</v>
      </c>
      <c r="H151" s="314">
        <f t="shared" si="21"/>
        <v>490296.31432414707</v>
      </c>
      <c r="I151" s="20"/>
      <c r="J151" s="26"/>
      <c r="K151" s="1"/>
      <c r="L151" s="1"/>
      <c r="M151" s="1"/>
      <c r="N151" s="1"/>
      <c r="O151" s="1"/>
      <c r="P151" s="1"/>
      <c r="Q151" s="1"/>
      <c r="R151" s="1"/>
      <c r="S151" s="1"/>
    </row>
    <row r="152" spans="2:19" s="4" customFormat="1" ht="6" customHeight="1" thickTop="1" x14ac:dyDescent="0.25">
      <c r="B152" s="21"/>
      <c r="C152" s="2"/>
      <c r="D152" s="31"/>
      <c r="E152" s="31"/>
      <c r="F152" s="31"/>
      <c r="G152" s="31"/>
      <c r="H152" s="31"/>
      <c r="I152" s="20"/>
      <c r="J152" s="26"/>
      <c r="K152" s="1"/>
      <c r="L152" s="1"/>
      <c r="M152" s="1"/>
      <c r="N152" s="1"/>
      <c r="O152" s="1"/>
      <c r="P152" s="1"/>
      <c r="Q152" s="1"/>
      <c r="R152" s="1"/>
      <c r="S152" s="1"/>
    </row>
    <row r="153" spans="2:19" s="4" customFormat="1" ht="15" customHeight="1" x14ac:dyDescent="0.25">
      <c r="B153" s="21" t="str">
        <f>+'Expense Assumptions'!C67</f>
        <v>DEPRECIATION / AMORTIZATION</v>
      </c>
      <c r="C153" s="2"/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0"/>
      <c r="J153" s="26"/>
      <c r="K153" s="1"/>
      <c r="L153" s="1"/>
      <c r="M153" s="1"/>
      <c r="N153" s="1"/>
      <c r="O153" s="1"/>
      <c r="P153" s="1"/>
      <c r="Q153" s="1"/>
      <c r="R153" s="1"/>
      <c r="S153" s="1"/>
    </row>
    <row r="154" spans="2:19" s="4" customFormat="1" ht="6" customHeight="1" x14ac:dyDescent="0.25">
      <c r="B154" s="21"/>
      <c r="C154" s="2"/>
      <c r="D154" s="31"/>
      <c r="E154" s="31"/>
      <c r="F154" s="31"/>
      <c r="G154" s="31"/>
      <c r="H154" s="31"/>
      <c r="I154" s="20"/>
      <c r="J154" s="26"/>
      <c r="K154" s="1"/>
      <c r="L154" s="1"/>
      <c r="M154" s="1"/>
      <c r="N154" s="1"/>
      <c r="O154" s="1"/>
      <c r="P154" s="1"/>
      <c r="Q154" s="1"/>
      <c r="R154" s="1"/>
      <c r="S154" s="1"/>
    </row>
    <row r="155" spans="2:19" s="4" customFormat="1" ht="15" customHeight="1" thickBot="1" x14ac:dyDescent="0.3">
      <c r="B155" s="21" t="s">
        <v>130</v>
      </c>
      <c r="C155" s="2"/>
      <c r="D155" s="318">
        <f t="shared" ref="D155:H155" si="22">D151-D153</f>
        <v>231274.98934233002</v>
      </c>
      <c r="E155" s="318">
        <f t="shared" si="22"/>
        <v>245042.50159118138</v>
      </c>
      <c r="F155" s="318">
        <f t="shared" si="22"/>
        <v>99721.184556615539</v>
      </c>
      <c r="G155" s="318">
        <f t="shared" si="22"/>
        <v>-246728.75829717191</v>
      </c>
      <c r="H155" s="318">
        <f t="shared" si="22"/>
        <v>490296.31432414707</v>
      </c>
      <c r="I155" s="20"/>
      <c r="J155" s="26"/>
      <c r="K155" s="1"/>
      <c r="L155" s="1"/>
      <c r="M155" s="1"/>
      <c r="N155" s="1"/>
      <c r="O155" s="1"/>
      <c r="P155" s="1"/>
      <c r="Q155" s="1"/>
      <c r="R155" s="1"/>
      <c r="S155" s="1"/>
    </row>
    <row r="156" spans="2:19" ht="15" customHeight="1" thickTop="1" x14ac:dyDescent="0.25"/>
    <row r="157" spans="2:19" ht="15" customHeight="1" x14ac:dyDescent="0.25">
      <c r="B157" s="61" t="s">
        <v>390</v>
      </c>
    </row>
    <row r="158" spans="2:19" ht="15" customHeight="1" x14ac:dyDescent="0.25">
      <c r="B158" s="1" t="s">
        <v>391</v>
      </c>
      <c r="D158" s="2">
        <v>154992.94</v>
      </c>
      <c r="E158" s="2">
        <v>232237.14168</v>
      </c>
      <c r="F158" s="2">
        <v>302111.95000320004</v>
      </c>
      <c r="G158" s="2">
        <v>334785.02619488252</v>
      </c>
      <c r="H158" s="2">
        <v>380484.66711706144</v>
      </c>
    </row>
    <row r="159" spans="2:19" ht="15" customHeight="1" x14ac:dyDescent="0.25">
      <c r="B159" s="1" t="s">
        <v>392</v>
      </c>
      <c r="D159" s="2">
        <v>0</v>
      </c>
      <c r="E159" s="2">
        <v>31781.671127329773</v>
      </c>
      <c r="F159" s="2">
        <v>29265.140110443688</v>
      </c>
      <c r="G159" s="2">
        <v>54748.242689584127</v>
      </c>
      <c r="H159" s="2">
        <v>54748.242689584127</v>
      </c>
    </row>
    <row r="160" spans="2:19" ht="15" customHeight="1" x14ac:dyDescent="0.25">
      <c r="B160" s="1" t="s">
        <v>393</v>
      </c>
      <c r="D160" s="2">
        <v>154992.94</v>
      </c>
      <c r="E160" s="2">
        <v>264018.81280732976</v>
      </c>
      <c r="F160" s="2">
        <v>331377.09011364373</v>
      </c>
      <c r="G160" s="2">
        <v>389533.26888446667</v>
      </c>
      <c r="H160" s="2">
        <v>435232.90980664559</v>
      </c>
    </row>
    <row r="161" spans="2:8" ht="15" customHeight="1" x14ac:dyDescent="0.25">
      <c r="B161" s="1" t="s">
        <v>394</v>
      </c>
      <c r="D161" s="375">
        <v>2.4925130740944073</v>
      </c>
      <c r="E161" s="375">
        <v>1.8932082797924947</v>
      </c>
      <c r="F161" s="375">
        <v>1.325786643550342</v>
      </c>
      <c r="G161" s="375">
        <v>0.32233050016167375</v>
      </c>
      <c r="H161" s="375">
        <v>2.0868899076040668</v>
      </c>
    </row>
    <row r="163" spans="2:8" ht="15" customHeight="1" x14ac:dyDescent="0.25">
      <c r="B163" s="379" t="s">
        <v>395</v>
      </c>
      <c r="C163" s="49"/>
      <c r="D163" s="49"/>
      <c r="E163" s="49"/>
      <c r="F163" s="49"/>
      <c r="G163" s="49"/>
      <c r="H163" s="49"/>
    </row>
    <row r="164" spans="2:8" ht="15" customHeight="1" x14ac:dyDescent="0.25">
      <c r="B164" s="44" t="s">
        <v>396</v>
      </c>
      <c r="C164" s="49"/>
      <c r="D164" s="376">
        <v>0.45182086179052905</v>
      </c>
      <c r="E164" s="376">
        <v>0.45333732903284907</v>
      </c>
      <c r="F164" s="376">
        <v>0.54266624890695636</v>
      </c>
      <c r="G164" s="376">
        <v>0.62935895464491898</v>
      </c>
      <c r="H164" s="376">
        <v>0.54813174052872793</v>
      </c>
    </row>
    <row r="165" spans="2:8" ht="15" customHeight="1" x14ac:dyDescent="0.25">
      <c r="B165" s="44" t="s">
        <v>397</v>
      </c>
      <c r="C165" s="49"/>
      <c r="D165" s="376">
        <v>0.14129002414210745</v>
      </c>
      <c r="E165" s="376">
        <v>0.11333602287877745</v>
      </c>
      <c r="F165" s="376">
        <v>9.8932930475126094E-2</v>
      </c>
      <c r="G165" s="376">
        <v>9.7452423575294725E-2</v>
      </c>
      <c r="H165" s="376">
        <v>7.7697955222195053E-2</v>
      </c>
    </row>
    <row r="166" spans="2:8" ht="15" customHeight="1" x14ac:dyDescent="0.25">
      <c r="B166" s="44" t="s">
        <v>398</v>
      </c>
      <c r="C166" s="49"/>
      <c r="D166" s="376">
        <v>0.18316954219740444</v>
      </c>
      <c r="E166" s="376">
        <v>0.18020802448990345</v>
      </c>
      <c r="F166" s="376">
        <v>0.16174723981436931</v>
      </c>
      <c r="G166" s="376">
        <v>0.17350276013560539</v>
      </c>
      <c r="H166" s="376">
        <v>0.13044508478007369</v>
      </c>
    </row>
    <row r="167" spans="2:8" ht="15" customHeight="1" x14ac:dyDescent="0.25">
      <c r="B167" s="44" t="s">
        <v>399</v>
      </c>
      <c r="C167" s="49"/>
      <c r="D167" s="376">
        <v>8.9472182104576928E-2</v>
      </c>
      <c r="E167" s="376">
        <v>0.14038921902935969</v>
      </c>
      <c r="F167" s="376">
        <v>0.13568592416472391</v>
      </c>
      <c r="G167" s="376">
        <v>0.15567888667119767</v>
      </c>
      <c r="H167" s="376">
        <v>0.11030696290927235</v>
      </c>
    </row>
    <row r="168" spans="2:8" ht="15" customHeight="1" x14ac:dyDescent="0.25">
      <c r="B168" s="44" t="s">
        <v>400</v>
      </c>
      <c r="C168" s="49"/>
      <c r="D168" s="376">
        <v>0</v>
      </c>
      <c r="E168" s="376">
        <v>1.206402225616832E-2</v>
      </c>
      <c r="F168" s="376">
        <v>9.7241418751628436E-3</v>
      </c>
      <c r="G168" s="376">
        <v>1.7399871437302886E-2</v>
      </c>
      <c r="H168" s="376">
        <v>1.1969061898549613E-2</v>
      </c>
    </row>
    <row r="169" spans="2:8" ht="15" customHeight="1" x14ac:dyDescent="0.25">
      <c r="B169" s="44"/>
      <c r="C169" s="49"/>
      <c r="D169" s="377">
        <v>0.86575261023461791</v>
      </c>
      <c r="E169" s="377">
        <v>0.89933461768705802</v>
      </c>
      <c r="F169" s="377">
        <v>0.94875648523633849</v>
      </c>
      <c r="G169" s="377">
        <v>1.0733928964643198</v>
      </c>
      <c r="H169" s="377">
        <v>0.87855080533881857</v>
      </c>
    </row>
    <row r="170" spans="2:8" ht="15" customHeight="1" x14ac:dyDescent="0.25">
      <c r="B170" s="44" t="s">
        <v>360</v>
      </c>
      <c r="C170" s="49"/>
      <c r="D170" s="49"/>
      <c r="E170" s="49"/>
      <c r="F170" s="49"/>
      <c r="G170" s="49"/>
      <c r="H170" s="49"/>
    </row>
    <row r="171" spans="2:8" ht="15" customHeight="1" x14ac:dyDescent="0.25">
      <c r="B171" s="44" t="s">
        <v>396</v>
      </c>
      <c r="C171" s="49"/>
      <c r="D171" s="378">
        <v>9573.2975621128935</v>
      </c>
      <c r="E171" s="378">
        <v>8293.6096150232261</v>
      </c>
      <c r="F171" s="378">
        <v>8506.1082227912502</v>
      </c>
      <c r="G171" s="378">
        <v>8840.4534522608392</v>
      </c>
      <c r="H171" s="378">
        <v>9949.3447895581812</v>
      </c>
    </row>
    <row r="172" spans="2:8" ht="15" customHeight="1" x14ac:dyDescent="0.25">
      <c r="B172" s="44" t="s">
        <v>397</v>
      </c>
      <c r="C172" s="49"/>
      <c r="D172" s="378">
        <v>2993.6896634436507</v>
      </c>
      <c r="E172" s="378">
        <v>2073.4333329250517</v>
      </c>
      <c r="F172" s="378">
        <v>1550.7399163193429</v>
      </c>
      <c r="G172" s="378">
        <v>1368.8906911850756</v>
      </c>
      <c r="H172" s="378">
        <v>1410.3247244970582</v>
      </c>
    </row>
    <row r="173" spans="2:8" ht="15" customHeight="1" x14ac:dyDescent="0.25">
      <c r="B173" s="44" t="s">
        <v>398</v>
      </c>
      <c r="C173" s="49"/>
      <c r="D173" s="378">
        <v>3881.0437500000003</v>
      </c>
      <c r="E173" s="378">
        <v>3296.8275694444446</v>
      </c>
      <c r="F173" s="378">
        <v>2535.3327747395833</v>
      </c>
      <c r="G173" s="378">
        <v>2437.1514276506691</v>
      </c>
      <c r="H173" s="378">
        <v>2367.7576549903893</v>
      </c>
    </row>
    <row r="174" spans="2:8" ht="15" customHeight="1" x14ac:dyDescent="0.25">
      <c r="B174" s="44" t="s">
        <v>399</v>
      </c>
      <c r="C174" s="49"/>
      <c r="D174" s="378">
        <v>1895.7597916666666</v>
      </c>
      <c r="E174" s="378">
        <v>2568.3598111620122</v>
      </c>
      <c r="F174" s="378">
        <v>2126.8305474668946</v>
      </c>
      <c r="G174" s="378">
        <v>2186.7837757119046</v>
      </c>
      <c r="H174" s="378">
        <v>2002.2230524631273</v>
      </c>
    </row>
    <row r="175" spans="2:8" ht="15" customHeight="1" x14ac:dyDescent="0.25">
      <c r="B175" s="44" t="s">
        <v>400</v>
      </c>
      <c r="C175" s="49"/>
      <c r="D175" s="378">
        <v>0</v>
      </c>
      <c r="E175" s="378">
        <v>220.70604949534564</v>
      </c>
      <c r="F175" s="378">
        <v>152.42260474189422</v>
      </c>
      <c r="G175" s="378">
        <v>244.41179772135771</v>
      </c>
      <c r="H175" s="378">
        <v>217.25493130787353</v>
      </c>
    </row>
  </sheetData>
  <sheetProtection formatColumns="0" formatRows="0"/>
  <conditionalFormatting sqref="D137:H137 D60:H66 D80:H84 D149:H149 D36:H39 D95:H97 D105:H105 D70:H76 D27:H30">
    <cfRule type="expression" dxfId="246" priority="49">
      <formula>#REF!=3</formula>
    </cfRule>
  </conditionalFormatting>
  <conditionalFormatting sqref="D23 D126:H135 D117:H124">
    <cfRule type="expression" dxfId="245" priority="48">
      <formula>#REF!=3</formula>
    </cfRule>
  </conditionalFormatting>
  <conditionalFormatting sqref="D16:H18">
    <cfRule type="expression" dxfId="244" priority="47">
      <formula>#REF!=3</formula>
    </cfRule>
  </conditionalFormatting>
  <conditionalFormatting sqref="D31:H31">
    <cfRule type="expression" dxfId="243" priority="46">
      <formula>#REF!=3</formula>
    </cfRule>
  </conditionalFormatting>
  <conditionalFormatting sqref="D44:H44">
    <cfRule type="expression" dxfId="242" priority="45">
      <formula>#REF!=3</formula>
    </cfRule>
  </conditionalFormatting>
  <conditionalFormatting sqref="D43:H43">
    <cfRule type="expression" dxfId="241" priority="44">
      <formula>#REF!=3</formula>
    </cfRule>
  </conditionalFormatting>
  <conditionalFormatting sqref="D48:H49">
    <cfRule type="expression" dxfId="240" priority="43">
      <formula>#REF!=3</formula>
    </cfRule>
  </conditionalFormatting>
  <conditionalFormatting sqref="D49:H49">
    <cfRule type="expression" dxfId="239" priority="42">
      <formula>#REF!=3</formula>
    </cfRule>
  </conditionalFormatting>
  <conditionalFormatting sqref="D53:H53">
    <cfRule type="expression" dxfId="238" priority="41">
      <formula>#REF!=3</formula>
    </cfRule>
  </conditionalFormatting>
  <conditionalFormatting sqref="D103:H104">
    <cfRule type="expression" dxfId="237" priority="40">
      <formula>#REF!=3</formula>
    </cfRule>
  </conditionalFormatting>
  <conditionalFormatting sqref="D22">
    <cfRule type="expression" dxfId="236" priority="39">
      <formula>#REF!=3</formula>
    </cfRule>
  </conditionalFormatting>
  <conditionalFormatting sqref="D32:H32">
    <cfRule type="expression" dxfId="235" priority="38">
      <formula>#REF!=3</formula>
    </cfRule>
  </conditionalFormatting>
  <conditionalFormatting sqref="D90:H90">
    <cfRule type="expression" dxfId="234" priority="37">
      <formula>#REF!=3</formula>
    </cfRule>
  </conditionalFormatting>
  <conditionalFormatting sqref="E90">
    <cfRule type="expression" dxfId="233" priority="36">
      <formula>#REF!=3</formula>
    </cfRule>
  </conditionalFormatting>
  <conditionalFormatting sqref="F90">
    <cfRule type="expression" dxfId="232" priority="35">
      <formula>#REF!=3</formula>
    </cfRule>
  </conditionalFormatting>
  <conditionalFormatting sqref="G90">
    <cfRule type="expression" dxfId="231" priority="34">
      <formula>#REF!=3</formula>
    </cfRule>
  </conditionalFormatting>
  <conditionalFormatting sqref="H90">
    <cfRule type="expression" dxfId="230" priority="33">
      <formula>#REF!=3</formula>
    </cfRule>
  </conditionalFormatting>
  <conditionalFormatting sqref="D91:H91">
    <cfRule type="expression" dxfId="229" priority="32">
      <formula>#REF!=3</formula>
    </cfRule>
  </conditionalFormatting>
  <conditionalFormatting sqref="E91">
    <cfRule type="expression" dxfId="228" priority="31">
      <formula>#REF!=3</formula>
    </cfRule>
  </conditionalFormatting>
  <conditionalFormatting sqref="F91">
    <cfRule type="expression" dxfId="227" priority="30">
      <formula>#REF!=3</formula>
    </cfRule>
  </conditionalFormatting>
  <conditionalFormatting sqref="G91">
    <cfRule type="expression" dxfId="226" priority="29">
      <formula>#REF!=3</formula>
    </cfRule>
  </conditionalFormatting>
  <conditionalFormatting sqref="H91">
    <cfRule type="expression" dxfId="225" priority="28">
      <formula>#REF!=3</formula>
    </cfRule>
  </conditionalFormatting>
  <conditionalFormatting sqref="D92:H92">
    <cfRule type="expression" dxfId="224" priority="27">
      <formula>#REF!=3</formula>
    </cfRule>
  </conditionalFormatting>
  <conditionalFormatting sqref="E92">
    <cfRule type="expression" dxfId="223" priority="26">
      <formula>#REF!=3</formula>
    </cfRule>
  </conditionalFormatting>
  <conditionalFormatting sqref="F92">
    <cfRule type="expression" dxfId="222" priority="25">
      <formula>#REF!=3</formula>
    </cfRule>
  </conditionalFormatting>
  <conditionalFormatting sqref="G92">
    <cfRule type="expression" dxfId="221" priority="24">
      <formula>#REF!=3</formula>
    </cfRule>
  </conditionalFormatting>
  <conditionalFormatting sqref="H92">
    <cfRule type="expression" dxfId="220" priority="23">
      <formula>#REF!=3</formula>
    </cfRule>
  </conditionalFormatting>
  <conditionalFormatting sqref="D93:H93">
    <cfRule type="expression" dxfId="219" priority="22">
      <formula>#REF!=3</formula>
    </cfRule>
  </conditionalFormatting>
  <conditionalFormatting sqref="E93">
    <cfRule type="expression" dxfId="218" priority="21">
      <formula>#REF!=3</formula>
    </cfRule>
  </conditionalFormatting>
  <conditionalFormatting sqref="F93">
    <cfRule type="expression" dxfId="217" priority="20">
      <formula>#REF!=3</formula>
    </cfRule>
  </conditionalFormatting>
  <conditionalFormatting sqref="G93">
    <cfRule type="expression" dxfId="216" priority="19">
      <formula>#REF!=3</formula>
    </cfRule>
  </conditionalFormatting>
  <conditionalFormatting sqref="H93">
    <cfRule type="expression" dxfId="215" priority="18">
      <formula>#REF!=3</formula>
    </cfRule>
  </conditionalFormatting>
  <conditionalFormatting sqref="D94:H94">
    <cfRule type="expression" dxfId="214" priority="17">
      <formula>#REF!=3</formula>
    </cfRule>
  </conditionalFormatting>
  <conditionalFormatting sqref="E94">
    <cfRule type="expression" dxfId="213" priority="16">
      <formula>#REF!=3</formula>
    </cfRule>
  </conditionalFormatting>
  <conditionalFormatting sqref="F94">
    <cfRule type="expression" dxfId="212" priority="15">
      <formula>#REF!=3</formula>
    </cfRule>
  </conditionalFormatting>
  <conditionalFormatting sqref="G94">
    <cfRule type="expression" dxfId="211" priority="14">
      <formula>#REF!=3</formula>
    </cfRule>
  </conditionalFormatting>
  <conditionalFormatting sqref="H94">
    <cfRule type="expression" dxfId="210" priority="13">
      <formula>#REF!=3</formula>
    </cfRule>
  </conditionalFormatting>
  <conditionalFormatting sqref="D115:H115">
    <cfRule type="expression" dxfId="209" priority="12">
      <formula>#REF!=3</formula>
    </cfRule>
  </conditionalFormatting>
  <conditionalFormatting sqref="D116:H116">
    <cfRule type="expression" dxfId="208" priority="11">
      <formula>#REF!=3</formula>
    </cfRule>
  </conditionalFormatting>
  <conditionalFormatting sqref="D106:H111">
    <cfRule type="expression" dxfId="207" priority="10">
      <formula>#REF!=3</formula>
    </cfRule>
  </conditionalFormatting>
  <conditionalFormatting sqref="D125:H125">
    <cfRule type="expression" dxfId="206" priority="9">
      <formula>#REF!=3</formula>
    </cfRule>
  </conditionalFormatting>
  <conditionalFormatting sqref="D139:H139">
    <cfRule type="expression" dxfId="205" priority="8">
      <formula>#REF!=3</formula>
    </cfRule>
  </conditionalFormatting>
  <conditionalFormatting sqref="D141:H141">
    <cfRule type="expression" dxfId="204" priority="7">
      <formula>#REF!=3</formula>
    </cfRule>
  </conditionalFormatting>
  <conditionalFormatting sqref="D140:H140">
    <cfRule type="expression" dxfId="203" priority="6">
      <formula>#REF!=3</formula>
    </cfRule>
  </conditionalFormatting>
  <conditionalFormatting sqref="D142:H145">
    <cfRule type="expression" dxfId="202" priority="5">
      <formula>#REF!=3</formula>
    </cfRule>
  </conditionalFormatting>
  <conditionalFormatting sqref="D148:H148">
    <cfRule type="expression" dxfId="201" priority="4">
      <formula>#REF!=3</formula>
    </cfRule>
  </conditionalFormatting>
  <conditionalFormatting sqref="D153:H153">
    <cfRule type="expression" dxfId="200" priority="3">
      <formula>#REF!=3</formula>
    </cfRule>
  </conditionalFormatting>
  <conditionalFormatting sqref="E23:H23">
    <cfRule type="expression" dxfId="199" priority="2">
      <formula>#REF!=3</formula>
    </cfRule>
  </conditionalFormatting>
  <conditionalFormatting sqref="E22:H22">
    <cfRule type="expression" dxfId="198" priority="1">
      <formula>#REF!=3</formula>
    </cfRule>
  </conditionalFormatting>
  <printOptions horizontalCentered="1"/>
  <pageMargins left="0.7" right="0.7" top="0.75" bottom="0.75" header="0.3" footer="0.3"/>
  <pageSetup scale="41" fitToHeight="0" orientation="portrait" horizontalDpi="4294967293" verticalDpi="4294967293" r:id="rId1"/>
  <headerFooter alignWithMargins="0"/>
  <rowBreaks count="1" manualBreakCount="1">
    <brk id="100" min="1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C97B-F97B-42D9-A47E-E3B38AB9FA02}">
  <sheetPr codeName="Sheet9">
    <tabColor theme="8"/>
  </sheetPr>
  <dimension ref="C1:BB51"/>
  <sheetViews>
    <sheetView zoomScale="70" zoomScaleNormal="70" zoomScaleSheetLayoutView="70" workbookViewId="0">
      <pane xSplit="3" ySplit="2" topLeftCell="D3" activePane="bottomRight" state="frozen"/>
      <selection activeCell="X87" sqref="X87"/>
      <selection pane="topRight" activeCell="X87" sqref="X87"/>
      <selection pane="bottomLeft" activeCell="X87" sqref="X87"/>
      <selection pane="bottomRight" activeCell="D2" sqref="D2"/>
    </sheetView>
  </sheetViews>
  <sheetFormatPr defaultColWidth="9.140625" defaultRowHeight="15" outlineLevelCol="1" x14ac:dyDescent="0.25"/>
  <cols>
    <col min="1" max="2" width="2.7109375" style="72" customWidth="1"/>
    <col min="3" max="3" width="55.7109375" style="72" customWidth="1"/>
    <col min="4" max="13" width="11.5703125" style="72" customWidth="1"/>
    <col min="14" max="14" width="2.7109375" style="72" customWidth="1"/>
    <col min="15" max="15" width="13.7109375" style="72" customWidth="1"/>
    <col min="16" max="16" width="15.28515625" style="72" customWidth="1"/>
    <col min="17" max="17" width="14.5703125" style="72" bestFit="1" customWidth="1"/>
    <col min="18" max="20" width="15" style="72" bestFit="1" customWidth="1"/>
    <col min="21" max="21" width="28.140625" style="72" bestFit="1" customWidth="1"/>
    <col min="22" max="26" width="13.7109375" style="72" customWidth="1"/>
    <col min="27" max="27" width="13.7109375" style="72" hidden="1" customWidth="1" outlineLevel="1"/>
    <col min="28" max="28" width="19.5703125" style="72" hidden="1" customWidth="1" outlineLevel="1"/>
    <col min="29" max="29" width="5.140625" style="73" hidden="1" customWidth="1" outlineLevel="1"/>
    <col min="30" max="40" width="12.7109375" style="73" hidden="1" customWidth="1" outlineLevel="1"/>
    <col min="41" max="41" width="11.28515625" style="73" hidden="1" customWidth="1" outlineLevel="1"/>
    <col min="42" max="42" width="11.28515625" style="73" customWidth="1" collapsed="1"/>
    <col min="43" max="54" width="9.140625" style="73" customWidth="1"/>
    <col min="55" max="60" width="9.140625" style="72" customWidth="1"/>
    <col min="61" max="16384" width="9.140625" style="72"/>
  </cols>
  <sheetData>
    <row r="1" spans="3:41" x14ac:dyDescent="0.25">
      <c r="U1" s="72" t="s">
        <v>144</v>
      </c>
    </row>
    <row r="2" spans="3:41" ht="21.95" customHeight="1" x14ac:dyDescent="0.35">
      <c r="C2" s="74" t="s">
        <v>145</v>
      </c>
      <c r="D2" s="320" t="s">
        <v>324</v>
      </c>
      <c r="E2" s="320" t="str">
        <f t="shared" ref="E2:M2" si="0">AE6&amp;"-"&amp;MID(AE7,3,2)</f>
        <v>2022-23</v>
      </c>
      <c r="F2" s="320" t="str">
        <f t="shared" si="0"/>
        <v>2023-24</v>
      </c>
      <c r="G2" s="320" t="str">
        <f t="shared" si="0"/>
        <v>2024-25</v>
      </c>
      <c r="H2" s="320" t="str">
        <f t="shared" si="0"/>
        <v>2025-26</v>
      </c>
      <c r="I2" s="320" t="str">
        <f t="shared" si="0"/>
        <v>2026-27</v>
      </c>
      <c r="J2" s="320" t="str">
        <f t="shared" si="0"/>
        <v>2027-28</v>
      </c>
      <c r="K2" s="320" t="str">
        <f t="shared" si="0"/>
        <v>2028-29</v>
      </c>
      <c r="L2" s="320" t="str">
        <f t="shared" si="0"/>
        <v>2029-30</v>
      </c>
      <c r="M2" s="320" t="str">
        <f t="shared" si="0"/>
        <v>2030-31</v>
      </c>
      <c r="O2" s="75" t="s">
        <v>146</v>
      </c>
      <c r="Q2" s="76"/>
      <c r="R2" s="76"/>
      <c r="S2" s="76"/>
      <c r="T2" s="76"/>
      <c r="U2" s="76" t="s">
        <v>147</v>
      </c>
      <c r="V2" s="76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3:41" x14ac:dyDescent="0.25">
      <c r="C3" s="77" t="s">
        <v>148</v>
      </c>
      <c r="D3" s="321">
        <v>33</v>
      </c>
      <c r="E3" s="321">
        <v>32</v>
      </c>
      <c r="F3" s="321">
        <v>32</v>
      </c>
      <c r="G3" s="321">
        <v>32</v>
      </c>
      <c r="H3" s="321">
        <v>32</v>
      </c>
      <c r="I3" s="321">
        <v>32</v>
      </c>
      <c r="J3" s="321">
        <v>32</v>
      </c>
      <c r="K3" s="321">
        <v>32</v>
      </c>
      <c r="L3" s="321">
        <v>32</v>
      </c>
      <c r="M3" s="321">
        <v>32</v>
      </c>
      <c r="O3" s="78">
        <v>2</v>
      </c>
      <c r="P3" s="78">
        <v>2</v>
      </c>
      <c r="Q3" s="78">
        <v>2</v>
      </c>
      <c r="R3" s="78">
        <v>2</v>
      </c>
      <c r="S3" s="78">
        <v>2</v>
      </c>
      <c r="T3" s="76"/>
      <c r="U3" s="76"/>
      <c r="V3" s="76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3:41" ht="15.75" thickBot="1" x14ac:dyDescent="0.3">
      <c r="C4" s="79" t="s">
        <v>149</v>
      </c>
      <c r="D4" s="322">
        <v>13</v>
      </c>
      <c r="E4" s="322">
        <v>30</v>
      </c>
      <c r="F4" s="322">
        <v>30</v>
      </c>
      <c r="G4" s="322">
        <v>30</v>
      </c>
      <c r="H4" s="322">
        <v>30</v>
      </c>
      <c r="I4" s="322">
        <v>30</v>
      </c>
      <c r="J4" s="322">
        <v>30</v>
      </c>
      <c r="K4" s="322">
        <v>30</v>
      </c>
      <c r="L4" s="322">
        <v>30</v>
      </c>
      <c r="M4" s="322">
        <v>30</v>
      </c>
      <c r="O4" s="78"/>
      <c r="P4" s="78"/>
      <c r="Q4" s="78"/>
      <c r="R4" s="78"/>
      <c r="S4" s="78"/>
      <c r="T4" s="76"/>
      <c r="U4" s="76"/>
      <c r="V4" s="76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3:41" ht="15.75" thickTop="1" x14ac:dyDescent="0.25">
      <c r="C5" s="79" t="s">
        <v>150</v>
      </c>
      <c r="D5" s="322">
        <v>13</v>
      </c>
      <c r="E5" s="322">
        <v>24</v>
      </c>
      <c r="F5" s="322">
        <v>32</v>
      </c>
      <c r="G5" s="322">
        <v>28</v>
      </c>
      <c r="H5" s="322">
        <v>28</v>
      </c>
      <c r="I5" s="322">
        <v>28</v>
      </c>
      <c r="J5" s="322">
        <v>28</v>
      </c>
      <c r="K5" s="322">
        <v>28</v>
      </c>
      <c r="L5" s="322">
        <v>28</v>
      </c>
      <c r="M5" s="322">
        <v>28</v>
      </c>
      <c r="O5" s="78">
        <v>1</v>
      </c>
      <c r="P5" s="78">
        <v>3</v>
      </c>
      <c r="Q5" s="78">
        <v>4</v>
      </c>
      <c r="R5" s="78">
        <v>4</v>
      </c>
      <c r="S5" s="78">
        <v>4</v>
      </c>
      <c r="T5" s="76"/>
      <c r="U5" s="76"/>
      <c r="V5" s="76"/>
      <c r="AB5" s="80" t="s">
        <v>151</v>
      </c>
      <c r="AC5" s="81">
        <v>1</v>
      </c>
      <c r="AD5" s="82">
        <v>2</v>
      </c>
      <c r="AE5" s="83">
        <f>AD5+1</f>
        <v>3</v>
      </c>
      <c r="AF5" s="83">
        <f t="shared" ref="AF5:AO6" si="1">AE5+1</f>
        <v>4</v>
      </c>
      <c r="AG5" s="83">
        <f t="shared" si="1"/>
        <v>5</v>
      </c>
      <c r="AH5" s="83">
        <f t="shared" si="1"/>
        <v>6</v>
      </c>
      <c r="AI5" s="83">
        <f t="shared" si="1"/>
        <v>7</v>
      </c>
      <c r="AJ5" s="83">
        <f t="shared" si="1"/>
        <v>8</v>
      </c>
      <c r="AK5" s="83">
        <f t="shared" si="1"/>
        <v>9</v>
      </c>
      <c r="AL5" s="83">
        <f t="shared" si="1"/>
        <v>10</v>
      </c>
      <c r="AM5" s="83">
        <f t="shared" si="1"/>
        <v>11</v>
      </c>
      <c r="AN5" s="83">
        <f t="shared" si="1"/>
        <v>12</v>
      </c>
      <c r="AO5" s="84">
        <f t="shared" si="1"/>
        <v>13</v>
      </c>
    </row>
    <row r="6" spans="3:41" x14ac:dyDescent="0.25">
      <c r="C6" s="79" t="s">
        <v>152</v>
      </c>
      <c r="D6" s="322">
        <v>11</v>
      </c>
      <c r="E6" s="322">
        <v>22</v>
      </c>
      <c r="F6" s="322">
        <v>24</v>
      </c>
      <c r="G6" s="322">
        <v>32</v>
      </c>
      <c r="H6" s="322">
        <v>28</v>
      </c>
      <c r="I6" s="322">
        <v>28</v>
      </c>
      <c r="J6" s="322">
        <v>28</v>
      </c>
      <c r="K6" s="322">
        <v>28</v>
      </c>
      <c r="L6" s="322">
        <v>28</v>
      </c>
      <c r="M6" s="322">
        <v>28</v>
      </c>
      <c r="O6" s="85">
        <f>SUM(D4:D6)</f>
        <v>37</v>
      </c>
      <c r="P6" s="85">
        <f t="shared" ref="P6:S6" si="2">SUM(E4:E6)</f>
        <v>76</v>
      </c>
      <c r="Q6" s="85">
        <f t="shared" si="2"/>
        <v>86</v>
      </c>
      <c r="R6" s="85">
        <f t="shared" si="2"/>
        <v>90</v>
      </c>
      <c r="S6" s="85">
        <f t="shared" si="2"/>
        <v>86</v>
      </c>
      <c r="T6" s="76"/>
      <c r="U6" s="76"/>
      <c r="V6" s="76"/>
      <c r="AB6" s="86" t="s">
        <v>151</v>
      </c>
      <c r="AC6" s="73">
        <f>AC5+1</f>
        <v>2</v>
      </c>
      <c r="AD6" s="87" t="s">
        <v>389</v>
      </c>
      <c r="AE6" s="88">
        <f>AD6+1</f>
        <v>2022</v>
      </c>
      <c r="AF6" s="88">
        <f t="shared" si="1"/>
        <v>2023</v>
      </c>
      <c r="AG6" s="88">
        <f t="shared" si="1"/>
        <v>2024</v>
      </c>
      <c r="AH6" s="88">
        <f t="shared" si="1"/>
        <v>2025</v>
      </c>
      <c r="AI6" s="88">
        <f t="shared" si="1"/>
        <v>2026</v>
      </c>
      <c r="AJ6" s="88">
        <f t="shared" si="1"/>
        <v>2027</v>
      </c>
      <c r="AK6" s="88">
        <f t="shared" si="1"/>
        <v>2028</v>
      </c>
      <c r="AL6" s="88">
        <f t="shared" si="1"/>
        <v>2029</v>
      </c>
      <c r="AM6" s="88">
        <f t="shared" si="1"/>
        <v>2030</v>
      </c>
      <c r="AN6" s="88">
        <f t="shared" si="1"/>
        <v>2031</v>
      </c>
      <c r="AO6" s="89">
        <f t="shared" si="1"/>
        <v>2032</v>
      </c>
    </row>
    <row r="7" spans="3:41" ht="15.75" thickBot="1" x14ac:dyDescent="0.3">
      <c r="C7" s="79" t="s">
        <v>153</v>
      </c>
      <c r="D7" s="321">
        <v>14</v>
      </c>
      <c r="E7" s="321">
        <v>12</v>
      </c>
      <c r="F7" s="321">
        <v>22</v>
      </c>
      <c r="G7" s="321">
        <v>24</v>
      </c>
      <c r="H7" s="321">
        <v>32</v>
      </c>
      <c r="I7" s="321">
        <v>28</v>
      </c>
      <c r="J7" s="321">
        <v>28</v>
      </c>
      <c r="K7" s="321">
        <v>28</v>
      </c>
      <c r="L7" s="321">
        <v>28</v>
      </c>
      <c r="M7" s="321">
        <v>28</v>
      </c>
      <c r="O7" s="90">
        <v>32</v>
      </c>
      <c r="P7" s="90">
        <v>66</v>
      </c>
      <c r="Q7" s="91">
        <v>84</v>
      </c>
      <c r="R7" s="91">
        <v>88</v>
      </c>
      <c r="S7" s="91">
        <v>84</v>
      </c>
      <c r="T7" s="76"/>
      <c r="U7" s="76"/>
      <c r="V7" s="76"/>
      <c r="AB7" s="92" t="s">
        <v>151</v>
      </c>
      <c r="AC7" s="93">
        <f>AC6+1</f>
        <v>3</v>
      </c>
      <c r="AD7" s="94">
        <f t="shared" ref="AD7:AO7" si="3">AD6+1</f>
        <v>2022</v>
      </c>
      <c r="AE7" s="95">
        <f t="shared" si="3"/>
        <v>2023</v>
      </c>
      <c r="AF7" s="95">
        <f t="shared" si="3"/>
        <v>2024</v>
      </c>
      <c r="AG7" s="95">
        <f t="shared" si="3"/>
        <v>2025</v>
      </c>
      <c r="AH7" s="95">
        <f t="shared" si="3"/>
        <v>2026</v>
      </c>
      <c r="AI7" s="95">
        <f t="shared" si="3"/>
        <v>2027</v>
      </c>
      <c r="AJ7" s="95">
        <f t="shared" si="3"/>
        <v>2028</v>
      </c>
      <c r="AK7" s="95">
        <f t="shared" si="3"/>
        <v>2029</v>
      </c>
      <c r="AL7" s="95">
        <f t="shared" si="3"/>
        <v>2030</v>
      </c>
      <c r="AM7" s="95">
        <f t="shared" si="3"/>
        <v>2031</v>
      </c>
      <c r="AN7" s="95">
        <f t="shared" si="3"/>
        <v>2032</v>
      </c>
      <c r="AO7" s="96">
        <f t="shared" si="3"/>
        <v>2033</v>
      </c>
    </row>
    <row r="8" spans="3:41" ht="15.75" thickTop="1" x14ac:dyDescent="0.25">
      <c r="C8" s="79" t="s">
        <v>154</v>
      </c>
      <c r="D8" s="321">
        <v>12</v>
      </c>
      <c r="E8" s="321">
        <v>12</v>
      </c>
      <c r="F8" s="321">
        <v>22</v>
      </c>
      <c r="G8" s="321">
        <v>24</v>
      </c>
      <c r="H8" s="321">
        <v>24</v>
      </c>
      <c r="I8" s="321">
        <v>32</v>
      </c>
      <c r="J8" s="321">
        <v>28</v>
      </c>
      <c r="K8" s="321">
        <v>28</v>
      </c>
      <c r="L8" s="321">
        <v>28</v>
      </c>
      <c r="M8" s="321">
        <v>28</v>
      </c>
      <c r="O8" s="78">
        <v>1</v>
      </c>
      <c r="P8" s="78">
        <v>1</v>
      </c>
      <c r="Q8" s="78">
        <v>2</v>
      </c>
      <c r="R8" s="78">
        <v>3</v>
      </c>
      <c r="S8" s="78">
        <v>3</v>
      </c>
      <c r="T8" s="76"/>
      <c r="U8" s="76"/>
      <c r="V8" s="76"/>
    </row>
    <row r="9" spans="3:41" x14ac:dyDescent="0.25">
      <c r="C9" s="79" t="s">
        <v>155</v>
      </c>
      <c r="D9" s="321">
        <v>0</v>
      </c>
      <c r="E9" s="321">
        <v>12</v>
      </c>
      <c r="F9" s="321">
        <v>16</v>
      </c>
      <c r="G9" s="321">
        <v>22</v>
      </c>
      <c r="H9" s="321">
        <v>24</v>
      </c>
      <c r="I9" s="321">
        <v>24</v>
      </c>
      <c r="J9" s="321">
        <v>32</v>
      </c>
      <c r="K9" s="321">
        <v>28</v>
      </c>
      <c r="L9" s="321">
        <v>28</v>
      </c>
      <c r="M9" s="321">
        <v>28</v>
      </c>
      <c r="O9" s="97">
        <f>SUM(D7:D9)</f>
        <v>26</v>
      </c>
      <c r="P9" s="97">
        <f>SUM(E7:E9)</f>
        <v>36</v>
      </c>
      <c r="Q9" s="97">
        <f t="shared" ref="Q9:R9" si="4">SUM(F7:F9)</f>
        <v>60</v>
      </c>
      <c r="R9" s="97">
        <f t="shared" si="4"/>
        <v>70</v>
      </c>
      <c r="S9" s="97">
        <f>SUM(H7:H9)</f>
        <v>80</v>
      </c>
      <c r="T9" s="76"/>
      <c r="U9" s="76"/>
      <c r="V9" s="76"/>
    </row>
    <row r="10" spans="3:41" x14ac:dyDescent="0.25">
      <c r="C10" s="79" t="s">
        <v>156</v>
      </c>
      <c r="D10" s="322">
        <v>0</v>
      </c>
      <c r="E10" s="322">
        <v>0</v>
      </c>
      <c r="F10" s="322">
        <v>14</v>
      </c>
      <c r="G10" s="322">
        <v>16</v>
      </c>
      <c r="H10" s="322">
        <v>22</v>
      </c>
      <c r="I10" s="322">
        <v>24</v>
      </c>
      <c r="J10" s="322">
        <v>24</v>
      </c>
      <c r="K10" s="322">
        <v>32</v>
      </c>
      <c r="L10" s="322">
        <v>28</v>
      </c>
      <c r="M10" s="322">
        <v>28</v>
      </c>
      <c r="O10" s="90">
        <v>18</v>
      </c>
      <c r="P10" s="90">
        <v>30</v>
      </c>
      <c r="Q10" s="91">
        <v>52</v>
      </c>
      <c r="R10" s="91">
        <v>70</v>
      </c>
      <c r="S10" s="91">
        <v>80</v>
      </c>
      <c r="T10" s="76"/>
      <c r="U10" s="76"/>
      <c r="V10" s="76"/>
    </row>
    <row r="11" spans="3:41" x14ac:dyDescent="0.25">
      <c r="C11" s="79" t="s">
        <v>157</v>
      </c>
      <c r="D11" s="322">
        <v>0</v>
      </c>
      <c r="E11" s="322">
        <v>0</v>
      </c>
      <c r="F11" s="322">
        <v>0</v>
      </c>
      <c r="G11" s="322">
        <v>16</v>
      </c>
      <c r="H11" s="322">
        <v>16</v>
      </c>
      <c r="I11" s="322">
        <v>22</v>
      </c>
      <c r="J11" s="322">
        <v>24</v>
      </c>
      <c r="K11" s="322">
        <v>24</v>
      </c>
      <c r="L11" s="322">
        <v>32</v>
      </c>
      <c r="M11" s="322">
        <v>28</v>
      </c>
      <c r="O11" s="78">
        <v>0</v>
      </c>
      <c r="P11" s="78">
        <v>0</v>
      </c>
      <c r="Q11" s="78">
        <v>1</v>
      </c>
      <c r="R11" s="78">
        <v>1</v>
      </c>
      <c r="S11" s="78">
        <v>2</v>
      </c>
      <c r="T11" s="98"/>
      <c r="U11" s="76"/>
      <c r="V11" s="76"/>
    </row>
    <row r="12" spans="3:41" x14ac:dyDescent="0.25">
      <c r="C12" s="79" t="s">
        <v>158</v>
      </c>
      <c r="D12" s="322">
        <v>0</v>
      </c>
      <c r="E12" s="322">
        <v>0</v>
      </c>
      <c r="F12" s="322">
        <v>0</v>
      </c>
      <c r="G12" s="322">
        <v>0</v>
      </c>
      <c r="H12" s="322">
        <v>16</v>
      </c>
      <c r="I12" s="322">
        <v>16</v>
      </c>
      <c r="J12" s="322">
        <v>22</v>
      </c>
      <c r="K12" s="322">
        <v>24</v>
      </c>
      <c r="L12" s="322">
        <v>24</v>
      </c>
      <c r="M12" s="322">
        <v>32</v>
      </c>
      <c r="O12" s="97">
        <f>SUM(D10:D12)</f>
        <v>0</v>
      </c>
      <c r="P12" s="97">
        <f t="shared" ref="P12:S12" si="5">SUM(E10:E12)</f>
        <v>0</v>
      </c>
      <c r="Q12" s="97">
        <f t="shared" si="5"/>
        <v>14</v>
      </c>
      <c r="R12" s="97">
        <f t="shared" si="5"/>
        <v>32</v>
      </c>
      <c r="S12" s="97">
        <f t="shared" si="5"/>
        <v>54</v>
      </c>
      <c r="T12" s="76"/>
      <c r="U12" s="76"/>
      <c r="V12" s="76"/>
    </row>
    <row r="13" spans="3:41" x14ac:dyDescent="0.25">
      <c r="C13" s="79" t="s">
        <v>159</v>
      </c>
      <c r="D13" s="321">
        <v>0</v>
      </c>
      <c r="E13" s="321">
        <v>0</v>
      </c>
      <c r="F13" s="321">
        <v>0</v>
      </c>
      <c r="G13" s="321">
        <v>0</v>
      </c>
      <c r="H13" s="321">
        <v>0</v>
      </c>
      <c r="I13" s="321">
        <v>0</v>
      </c>
      <c r="J13" s="321">
        <v>0</v>
      </c>
      <c r="K13" s="321">
        <v>0</v>
      </c>
      <c r="L13" s="321">
        <v>0</v>
      </c>
      <c r="M13" s="321">
        <v>0</v>
      </c>
      <c r="O13" s="99">
        <v>0</v>
      </c>
      <c r="P13" s="99">
        <v>0</v>
      </c>
      <c r="Q13" s="100">
        <v>14</v>
      </c>
      <c r="R13" s="100">
        <v>28</v>
      </c>
      <c r="S13" s="100">
        <v>50</v>
      </c>
      <c r="T13" s="76"/>
      <c r="U13" s="76"/>
      <c r="V13" s="76"/>
    </row>
    <row r="14" spans="3:41" x14ac:dyDescent="0.25">
      <c r="C14" s="79" t="s">
        <v>160</v>
      </c>
      <c r="D14" s="321">
        <v>0</v>
      </c>
      <c r="E14" s="321">
        <v>0</v>
      </c>
      <c r="F14" s="321">
        <v>0</v>
      </c>
      <c r="G14" s="321">
        <v>0</v>
      </c>
      <c r="H14" s="321">
        <v>0</v>
      </c>
      <c r="I14" s="321">
        <v>0</v>
      </c>
      <c r="J14" s="321">
        <v>0</v>
      </c>
      <c r="K14" s="321">
        <v>0</v>
      </c>
      <c r="L14" s="321">
        <v>0</v>
      </c>
      <c r="M14" s="321">
        <v>0</v>
      </c>
      <c r="O14" s="101"/>
      <c r="P14" s="101"/>
      <c r="Q14" s="102"/>
      <c r="R14" s="102"/>
      <c r="S14" s="102"/>
      <c r="T14" s="76"/>
      <c r="U14" s="76"/>
      <c r="V14" s="76"/>
    </row>
    <row r="15" spans="3:41" x14ac:dyDescent="0.25">
      <c r="C15" s="103" t="s">
        <v>161</v>
      </c>
      <c r="D15" s="321">
        <v>0</v>
      </c>
      <c r="E15" s="321">
        <v>0</v>
      </c>
      <c r="F15" s="321">
        <v>0</v>
      </c>
      <c r="G15" s="321">
        <v>0</v>
      </c>
      <c r="H15" s="321">
        <v>0</v>
      </c>
      <c r="I15" s="321">
        <v>0</v>
      </c>
      <c r="J15" s="321">
        <v>0</v>
      </c>
      <c r="K15" s="321">
        <v>0</v>
      </c>
      <c r="L15" s="321">
        <v>0</v>
      </c>
      <c r="M15" s="321">
        <v>0</v>
      </c>
      <c r="Q15" s="76"/>
      <c r="R15" s="76"/>
      <c r="S15" s="76"/>
      <c r="T15" s="76"/>
      <c r="U15" s="76"/>
      <c r="V15" s="76"/>
    </row>
    <row r="16" spans="3:41" x14ac:dyDescent="0.25">
      <c r="C16" s="104" t="s">
        <v>162</v>
      </c>
      <c r="D16" s="323">
        <f t="shared" ref="D16:M16" si="6">SUM(D3:D8)</f>
        <v>96</v>
      </c>
      <c r="E16" s="323">
        <f t="shared" si="6"/>
        <v>132</v>
      </c>
      <c r="F16" s="323">
        <f t="shared" si="6"/>
        <v>162</v>
      </c>
      <c r="G16" s="323">
        <f t="shared" si="6"/>
        <v>170</v>
      </c>
      <c r="H16" s="323">
        <f t="shared" si="6"/>
        <v>174</v>
      </c>
      <c r="I16" s="323">
        <f t="shared" si="6"/>
        <v>178</v>
      </c>
      <c r="J16" s="323">
        <f t="shared" si="6"/>
        <v>174</v>
      </c>
      <c r="K16" s="323">
        <f t="shared" si="6"/>
        <v>174</v>
      </c>
      <c r="L16" s="323">
        <f t="shared" si="6"/>
        <v>174</v>
      </c>
      <c r="M16" s="323">
        <f t="shared" si="6"/>
        <v>174</v>
      </c>
    </row>
    <row r="17" spans="3:26" x14ac:dyDescent="0.25">
      <c r="C17" s="105" t="s">
        <v>163</v>
      </c>
      <c r="D17" s="323">
        <f t="shared" ref="D17:M17" si="7">SUM(D9:D11)</f>
        <v>0</v>
      </c>
      <c r="E17" s="323">
        <f t="shared" si="7"/>
        <v>12</v>
      </c>
      <c r="F17" s="323">
        <f t="shared" si="7"/>
        <v>30</v>
      </c>
      <c r="G17" s="323">
        <f t="shared" si="7"/>
        <v>54</v>
      </c>
      <c r="H17" s="323">
        <f t="shared" si="7"/>
        <v>62</v>
      </c>
      <c r="I17" s="323">
        <f t="shared" si="7"/>
        <v>70</v>
      </c>
      <c r="J17" s="323">
        <f t="shared" si="7"/>
        <v>80</v>
      </c>
      <c r="K17" s="323">
        <f t="shared" si="7"/>
        <v>84</v>
      </c>
      <c r="L17" s="323">
        <f t="shared" si="7"/>
        <v>88</v>
      </c>
      <c r="M17" s="323">
        <f t="shared" si="7"/>
        <v>84</v>
      </c>
    </row>
    <row r="18" spans="3:26" x14ac:dyDescent="0.25">
      <c r="C18" s="105" t="s">
        <v>164</v>
      </c>
      <c r="D18" s="323">
        <f t="shared" ref="D18:M18" si="8">SUM(D12:D15)</f>
        <v>0</v>
      </c>
      <c r="E18" s="323">
        <f t="shared" si="8"/>
        <v>0</v>
      </c>
      <c r="F18" s="323">
        <f t="shared" si="8"/>
        <v>0</v>
      </c>
      <c r="G18" s="323">
        <f t="shared" si="8"/>
        <v>0</v>
      </c>
      <c r="H18" s="323">
        <f t="shared" si="8"/>
        <v>16</v>
      </c>
      <c r="I18" s="323">
        <f t="shared" si="8"/>
        <v>16</v>
      </c>
      <c r="J18" s="323">
        <f t="shared" si="8"/>
        <v>22</v>
      </c>
      <c r="K18" s="323">
        <f t="shared" si="8"/>
        <v>24</v>
      </c>
      <c r="L18" s="323">
        <f t="shared" si="8"/>
        <v>24</v>
      </c>
      <c r="M18" s="323">
        <f t="shared" si="8"/>
        <v>32</v>
      </c>
    </row>
    <row r="19" spans="3:26" x14ac:dyDescent="0.25">
      <c r="C19" s="105" t="s">
        <v>131</v>
      </c>
      <c r="D19" s="323">
        <f>SUM(D16:D18)</f>
        <v>96</v>
      </c>
      <c r="E19" s="323">
        <f t="shared" ref="E19:M19" si="9">SUM(E16:E18)</f>
        <v>144</v>
      </c>
      <c r="F19" s="323">
        <f t="shared" si="9"/>
        <v>192</v>
      </c>
      <c r="G19" s="323">
        <f t="shared" si="9"/>
        <v>224</v>
      </c>
      <c r="H19" s="323">
        <f t="shared" si="9"/>
        <v>252</v>
      </c>
      <c r="I19" s="323">
        <f t="shared" si="9"/>
        <v>264</v>
      </c>
      <c r="J19" s="323">
        <f t="shared" si="9"/>
        <v>276</v>
      </c>
      <c r="K19" s="323">
        <f t="shared" si="9"/>
        <v>282</v>
      </c>
      <c r="L19" s="323">
        <f t="shared" si="9"/>
        <v>286</v>
      </c>
      <c r="M19" s="323">
        <f t="shared" si="9"/>
        <v>290</v>
      </c>
      <c r="O19" s="106"/>
    </row>
    <row r="20" spans="3:26" x14ac:dyDescent="0.25">
      <c r="C20" s="107" t="s">
        <v>165</v>
      </c>
      <c r="D20" s="323">
        <f>D19</f>
        <v>96</v>
      </c>
      <c r="E20" s="323">
        <f t="shared" ref="E20:M20" si="10">E19-D19</f>
        <v>48</v>
      </c>
      <c r="F20" s="323">
        <f t="shared" si="10"/>
        <v>48</v>
      </c>
      <c r="G20" s="323">
        <f t="shared" si="10"/>
        <v>32</v>
      </c>
      <c r="H20" s="323">
        <f t="shared" si="10"/>
        <v>28</v>
      </c>
      <c r="I20" s="323">
        <f t="shared" si="10"/>
        <v>12</v>
      </c>
      <c r="J20" s="323">
        <f t="shared" si="10"/>
        <v>12</v>
      </c>
      <c r="K20" s="323">
        <f t="shared" si="10"/>
        <v>6</v>
      </c>
      <c r="L20" s="323">
        <f t="shared" si="10"/>
        <v>4</v>
      </c>
      <c r="M20" s="323">
        <f t="shared" si="10"/>
        <v>4</v>
      </c>
      <c r="Q20" s="106"/>
    </row>
    <row r="21" spans="3:26" ht="41.45" customHeight="1" x14ac:dyDescent="0.25">
      <c r="C21" s="108" t="s">
        <v>166</v>
      </c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Q21" s="109"/>
      <c r="R21" s="109"/>
      <c r="S21" s="109"/>
      <c r="T21" s="109"/>
      <c r="U21" s="109"/>
    </row>
    <row r="22" spans="3:26" x14ac:dyDescent="0.25">
      <c r="C22" s="110" t="s">
        <v>167</v>
      </c>
      <c r="D22" s="325">
        <v>0.05</v>
      </c>
      <c r="E22" s="325">
        <v>0.05</v>
      </c>
      <c r="F22" s="325">
        <v>0.05</v>
      </c>
      <c r="G22" s="325">
        <v>0.05</v>
      </c>
      <c r="H22" s="325">
        <v>0.05</v>
      </c>
      <c r="I22" s="325">
        <v>0.05</v>
      </c>
      <c r="J22" s="325">
        <v>0.05</v>
      </c>
      <c r="K22" s="325">
        <v>0.05</v>
      </c>
      <c r="L22" s="325">
        <v>0.05</v>
      </c>
      <c r="M22" s="325">
        <v>0.05</v>
      </c>
      <c r="P22" s="296"/>
      <c r="Q22" s="297"/>
      <c r="R22" s="297"/>
      <c r="S22" s="297"/>
      <c r="T22" s="297"/>
      <c r="U22" s="297"/>
      <c r="V22" s="296"/>
      <c r="W22" s="296"/>
      <c r="X22" s="296"/>
      <c r="Y22" s="296"/>
      <c r="Z22" s="296"/>
    </row>
    <row r="23" spans="3:26" x14ac:dyDescent="0.25">
      <c r="C23" s="110" t="s">
        <v>168</v>
      </c>
      <c r="D23" s="325">
        <v>0.45</v>
      </c>
      <c r="E23" s="325">
        <v>0.45</v>
      </c>
      <c r="F23" s="325">
        <v>0.45</v>
      </c>
      <c r="G23" s="325">
        <v>0.45</v>
      </c>
      <c r="H23" s="325">
        <v>0.45</v>
      </c>
      <c r="I23" s="325">
        <v>0.45</v>
      </c>
      <c r="J23" s="325">
        <v>0.45</v>
      </c>
      <c r="K23" s="325">
        <v>0.45</v>
      </c>
      <c r="L23" s="325">
        <v>0.45</v>
      </c>
      <c r="M23" s="325">
        <v>0.45</v>
      </c>
      <c r="P23" s="296"/>
      <c r="Q23" s="298"/>
      <c r="R23" s="298"/>
      <c r="S23" s="298"/>
      <c r="T23" s="298"/>
      <c r="U23" s="298"/>
      <c r="V23" s="296"/>
      <c r="W23" s="296"/>
      <c r="X23" s="296"/>
      <c r="Y23" s="296"/>
      <c r="Z23" s="296"/>
    </row>
    <row r="24" spans="3:26" x14ac:dyDescent="0.25">
      <c r="C24" s="110" t="s">
        <v>169</v>
      </c>
      <c r="D24" s="326">
        <v>5.5000000000000007E-2</v>
      </c>
      <c r="E24" s="326">
        <v>5.0564516129032261E-2</v>
      </c>
      <c r="F24" s="326">
        <v>4.6348314606741575E-2</v>
      </c>
      <c r="G24" s="326">
        <v>4.2149532710280373E-2</v>
      </c>
      <c r="H24" s="326">
        <v>3.8181818181818185E-2</v>
      </c>
      <c r="I24" s="326">
        <v>3.6953125000000003E-2</v>
      </c>
      <c r="J24" s="326">
        <v>3.4222222222222223E-2</v>
      </c>
      <c r="K24" s="326">
        <v>3.3478260869565221E-2</v>
      </c>
      <c r="L24" s="326">
        <v>3.3000000000000002E-2</v>
      </c>
      <c r="M24" s="326">
        <v>3.2535211267605633E-2</v>
      </c>
      <c r="P24" s="299"/>
      <c r="Q24" s="296"/>
      <c r="R24" s="111"/>
      <c r="S24" s="296"/>
      <c r="T24" s="296"/>
      <c r="U24" s="296"/>
      <c r="V24" s="296"/>
      <c r="W24" s="296"/>
      <c r="X24" s="296"/>
      <c r="Y24" s="296"/>
      <c r="Z24" s="296"/>
    </row>
    <row r="25" spans="3:26" x14ac:dyDescent="0.25">
      <c r="C25" s="110" t="s">
        <v>170</v>
      </c>
      <c r="D25" s="327">
        <v>0</v>
      </c>
      <c r="E25" s="327">
        <v>4.435483870967742E-3</v>
      </c>
      <c r="F25" s="327">
        <v>8.6516853932584268E-3</v>
      </c>
      <c r="G25" s="327">
        <v>1.2850467289719626E-2</v>
      </c>
      <c r="H25" s="327">
        <v>1.6818181818181819E-2</v>
      </c>
      <c r="I25" s="327">
        <v>1.8046875E-2</v>
      </c>
      <c r="J25" s="327">
        <v>2.077777777777778E-2</v>
      </c>
      <c r="K25" s="327">
        <v>2.1521739130434783E-2</v>
      </c>
      <c r="L25" s="327">
        <v>2.2000000000000002E-2</v>
      </c>
      <c r="M25" s="327">
        <v>2.2464788732394367E-2</v>
      </c>
      <c r="P25" s="296"/>
      <c r="Q25" s="296"/>
      <c r="R25" s="111"/>
      <c r="S25" s="296"/>
      <c r="T25" s="296"/>
      <c r="U25" s="296"/>
      <c r="V25" s="296"/>
      <c r="W25" s="296"/>
      <c r="X25" s="296"/>
      <c r="Y25" s="296"/>
      <c r="Z25" s="296"/>
    </row>
    <row r="26" spans="3:26" x14ac:dyDescent="0.25">
      <c r="C26" s="110" t="s">
        <v>171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27">
        <v>0</v>
      </c>
      <c r="J26" s="327">
        <v>0</v>
      </c>
      <c r="K26" s="327">
        <v>0</v>
      </c>
      <c r="L26" s="327">
        <v>0</v>
      </c>
      <c r="M26" s="327">
        <v>0</v>
      </c>
      <c r="P26" s="296"/>
      <c r="Q26" s="296"/>
      <c r="R26" s="300"/>
      <c r="S26" s="296"/>
      <c r="T26" s="296"/>
      <c r="U26" s="296"/>
      <c r="V26" s="296"/>
      <c r="W26" s="296"/>
      <c r="X26" s="296"/>
      <c r="Y26" s="296"/>
      <c r="Z26" s="296"/>
    </row>
    <row r="27" spans="3:26" x14ac:dyDescent="0.25">
      <c r="C27" s="110" t="s">
        <v>172</v>
      </c>
      <c r="D27" s="328" t="s">
        <v>173</v>
      </c>
      <c r="E27" s="328" t="s">
        <v>173</v>
      </c>
      <c r="F27" s="328" t="s">
        <v>173</v>
      </c>
      <c r="G27" s="328" t="s">
        <v>173</v>
      </c>
      <c r="H27" s="328" t="s">
        <v>173</v>
      </c>
      <c r="I27" s="328" t="s">
        <v>173</v>
      </c>
      <c r="J27" s="328" t="s">
        <v>173</v>
      </c>
      <c r="K27" s="328" t="s">
        <v>173</v>
      </c>
      <c r="L27" s="328" t="s">
        <v>173</v>
      </c>
      <c r="M27" s="328" t="s">
        <v>173</v>
      </c>
      <c r="P27" s="296"/>
      <c r="Q27" s="298"/>
      <c r="R27" s="298"/>
      <c r="S27" s="298"/>
      <c r="T27" s="298"/>
      <c r="U27" s="298"/>
      <c r="V27" s="296"/>
      <c r="W27" s="296"/>
      <c r="X27" s="296"/>
      <c r="Y27" s="296"/>
      <c r="Z27" s="296"/>
    </row>
    <row r="28" spans="3:26" x14ac:dyDescent="0.25">
      <c r="C28" s="110" t="s">
        <v>174</v>
      </c>
      <c r="D28" s="325">
        <v>0.13500000000000001</v>
      </c>
      <c r="E28" s="325">
        <v>0.13500000000000001</v>
      </c>
      <c r="F28" s="325">
        <v>0.13500000000000001</v>
      </c>
      <c r="G28" s="325">
        <v>0.13500000000000001</v>
      </c>
      <c r="H28" s="325">
        <v>0.13500000000000001</v>
      </c>
      <c r="I28" s="325">
        <v>0.13500000000000001</v>
      </c>
      <c r="J28" s="325">
        <v>0.13500000000000001</v>
      </c>
      <c r="K28" s="325">
        <v>0.13500000000000001</v>
      </c>
      <c r="L28" s="325">
        <v>0.13500000000000001</v>
      </c>
      <c r="M28" s="325">
        <v>0.13500000000000001</v>
      </c>
      <c r="P28" s="296"/>
      <c r="Q28" s="298"/>
      <c r="R28" s="298"/>
      <c r="S28" s="298"/>
      <c r="T28" s="298"/>
      <c r="U28" s="298"/>
      <c r="V28" s="296"/>
      <c r="W28" s="296"/>
      <c r="X28" s="296"/>
      <c r="Y28" s="296"/>
      <c r="Z28" s="296"/>
    </row>
    <row r="29" spans="3:26" x14ac:dyDescent="0.25">
      <c r="C29" s="110" t="s">
        <v>175</v>
      </c>
      <c r="D29" s="325">
        <v>0</v>
      </c>
      <c r="E29" s="325">
        <v>0</v>
      </c>
      <c r="F29" s="325">
        <v>0</v>
      </c>
      <c r="G29" s="325">
        <v>0</v>
      </c>
      <c r="H29" s="325">
        <v>0</v>
      </c>
      <c r="I29" s="325">
        <v>0</v>
      </c>
      <c r="J29" s="325">
        <v>0</v>
      </c>
      <c r="K29" s="325">
        <v>0</v>
      </c>
      <c r="L29" s="325">
        <v>0</v>
      </c>
      <c r="M29" s="325">
        <v>0</v>
      </c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</row>
    <row r="30" spans="3:26" x14ac:dyDescent="0.25">
      <c r="C30" s="112" t="s">
        <v>176</v>
      </c>
      <c r="D30" s="325">
        <v>0.95</v>
      </c>
      <c r="E30" s="325">
        <v>0.95</v>
      </c>
      <c r="F30" s="325">
        <v>0.95</v>
      </c>
      <c r="G30" s="325">
        <v>0.95</v>
      </c>
      <c r="H30" s="325">
        <v>0.95</v>
      </c>
      <c r="I30" s="325">
        <v>0.95</v>
      </c>
      <c r="J30" s="325">
        <v>0.95</v>
      </c>
      <c r="K30" s="325">
        <v>0.95</v>
      </c>
      <c r="L30" s="325">
        <v>0.95</v>
      </c>
      <c r="M30" s="325">
        <v>0.95</v>
      </c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</row>
    <row r="31" spans="3:26" x14ac:dyDescent="0.25">
      <c r="C31" s="113" t="s">
        <v>177</v>
      </c>
      <c r="D31" s="325">
        <v>0.95</v>
      </c>
      <c r="E31" s="325">
        <v>0.95</v>
      </c>
      <c r="F31" s="325">
        <v>0.95</v>
      </c>
      <c r="G31" s="325">
        <v>0.95</v>
      </c>
      <c r="H31" s="325">
        <v>0.95</v>
      </c>
      <c r="I31" s="325">
        <v>0.95</v>
      </c>
      <c r="J31" s="325">
        <v>0.95</v>
      </c>
      <c r="K31" s="325">
        <v>0.95</v>
      </c>
      <c r="L31" s="325">
        <v>0.95</v>
      </c>
      <c r="M31" s="325">
        <v>0.95</v>
      </c>
      <c r="P31" s="301"/>
      <c r="Q31" s="302"/>
      <c r="R31" s="302"/>
      <c r="S31" s="302"/>
      <c r="T31" s="302"/>
      <c r="U31" s="302"/>
      <c r="V31" s="303"/>
      <c r="W31" s="303"/>
      <c r="X31" s="303"/>
      <c r="Y31" s="296"/>
      <c r="Z31" s="296"/>
    </row>
    <row r="32" spans="3:26" x14ac:dyDescent="0.25">
      <c r="C32" s="110" t="s">
        <v>178</v>
      </c>
      <c r="D32" s="325">
        <v>5.5E-2</v>
      </c>
      <c r="E32" s="325">
        <v>5.5E-2</v>
      </c>
      <c r="F32" s="325">
        <v>5.5E-2</v>
      </c>
      <c r="G32" s="325">
        <v>5.5E-2</v>
      </c>
      <c r="H32" s="325">
        <v>5.5E-2</v>
      </c>
      <c r="I32" s="325">
        <v>5.5E-2</v>
      </c>
      <c r="J32" s="325">
        <v>5.5E-2</v>
      </c>
      <c r="K32" s="325">
        <v>5.5E-2</v>
      </c>
      <c r="L32" s="325">
        <v>5.5E-2</v>
      </c>
      <c r="M32" s="325">
        <v>5.5E-2</v>
      </c>
      <c r="P32" s="301"/>
      <c r="Q32" s="302"/>
      <c r="R32" s="302"/>
      <c r="S32" s="302"/>
      <c r="T32" s="302"/>
      <c r="U32" s="302"/>
      <c r="V32" s="303"/>
      <c r="W32" s="303"/>
      <c r="X32" s="303"/>
      <c r="Y32" s="296"/>
      <c r="Z32" s="296"/>
    </row>
    <row r="33" spans="3:26" x14ac:dyDescent="0.25">
      <c r="C33" s="110" t="s">
        <v>179</v>
      </c>
      <c r="D33" s="325">
        <v>0.6</v>
      </c>
      <c r="E33" s="325">
        <v>0.6</v>
      </c>
      <c r="F33" s="325">
        <v>0.6</v>
      </c>
      <c r="G33" s="325">
        <v>0.6</v>
      </c>
      <c r="H33" s="325">
        <v>0.6</v>
      </c>
      <c r="I33" s="325">
        <v>0.6</v>
      </c>
      <c r="J33" s="325">
        <v>0.6</v>
      </c>
      <c r="K33" s="325">
        <v>0.6</v>
      </c>
      <c r="L33" s="325">
        <v>0.6</v>
      </c>
      <c r="M33" s="325">
        <v>0.6</v>
      </c>
      <c r="P33" s="303"/>
      <c r="Q33" s="303"/>
      <c r="R33" s="303"/>
      <c r="S33" s="303"/>
      <c r="T33" s="303"/>
      <c r="U33" s="303"/>
      <c r="V33" s="301"/>
      <c r="W33" s="303"/>
      <c r="X33" s="303"/>
      <c r="Y33" s="296"/>
      <c r="Z33" s="296"/>
    </row>
    <row r="34" spans="3:26" x14ac:dyDescent="0.25">
      <c r="C34" s="110" t="s">
        <v>180</v>
      </c>
      <c r="D34" s="329">
        <v>17</v>
      </c>
      <c r="E34" s="329">
        <v>17</v>
      </c>
      <c r="F34" s="329">
        <v>17</v>
      </c>
      <c r="G34" s="329">
        <v>17</v>
      </c>
      <c r="H34" s="329">
        <v>17</v>
      </c>
      <c r="I34" s="329">
        <v>17</v>
      </c>
      <c r="J34" s="329">
        <v>17</v>
      </c>
      <c r="K34" s="329">
        <v>17</v>
      </c>
      <c r="L34" s="329">
        <v>17</v>
      </c>
      <c r="M34" s="329">
        <v>17</v>
      </c>
      <c r="P34" s="303"/>
      <c r="Q34" s="304"/>
      <c r="R34" s="304"/>
      <c r="S34" s="304"/>
      <c r="T34" s="304"/>
      <c r="U34" s="304"/>
      <c r="V34" s="305"/>
      <c r="W34" s="303"/>
      <c r="X34" s="303"/>
      <c r="Y34" s="296"/>
      <c r="Z34" s="296"/>
    </row>
    <row r="35" spans="3:26" ht="21.95" customHeight="1" x14ac:dyDescent="0.25">
      <c r="C35" s="108" t="s">
        <v>181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P35" s="303"/>
      <c r="Q35" s="304"/>
      <c r="R35" s="304"/>
      <c r="S35" s="304"/>
      <c r="T35" s="304"/>
      <c r="U35" s="304"/>
      <c r="V35" s="305"/>
      <c r="W35" s="303"/>
      <c r="X35" s="303"/>
      <c r="Y35" s="296"/>
      <c r="Z35" s="296"/>
    </row>
    <row r="36" spans="3:26" x14ac:dyDescent="0.25">
      <c r="C36" s="115" t="s">
        <v>182</v>
      </c>
      <c r="D36" s="330">
        <v>0.5</v>
      </c>
      <c r="E36" s="330">
        <v>0.5</v>
      </c>
      <c r="F36" s="330">
        <v>0.5</v>
      </c>
      <c r="G36" s="330">
        <v>0.5</v>
      </c>
      <c r="H36" s="330">
        <f t="shared" ref="H36:M36" si="11">IF(H22+H23&gt;100%,"ERROR",H22+H23)</f>
        <v>0.5</v>
      </c>
      <c r="I36" s="330">
        <f t="shared" si="11"/>
        <v>0.5</v>
      </c>
      <c r="J36" s="330">
        <f t="shared" si="11"/>
        <v>0.5</v>
      </c>
      <c r="K36" s="330">
        <f t="shared" si="11"/>
        <v>0.5</v>
      </c>
      <c r="L36" s="330">
        <f t="shared" si="11"/>
        <v>0.5</v>
      </c>
      <c r="M36" s="330">
        <f t="shared" si="11"/>
        <v>0.5</v>
      </c>
      <c r="P36" s="303"/>
      <c r="Q36" s="303"/>
      <c r="R36" s="303"/>
      <c r="S36" s="303"/>
      <c r="T36" s="303"/>
      <c r="U36" s="303"/>
      <c r="V36" s="306"/>
      <c r="W36" s="303"/>
      <c r="X36" s="303"/>
      <c r="Y36" s="296"/>
      <c r="Z36" s="296"/>
    </row>
    <row r="37" spans="3:26" x14ac:dyDescent="0.25">
      <c r="C37" s="116" t="s">
        <v>183</v>
      </c>
      <c r="D37" s="331">
        <f t="shared" ref="D37:M37" si="12">D19*D22</f>
        <v>4.8000000000000007</v>
      </c>
      <c r="E37" s="331">
        <f t="shared" si="12"/>
        <v>7.2</v>
      </c>
      <c r="F37" s="331">
        <f t="shared" si="12"/>
        <v>9.6000000000000014</v>
      </c>
      <c r="G37" s="331">
        <f t="shared" si="12"/>
        <v>11.200000000000001</v>
      </c>
      <c r="H37" s="331">
        <f t="shared" si="12"/>
        <v>12.600000000000001</v>
      </c>
      <c r="I37" s="331">
        <f t="shared" si="12"/>
        <v>13.200000000000001</v>
      </c>
      <c r="J37" s="331">
        <f t="shared" si="12"/>
        <v>13.8</v>
      </c>
      <c r="K37" s="331">
        <f t="shared" si="12"/>
        <v>14.100000000000001</v>
      </c>
      <c r="L37" s="331">
        <f t="shared" si="12"/>
        <v>14.3</v>
      </c>
      <c r="M37" s="331">
        <f t="shared" si="12"/>
        <v>14.5</v>
      </c>
      <c r="P37" s="303"/>
      <c r="Q37" s="303"/>
      <c r="R37" s="303"/>
      <c r="S37" s="303"/>
      <c r="T37" s="303"/>
      <c r="U37" s="303"/>
      <c r="V37" s="303"/>
      <c r="W37" s="303"/>
      <c r="X37" s="303"/>
      <c r="Y37" s="296"/>
      <c r="Z37" s="296"/>
    </row>
    <row r="38" spans="3:26" x14ac:dyDescent="0.25">
      <c r="C38" s="112" t="s">
        <v>184</v>
      </c>
      <c r="D38" s="331">
        <f t="shared" ref="D38:M38" si="13">D19*D23</f>
        <v>43.2</v>
      </c>
      <c r="E38" s="331">
        <f t="shared" si="13"/>
        <v>64.8</v>
      </c>
      <c r="F38" s="331">
        <f t="shared" si="13"/>
        <v>86.4</v>
      </c>
      <c r="G38" s="331">
        <f t="shared" si="13"/>
        <v>100.8</v>
      </c>
      <c r="H38" s="331">
        <f t="shared" si="13"/>
        <v>113.4</v>
      </c>
      <c r="I38" s="331">
        <f t="shared" si="13"/>
        <v>118.8</v>
      </c>
      <c r="J38" s="331">
        <f t="shared" si="13"/>
        <v>124.2</v>
      </c>
      <c r="K38" s="331">
        <f t="shared" si="13"/>
        <v>126.9</v>
      </c>
      <c r="L38" s="331">
        <f t="shared" si="13"/>
        <v>128.70000000000002</v>
      </c>
      <c r="M38" s="331">
        <f t="shared" si="13"/>
        <v>130.5</v>
      </c>
      <c r="P38" s="303"/>
      <c r="Q38" s="303"/>
      <c r="R38" s="303"/>
      <c r="S38" s="303"/>
      <c r="T38" s="303"/>
      <c r="U38" s="303"/>
      <c r="V38" s="303"/>
      <c r="W38" s="303"/>
      <c r="X38" s="303"/>
      <c r="Y38" s="296"/>
      <c r="Z38" s="296"/>
    </row>
    <row r="39" spans="3:26" ht="15" customHeight="1" x14ac:dyDescent="0.25">
      <c r="C39" s="116" t="s">
        <v>185</v>
      </c>
      <c r="D39" s="332">
        <f t="shared" ref="D39:M39" si="14">D19*D36</f>
        <v>48</v>
      </c>
      <c r="E39" s="332">
        <f t="shared" si="14"/>
        <v>72</v>
      </c>
      <c r="F39" s="332">
        <f t="shared" si="14"/>
        <v>96</v>
      </c>
      <c r="G39" s="332">
        <f t="shared" si="14"/>
        <v>112</v>
      </c>
      <c r="H39" s="332">
        <f t="shared" si="14"/>
        <v>126</v>
      </c>
      <c r="I39" s="332">
        <f t="shared" si="14"/>
        <v>132</v>
      </c>
      <c r="J39" s="332">
        <f t="shared" si="14"/>
        <v>138</v>
      </c>
      <c r="K39" s="332">
        <f t="shared" si="14"/>
        <v>141</v>
      </c>
      <c r="L39" s="332">
        <f t="shared" si="14"/>
        <v>143</v>
      </c>
      <c r="M39" s="332">
        <f t="shared" si="14"/>
        <v>145</v>
      </c>
      <c r="P39" s="303"/>
      <c r="Q39" s="303"/>
      <c r="R39" s="303"/>
      <c r="S39" s="303"/>
      <c r="T39" s="303"/>
      <c r="U39" s="303"/>
      <c r="V39" s="303"/>
      <c r="W39" s="303"/>
      <c r="X39" s="303"/>
      <c r="Y39" s="296"/>
      <c r="Z39" s="296"/>
    </row>
    <row r="40" spans="3:26" ht="15" customHeight="1" x14ac:dyDescent="0.25">
      <c r="C40" s="116" t="s">
        <v>186</v>
      </c>
      <c r="D40" s="333">
        <f t="shared" ref="D40:M40" si="15">+D24*SUM(D3:D9)</f>
        <v>5.2800000000000011</v>
      </c>
      <c r="E40" s="333">
        <f t="shared" si="15"/>
        <v>7.2812903225806451</v>
      </c>
      <c r="F40" s="333">
        <f t="shared" si="15"/>
        <v>8.25</v>
      </c>
      <c r="G40" s="333">
        <f t="shared" si="15"/>
        <v>8.0927102803738311</v>
      </c>
      <c r="H40" s="333">
        <f t="shared" si="15"/>
        <v>7.5600000000000005</v>
      </c>
      <c r="I40" s="333">
        <f t="shared" si="15"/>
        <v>7.4645312500000003</v>
      </c>
      <c r="J40" s="333">
        <f t="shared" si="15"/>
        <v>7.0497777777777779</v>
      </c>
      <c r="K40" s="333">
        <f t="shared" si="15"/>
        <v>6.7626086956521743</v>
      </c>
      <c r="L40" s="333">
        <f t="shared" si="15"/>
        <v>6.6660000000000004</v>
      </c>
      <c r="M40" s="333">
        <f t="shared" si="15"/>
        <v>6.5721126760563378</v>
      </c>
      <c r="P40" s="303"/>
      <c r="Q40" s="303"/>
      <c r="R40" s="303"/>
      <c r="S40" s="303"/>
      <c r="T40" s="303"/>
      <c r="U40" s="303"/>
      <c r="V40" s="303"/>
      <c r="W40" s="303"/>
      <c r="X40" s="303"/>
      <c r="Y40" s="296"/>
      <c r="Z40" s="296"/>
    </row>
    <row r="41" spans="3:26" ht="15" customHeight="1" x14ac:dyDescent="0.25">
      <c r="C41" s="116" t="s">
        <v>187</v>
      </c>
      <c r="D41" s="334">
        <f t="shared" ref="D41:M41" si="16">+D25*SUM(D10:D15)</f>
        <v>0</v>
      </c>
      <c r="E41" s="334">
        <f t="shared" si="16"/>
        <v>0</v>
      </c>
      <c r="F41" s="334">
        <f t="shared" si="16"/>
        <v>0.12112359550561798</v>
      </c>
      <c r="G41" s="334">
        <f t="shared" si="16"/>
        <v>0.41121495327102803</v>
      </c>
      <c r="H41" s="334">
        <f t="shared" si="16"/>
        <v>0.9081818181818182</v>
      </c>
      <c r="I41" s="334">
        <f t="shared" si="16"/>
        <v>1.11890625</v>
      </c>
      <c r="J41" s="334">
        <f t="shared" si="16"/>
        <v>1.4544444444444447</v>
      </c>
      <c r="K41" s="334">
        <f t="shared" si="16"/>
        <v>1.7217391304347827</v>
      </c>
      <c r="L41" s="334">
        <f t="shared" si="16"/>
        <v>1.8480000000000001</v>
      </c>
      <c r="M41" s="334">
        <f t="shared" si="16"/>
        <v>1.9769014084507042</v>
      </c>
      <c r="P41" s="303"/>
      <c r="Q41" s="303"/>
      <c r="R41" s="303"/>
      <c r="S41" s="303"/>
      <c r="T41" s="303"/>
      <c r="U41" s="303"/>
      <c r="V41" s="303"/>
      <c r="W41" s="303"/>
      <c r="X41" s="303"/>
      <c r="Y41" s="296"/>
      <c r="Z41" s="296"/>
    </row>
    <row r="42" spans="3:26" ht="15" customHeight="1" x14ac:dyDescent="0.25">
      <c r="C42" s="116" t="s">
        <v>188</v>
      </c>
      <c r="D42" s="334">
        <f t="shared" ref="D42:M42" si="17">+D26*D19</f>
        <v>0</v>
      </c>
      <c r="E42" s="334">
        <f t="shared" si="17"/>
        <v>0</v>
      </c>
      <c r="F42" s="334">
        <f t="shared" si="17"/>
        <v>0</v>
      </c>
      <c r="G42" s="334">
        <f t="shared" si="17"/>
        <v>0</v>
      </c>
      <c r="H42" s="334">
        <f t="shared" si="17"/>
        <v>0</v>
      </c>
      <c r="I42" s="334">
        <f t="shared" si="17"/>
        <v>0</v>
      </c>
      <c r="J42" s="334">
        <f t="shared" si="17"/>
        <v>0</v>
      </c>
      <c r="K42" s="334">
        <f t="shared" si="17"/>
        <v>0</v>
      </c>
      <c r="L42" s="334">
        <f t="shared" si="17"/>
        <v>0</v>
      </c>
      <c r="M42" s="334">
        <f t="shared" si="17"/>
        <v>0</v>
      </c>
      <c r="P42" s="307"/>
      <c r="Q42" s="307"/>
      <c r="R42" s="307"/>
      <c r="S42" s="307"/>
      <c r="T42" s="307"/>
      <c r="U42" s="307"/>
      <c r="V42" s="307"/>
      <c r="W42" s="307"/>
      <c r="X42" s="307"/>
    </row>
    <row r="43" spans="3:26" ht="15" customHeight="1" x14ac:dyDescent="0.25">
      <c r="C43" s="116" t="s">
        <v>189</v>
      </c>
      <c r="D43" s="332">
        <f>D19*(D28+D29)</f>
        <v>12.96</v>
      </c>
      <c r="E43" s="332">
        <f t="shared" ref="E43:M43" si="18">E19*(E28+E29)</f>
        <v>19.440000000000001</v>
      </c>
      <c r="F43" s="332">
        <f t="shared" si="18"/>
        <v>25.92</v>
      </c>
      <c r="G43" s="332">
        <f t="shared" si="18"/>
        <v>30.240000000000002</v>
      </c>
      <c r="H43" s="332">
        <f t="shared" si="18"/>
        <v>34.020000000000003</v>
      </c>
      <c r="I43" s="332">
        <f t="shared" si="18"/>
        <v>35.64</v>
      </c>
      <c r="J43" s="332">
        <f t="shared" si="18"/>
        <v>37.260000000000005</v>
      </c>
      <c r="K43" s="332">
        <f t="shared" si="18"/>
        <v>38.07</v>
      </c>
      <c r="L43" s="332">
        <f t="shared" si="18"/>
        <v>38.61</v>
      </c>
      <c r="M43" s="332">
        <f t="shared" si="18"/>
        <v>39.150000000000006</v>
      </c>
      <c r="P43" s="307"/>
      <c r="Q43" s="307"/>
      <c r="R43" s="307"/>
      <c r="S43" s="307"/>
      <c r="T43" s="307"/>
      <c r="U43" s="307"/>
      <c r="V43" s="307"/>
      <c r="W43" s="307"/>
      <c r="X43" s="307"/>
    </row>
    <row r="44" spans="3:26" ht="15" customHeight="1" x14ac:dyDescent="0.25">
      <c r="C44" s="116" t="s">
        <v>190</v>
      </c>
      <c r="D44" s="335">
        <f t="shared" ref="D44:M44" si="19">D19*D33</f>
        <v>57.599999999999994</v>
      </c>
      <c r="E44" s="335">
        <f t="shared" si="19"/>
        <v>86.399999999999991</v>
      </c>
      <c r="F44" s="335">
        <f t="shared" si="19"/>
        <v>115.19999999999999</v>
      </c>
      <c r="G44" s="335">
        <f t="shared" si="19"/>
        <v>134.4</v>
      </c>
      <c r="H44" s="335">
        <f t="shared" si="19"/>
        <v>151.19999999999999</v>
      </c>
      <c r="I44" s="335">
        <f t="shared" si="19"/>
        <v>158.4</v>
      </c>
      <c r="J44" s="335">
        <f t="shared" si="19"/>
        <v>165.6</v>
      </c>
      <c r="K44" s="335">
        <f t="shared" si="19"/>
        <v>169.2</v>
      </c>
      <c r="L44" s="335">
        <f t="shared" si="19"/>
        <v>171.6</v>
      </c>
      <c r="M44" s="335">
        <f t="shared" si="19"/>
        <v>174</v>
      </c>
      <c r="P44" s="307"/>
      <c r="Q44" s="307"/>
      <c r="R44" s="307"/>
      <c r="S44" s="307"/>
      <c r="T44" s="307"/>
      <c r="U44" s="307"/>
      <c r="V44" s="307"/>
      <c r="W44" s="307"/>
      <c r="X44" s="307"/>
    </row>
    <row r="45" spans="3:26" x14ac:dyDescent="0.25">
      <c r="C45" s="117" t="s">
        <v>191</v>
      </c>
      <c r="D45" s="331">
        <f t="shared" ref="D45:M45" si="20">D19*D30</f>
        <v>91.199999999999989</v>
      </c>
      <c r="E45" s="331">
        <f t="shared" si="20"/>
        <v>136.79999999999998</v>
      </c>
      <c r="F45" s="331">
        <f t="shared" si="20"/>
        <v>182.39999999999998</v>
      </c>
      <c r="G45" s="331">
        <f t="shared" si="20"/>
        <v>212.79999999999998</v>
      </c>
      <c r="H45" s="331">
        <f t="shared" si="20"/>
        <v>239.39999999999998</v>
      </c>
      <c r="I45" s="331">
        <f t="shared" si="20"/>
        <v>250.79999999999998</v>
      </c>
      <c r="J45" s="331">
        <f t="shared" si="20"/>
        <v>262.2</v>
      </c>
      <c r="K45" s="331">
        <f t="shared" si="20"/>
        <v>267.89999999999998</v>
      </c>
      <c r="L45" s="331">
        <f t="shared" si="20"/>
        <v>271.7</v>
      </c>
      <c r="M45" s="331">
        <f t="shared" si="20"/>
        <v>275.5</v>
      </c>
      <c r="P45" s="307"/>
      <c r="Q45" s="307"/>
      <c r="R45" s="307"/>
      <c r="S45" s="307"/>
      <c r="T45" s="307"/>
      <c r="U45" s="307"/>
      <c r="V45" s="307"/>
      <c r="W45" s="307"/>
      <c r="X45" s="307"/>
    </row>
    <row r="46" spans="3:26" x14ac:dyDescent="0.25">
      <c r="C46" s="117" t="s">
        <v>192</v>
      </c>
      <c r="D46" s="331">
        <f t="shared" ref="D46:M46" si="21">D19*D31</f>
        <v>91.199999999999989</v>
      </c>
      <c r="E46" s="331">
        <f t="shared" si="21"/>
        <v>136.79999999999998</v>
      </c>
      <c r="F46" s="331">
        <f t="shared" si="21"/>
        <v>182.39999999999998</v>
      </c>
      <c r="G46" s="331">
        <f t="shared" si="21"/>
        <v>212.79999999999998</v>
      </c>
      <c r="H46" s="331">
        <f t="shared" si="21"/>
        <v>239.39999999999998</v>
      </c>
      <c r="I46" s="331">
        <f t="shared" si="21"/>
        <v>250.79999999999998</v>
      </c>
      <c r="J46" s="331">
        <f t="shared" si="21"/>
        <v>262.2</v>
      </c>
      <c r="K46" s="331">
        <f t="shared" si="21"/>
        <v>267.89999999999998</v>
      </c>
      <c r="L46" s="331">
        <f t="shared" si="21"/>
        <v>271.7</v>
      </c>
      <c r="M46" s="331">
        <f t="shared" si="21"/>
        <v>275.5</v>
      </c>
    </row>
    <row r="47" spans="3:26" ht="15" customHeight="1" x14ac:dyDescent="0.25">
      <c r="C47" s="118" t="s">
        <v>193</v>
      </c>
      <c r="D47" s="336">
        <f t="shared" ref="D47:M47" si="22">D19*D32</f>
        <v>5.28</v>
      </c>
      <c r="E47" s="336">
        <f t="shared" si="22"/>
        <v>7.92</v>
      </c>
      <c r="F47" s="336">
        <f t="shared" si="22"/>
        <v>10.56</v>
      </c>
      <c r="G47" s="336">
        <f t="shared" si="22"/>
        <v>12.32</v>
      </c>
      <c r="H47" s="336">
        <f t="shared" si="22"/>
        <v>13.86</v>
      </c>
      <c r="I47" s="336">
        <f t="shared" si="22"/>
        <v>14.52</v>
      </c>
      <c r="J47" s="336">
        <f t="shared" si="22"/>
        <v>15.18</v>
      </c>
      <c r="K47" s="336">
        <f t="shared" si="22"/>
        <v>15.51</v>
      </c>
      <c r="L47" s="336">
        <f t="shared" si="22"/>
        <v>15.73</v>
      </c>
      <c r="M47" s="336">
        <f t="shared" si="22"/>
        <v>15.95</v>
      </c>
    </row>
    <row r="51" spans="4:4" x14ac:dyDescent="0.25">
      <c r="D51" s="106"/>
    </row>
  </sheetData>
  <sheetProtection formatCells="0" formatColumns="0" formatRows="0"/>
  <dataValidations count="1">
    <dataValidation type="list" allowBlank="1" showInputMessage="1" showErrorMessage="1" sqref="D27:M27" xr:uid="{46E82F7E-41AE-45B2-B747-BF17E79EACA5}">
      <formula1>"-,Yes,No"</formula1>
    </dataValidation>
  </dataValidations>
  <printOptions horizontalCentered="1"/>
  <pageMargins left="0.25" right="0.25" top="0.5" bottom="0.25" header="0.3" footer="0.3"/>
  <pageSetup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59CE1-0E84-42B0-9577-79425C0065E6}">
  <sheetPr codeName="Sheet3">
    <tabColor theme="8"/>
  </sheetPr>
  <dimension ref="A1:T82"/>
  <sheetViews>
    <sheetView zoomScale="85" zoomScaleNormal="85" zoomScaleSheetLayoutView="80" workbookViewId="0">
      <pane xSplit="3" ySplit="5" topLeftCell="D6" activePane="bottomRight" state="frozen"/>
      <selection activeCell="X87" sqref="X87"/>
      <selection pane="topRight" activeCell="X87" sqref="X87"/>
      <selection pane="bottomLeft" activeCell="X87" sqref="X87"/>
      <selection pane="bottomRight" activeCell="E5" sqref="E5"/>
    </sheetView>
  </sheetViews>
  <sheetFormatPr defaultColWidth="10.28515625" defaultRowHeight="15" x14ac:dyDescent="0.25"/>
  <cols>
    <col min="1" max="2" width="3" style="119" customWidth="1"/>
    <col min="3" max="3" width="49.5703125" style="119" customWidth="1"/>
    <col min="4" max="4" width="14.85546875" style="119" bestFit="1" customWidth="1"/>
    <col min="5" max="8" width="14.28515625" style="119" customWidth="1"/>
    <col min="9" max="9" width="17.7109375" style="119" customWidth="1"/>
    <col min="10" max="10" width="1.85546875" style="119" customWidth="1"/>
    <col min="11" max="11" width="73.28515625" style="124" customWidth="1"/>
    <col min="12" max="12" width="3" style="119" customWidth="1"/>
    <col min="13" max="17" width="14.28515625" style="119" customWidth="1"/>
    <col min="18" max="18" width="33.140625" style="119" bestFit="1" customWidth="1"/>
    <col min="19" max="19" width="14.140625" style="119" customWidth="1"/>
    <col min="20" max="16384" width="10.28515625" style="119"/>
  </cols>
  <sheetData>
    <row r="1" spans="1:20" ht="15" customHeight="1" x14ac:dyDescent="0.25">
      <c r="C1" s="120"/>
      <c r="D1" s="121"/>
      <c r="E1" s="122"/>
      <c r="F1" s="121"/>
      <c r="G1" s="121"/>
      <c r="H1" s="121"/>
      <c r="I1" s="121"/>
      <c r="J1" s="123"/>
      <c r="M1" s="355" t="s">
        <v>194</v>
      </c>
      <c r="N1" s="356"/>
      <c r="O1" s="356"/>
      <c r="P1" s="356"/>
      <c r="Q1" s="356"/>
      <c r="R1" s="357" t="s">
        <v>195</v>
      </c>
    </row>
    <row r="2" spans="1:20" ht="15" customHeight="1" x14ac:dyDescent="0.25">
      <c r="C2" s="125"/>
      <c r="D2" s="126"/>
      <c r="E2" s="127"/>
      <c r="J2" s="123"/>
      <c r="K2" s="128"/>
      <c r="M2" s="129" t="s">
        <v>196</v>
      </c>
      <c r="N2" s="130" t="s">
        <v>197</v>
      </c>
      <c r="O2" s="130" t="s">
        <v>198</v>
      </c>
      <c r="P2" s="130" t="s">
        <v>199</v>
      </c>
      <c r="Q2" s="130" t="s">
        <v>200</v>
      </c>
      <c r="R2" s="358"/>
    </row>
    <row r="3" spans="1:20" ht="15" customHeight="1" x14ac:dyDescent="0.25">
      <c r="C3" s="125"/>
      <c r="D3" s="126"/>
      <c r="E3" s="360" t="s">
        <v>201</v>
      </c>
      <c r="F3" s="361"/>
      <c r="G3" s="361"/>
      <c r="H3" s="361"/>
      <c r="I3" s="361"/>
      <c r="J3" s="123"/>
      <c r="K3" s="128"/>
      <c r="M3" s="129" t="str">
        <f>E5</f>
        <v>2021-22</v>
      </c>
      <c r="N3" s="130" t="str">
        <f>F5</f>
        <v>2022-23</v>
      </c>
      <c r="O3" s="130" t="str">
        <f>G5</f>
        <v>2023-24</v>
      </c>
      <c r="P3" s="130" t="str">
        <f>H5</f>
        <v>2024-25</v>
      </c>
      <c r="Q3" s="130" t="str">
        <f>I5</f>
        <v>2025-26</v>
      </c>
      <c r="R3" s="358"/>
    </row>
    <row r="4" spans="1:20" ht="15" customHeight="1" x14ac:dyDescent="0.25">
      <c r="C4" s="125"/>
      <c r="D4" s="131"/>
      <c r="E4" s="129" t="s">
        <v>196</v>
      </c>
      <c r="F4" s="130" t="s">
        <v>197</v>
      </c>
      <c r="G4" s="130" t="s">
        <v>198</v>
      </c>
      <c r="H4" s="130" t="s">
        <v>199</v>
      </c>
      <c r="I4" s="130" t="s">
        <v>200</v>
      </c>
      <c r="J4" s="123"/>
      <c r="K4" s="128"/>
      <c r="M4" s="362" t="s">
        <v>202</v>
      </c>
      <c r="N4" s="363"/>
      <c r="O4" s="363"/>
      <c r="P4" s="363"/>
      <c r="Q4" s="363"/>
      <c r="R4" s="358"/>
    </row>
    <row r="5" spans="1:20" ht="15" customHeight="1" thickBot="1" x14ac:dyDescent="0.3">
      <c r="A5" s="119" t="s">
        <v>69</v>
      </c>
      <c r="C5" s="132" t="s">
        <v>203</v>
      </c>
      <c r="D5" s="133" t="s">
        <v>204</v>
      </c>
      <c r="E5" s="134" t="s">
        <v>324</v>
      </c>
      <c r="F5" s="135" t="s">
        <v>325</v>
      </c>
      <c r="G5" s="135" t="s">
        <v>326</v>
      </c>
      <c r="H5" s="135" t="s">
        <v>327</v>
      </c>
      <c r="I5" s="135" t="s">
        <v>328</v>
      </c>
      <c r="J5" s="123"/>
      <c r="K5" s="128" t="s">
        <v>205</v>
      </c>
      <c r="M5" s="136">
        <v>0</v>
      </c>
      <c r="N5" s="137">
        <v>0.03</v>
      </c>
      <c r="O5" s="137">
        <v>0.03</v>
      </c>
      <c r="P5" s="137">
        <v>0.03</v>
      </c>
      <c r="Q5" s="137">
        <v>0.03</v>
      </c>
      <c r="R5" s="359"/>
      <c r="S5" s="119" t="s">
        <v>206</v>
      </c>
      <c r="T5" s="119" t="s">
        <v>207</v>
      </c>
    </row>
    <row r="6" spans="1:20" ht="9.9499999999999993" customHeight="1" x14ac:dyDescent="0.25">
      <c r="C6" s="138"/>
      <c r="D6" s="139"/>
      <c r="E6" s="139"/>
      <c r="F6" s="139"/>
      <c r="G6" s="139"/>
      <c r="H6" s="139"/>
      <c r="I6" s="140"/>
      <c r="J6" s="141"/>
      <c r="K6" s="142"/>
      <c r="M6" s="143"/>
      <c r="N6" s="144"/>
      <c r="O6" s="144"/>
      <c r="P6" s="144"/>
      <c r="Q6" s="145"/>
      <c r="R6" s="139"/>
    </row>
    <row r="7" spans="1:20" ht="15" customHeight="1" x14ac:dyDescent="0.25">
      <c r="C7" s="146" t="s">
        <v>208</v>
      </c>
      <c r="D7" s="147">
        <v>90000</v>
      </c>
      <c r="E7" s="148">
        <v>1</v>
      </c>
      <c r="F7" s="148">
        <v>1</v>
      </c>
      <c r="G7" s="148">
        <v>1</v>
      </c>
      <c r="H7" s="148">
        <v>1</v>
      </c>
      <c r="I7" s="148">
        <v>1</v>
      </c>
      <c r="J7" s="141"/>
      <c r="K7" s="149"/>
      <c r="M7" s="150">
        <f t="shared" ref="M7:M31" si="0">SUM(E7*D7)*$M$5+SUM((E7*D7))</f>
        <v>90000</v>
      </c>
      <c r="N7" s="151">
        <f t="shared" ref="N7:N31" si="1">IF(F7&gt;0,SUM(F7-E7)*$D7+SUM(M7*N$5)+M7,0)</f>
        <v>92700</v>
      </c>
      <c r="O7" s="151">
        <f t="shared" ref="O7:O31" si="2">IF(G7&gt;0,SUM(G7-F7)*$D7+SUM(N7*O$5)+N7,0)</f>
        <v>95481</v>
      </c>
      <c r="P7" s="151">
        <f t="shared" ref="P7:P31" si="3">IF(H7&gt;0,SUM(H7-G7)*$D7+SUM(O7*P$5)+O7,0)</f>
        <v>98345.43</v>
      </c>
      <c r="Q7" s="151">
        <f t="shared" ref="Q7:Q31" si="4">IF(I7&gt;0,SUM(I7-H7)*$D7+SUM(P7*Q$5)+P7,0)</f>
        <v>101295.79289999999</v>
      </c>
      <c r="R7" s="152" t="s">
        <v>34</v>
      </c>
      <c r="S7" s="119" t="s">
        <v>237</v>
      </c>
      <c r="T7" s="119" t="s">
        <v>209</v>
      </c>
    </row>
    <row r="8" spans="1:20" ht="15" customHeight="1" x14ac:dyDescent="0.25">
      <c r="C8" s="146" t="s">
        <v>210</v>
      </c>
      <c r="D8" s="153">
        <v>80000</v>
      </c>
      <c r="E8" s="154">
        <v>0</v>
      </c>
      <c r="F8" s="154">
        <v>0</v>
      </c>
      <c r="G8" s="154">
        <v>0</v>
      </c>
      <c r="H8" s="154">
        <v>0</v>
      </c>
      <c r="I8" s="154">
        <v>1</v>
      </c>
      <c r="J8" s="141"/>
      <c r="K8" s="149"/>
      <c r="M8" s="150">
        <f t="shared" si="0"/>
        <v>0</v>
      </c>
      <c r="N8" s="155">
        <f t="shared" si="1"/>
        <v>0</v>
      </c>
      <c r="O8" s="155">
        <f t="shared" si="2"/>
        <v>0</v>
      </c>
      <c r="P8" s="155">
        <f t="shared" si="3"/>
        <v>0</v>
      </c>
      <c r="Q8" s="155">
        <f t="shared" si="4"/>
        <v>80000</v>
      </c>
      <c r="R8" s="152" t="s">
        <v>38</v>
      </c>
      <c r="S8" s="119" t="s">
        <v>237</v>
      </c>
      <c r="T8" s="119" t="s">
        <v>209</v>
      </c>
    </row>
    <row r="9" spans="1:20" ht="15" customHeight="1" x14ac:dyDescent="0.25">
      <c r="C9" s="146" t="s">
        <v>211</v>
      </c>
      <c r="D9" s="153">
        <v>80000</v>
      </c>
      <c r="E9" s="154">
        <v>1</v>
      </c>
      <c r="F9" s="154">
        <v>1</v>
      </c>
      <c r="G9" s="154">
        <v>1</v>
      </c>
      <c r="H9" s="154">
        <v>1</v>
      </c>
      <c r="I9" s="154">
        <v>1</v>
      </c>
      <c r="J9" s="141"/>
      <c r="K9" s="149"/>
      <c r="M9" s="150">
        <f t="shared" si="0"/>
        <v>80000</v>
      </c>
      <c r="N9" s="155">
        <f t="shared" si="1"/>
        <v>82400</v>
      </c>
      <c r="O9" s="155">
        <f t="shared" si="2"/>
        <v>84872</v>
      </c>
      <c r="P9" s="155">
        <f t="shared" si="3"/>
        <v>87418.16</v>
      </c>
      <c r="Q9" s="155">
        <f t="shared" si="4"/>
        <v>90040.704800000007</v>
      </c>
      <c r="R9" s="152" t="s">
        <v>36</v>
      </c>
      <c r="S9" s="119" t="s">
        <v>237</v>
      </c>
      <c r="T9" s="119" t="s">
        <v>209</v>
      </c>
    </row>
    <row r="10" spans="1:20" ht="15" customHeight="1" x14ac:dyDescent="0.25">
      <c r="C10" s="146" t="s">
        <v>212</v>
      </c>
      <c r="D10" s="153">
        <v>55000</v>
      </c>
      <c r="E10" s="154">
        <v>0</v>
      </c>
      <c r="F10" s="154">
        <v>0</v>
      </c>
      <c r="G10" s="154">
        <v>0</v>
      </c>
      <c r="H10" s="154">
        <v>0</v>
      </c>
      <c r="I10" s="154">
        <v>1</v>
      </c>
      <c r="J10" s="141"/>
      <c r="K10" s="149"/>
      <c r="M10" s="150">
        <f t="shared" si="0"/>
        <v>0</v>
      </c>
      <c r="N10" s="155">
        <f t="shared" si="1"/>
        <v>0</v>
      </c>
      <c r="O10" s="155">
        <f t="shared" si="2"/>
        <v>0</v>
      </c>
      <c r="P10" s="155">
        <f t="shared" si="3"/>
        <v>0</v>
      </c>
      <c r="Q10" s="155">
        <f t="shared" si="4"/>
        <v>55000</v>
      </c>
      <c r="R10" s="152" t="s">
        <v>36</v>
      </c>
      <c r="S10" s="119" t="s">
        <v>237</v>
      </c>
      <c r="T10" s="119" t="s">
        <v>209</v>
      </c>
    </row>
    <row r="11" spans="1:20" ht="15" customHeight="1" x14ac:dyDescent="0.25">
      <c r="C11" s="146" t="s">
        <v>213</v>
      </c>
      <c r="D11" s="153">
        <v>40000</v>
      </c>
      <c r="E11" s="154">
        <v>1</v>
      </c>
      <c r="F11" s="154">
        <v>1</v>
      </c>
      <c r="G11" s="154">
        <v>1</v>
      </c>
      <c r="H11" s="154">
        <v>1</v>
      </c>
      <c r="I11" s="154">
        <v>1</v>
      </c>
      <c r="J11" s="141"/>
      <c r="K11" s="149"/>
      <c r="M11" s="150">
        <f t="shared" si="0"/>
        <v>40000</v>
      </c>
      <c r="N11" s="155">
        <f t="shared" si="1"/>
        <v>41200</v>
      </c>
      <c r="O11" s="155">
        <f t="shared" si="2"/>
        <v>42436</v>
      </c>
      <c r="P11" s="155">
        <f t="shared" si="3"/>
        <v>43709.08</v>
      </c>
      <c r="Q11" s="155">
        <f t="shared" si="4"/>
        <v>45020.352400000003</v>
      </c>
      <c r="R11" s="152" t="s">
        <v>143</v>
      </c>
      <c r="S11" s="119" t="s">
        <v>237</v>
      </c>
      <c r="T11" s="119" t="s">
        <v>209</v>
      </c>
    </row>
    <row r="12" spans="1:20" ht="15" customHeight="1" x14ac:dyDescent="0.25">
      <c r="C12" s="146" t="s">
        <v>214</v>
      </c>
      <c r="D12" s="153">
        <v>40000</v>
      </c>
      <c r="E12" s="154">
        <v>0.5</v>
      </c>
      <c r="F12" s="154">
        <v>0.5</v>
      </c>
      <c r="G12" s="154">
        <v>0.5</v>
      </c>
      <c r="H12" s="154">
        <v>1</v>
      </c>
      <c r="I12" s="154">
        <v>1</v>
      </c>
      <c r="J12" s="141"/>
      <c r="K12" s="149"/>
      <c r="M12" s="150">
        <f t="shared" si="0"/>
        <v>20000</v>
      </c>
      <c r="N12" s="155">
        <f t="shared" si="1"/>
        <v>20600</v>
      </c>
      <c r="O12" s="155">
        <f t="shared" si="2"/>
        <v>21218</v>
      </c>
      <c r="P12" s="155">
        <f t="shared" si="3"/>
        <v>41854.54</v>
      </c>
      <c r="Q12" s="155">
        <f t="shared" si="4"/>
        <v>43110.176200000002</v>
      </c>
      <c r="R12" s="152" t="s">
        <v>60</v>
      </c>
      <c r="S12" s="119" t="s">
        <v>376</v>
      </c>
      <c r="T12" s="119" t="s">
        <v>209</v>
      </c>
    </row>
    <row r="13" spans="1:20" ht="15" customHeight="1" x14ac:dyDescent="0.25">
      <c r="C13" s="146" t="s">
        <v>215</v>
      </c>
      <c r="D13" s="153">
        <v>52000</v>
      </c>
      <c r="E13" s="154">
        <v>2</v>
      </c>
      <c r="F13" s="154">
        <v>2</v>
      </c>
      <c r="G13" s="154">
        <v>2</v>
      </c>
      <c r="H13" s="154">
        <v>2</v>
      </c>
      <c r="I13" s="154">
        <v>2</v>
      </c>
      <c r="J13" s="141"/>
      <c r="K13" s="149"/>
      <c r="M13" s="150">
        <f t="shared" si="0"/>
        <v>104000</v>
      </c>
      <c r="N13" s="155">
        <f t="shared" si="1"/>
        <v>107120</v>
      </c>
      <c r="O13" s="155">
        <f t="shared" si="2"/>
        <v>110333.6</v>
      </c>
      <c r="P13" s="155">
        <f t="shared" si="3"/>
        <v>113643.60800000001</v>
      </c>
      <c r="Q13" s="155">
        <f t="shared" si="4"/>
        <v>117052.91624000001</v>
      </c>
      <c r="R13" s="152" t="s">
        <v>46</v>
      </c>
      <c r="S13" s="119" t="s">
        <v>236</v>
      </c>
      <c r="T13" s="119" t="s">
        <v>216</v>
      </c>
    </row>
    <row r="14" spans="1:20" ht="15" customHeight="1" x14ac:dyDescent="0.25">
      <c r="C14" s="146" t="s">
        <v>217</v>
      </c>
      <c r="D14" s="153">
        <v>52000</v>
      </c>
      <c r="E14" s="154">
        <v>1</v>
      </c>
      <c r="F14" s="154">
        <v>2</v>
      </c>
      <c r="G14" s="154">
        <v>2</v>
      </c>
      <c r="H14" s="154">
        <v>3</v>
      </c>
      <c r="I14" s="154">
        <v>3</v>
      </c>
      <c r="J14" s="141"/>
      <c r="K14" s="149"/>
      <c r="M14" s="150">
        <f t="shared" si="0"/>
        <v>52000</v>
      </c>
      <c r="N14" s="155">
        <f t="shared" si="1"/>
        <v>105560</v>
      </c>
      <c r="O14" s="155">
        <f t="shared" si="2"/>
        <v>108726.8</v>
      </c>
      <c r="P14" s="155">
        <f t="shared" si="3"/>
        <v>163988.60399999999</v>
      </c>
      <c r="Q14" s="155">
        <f t="shared" si="4"/>
        <v>168908.26212</v>
      </c>
      <c r="R14" s="152" t="s">
        <v>46</v>
      </c>
      <c r="S14" s="119" t="s">
        <v>236</v>
      </c>
      <c r="T14" s="119" t="s">
        <v>216</v>
      </c>
    </row>
    <row r="15" spans="1:20" ht="15" customHeight="1" x14ac:dyDescent="0.25">
      <c r="C15" s="146" t="s">
        <v>218</v>
      </c>
      <c r="D15" s="153">
        <v>52000</v>
      </c>
      <c r="E15" s="154">
        <v>1</v>
      </c>
      <c r="F15" s="154">
        <v>2</v>
      </c>
      <c r="G15" s="154">
        <v>4</v>
      </c>
      <c r="H15" s="154">
        <v>4</v>
      </c>
      <c r="I15" s="154">
        <v>4</v>
      </c>
      <c r="J15" s="141"/>
      <c r="K15" s="149"/>
      <c r="M15" s="150">
        <f t="shared" si="0"/>
        <v>52000</v>
      </c>
      <c r="N15" s="155">
        <f t="shared" si="1"/>
        <v>105560</v>
      </c>
      <c r="O15" s="155">
        <f t="shared" si="2"/>
        <v>212726.8</v>
      </c>
      <c r="P15" s="155">
        <f t="shared" si="3"/>
        <v>219108.60399999999</v>
      </c>
      <c r="Q15" s="155">
        <f t="shared" si="4"/>
        <v>225681.86212000001</v>
      </c>
      <c r="R15" s="152" t="s">
        <v>46</v>
      </c>
      <c r="S15" s="119" t="s">
        <v>236</v>
      </c>
      <c r="T15" s="119" t="s">
        <v>216</v>
      </c>
    </row>
    <row r="16" spans="1:20" ht="15" customHeight="1" x14ac:dyDescent="0.25">
      <c r="C16" s="146" t="s">
        <v>219</v>
      </c>
      <c r="D16" s="153">
        <v>52000</v>
      </c>
      <c r="E16" s="154">
        <v>0</v>
      </c>
      <c r="F16" s="154">
        <v>0</v>
      </c>
      <c r="G16" s="154">
        <v>1</v>
      </c>
      <c r="H16" s="154">
        <v>1</v>
      </c>
      <c r="I16" s="154">
        <v>1</v>
      </c>
      <c r="J16" s="141"/>
      <c r="K16" s="149"/>
      <c r="M16" s="150">
        <f t="shared" si="0"/>
        <v>0</v>
      </c>
      <c r="N16" s="155">
        <f t="shared" si="1"/>
        <v>0</v>
      </c>
      <c r="O16" s="155">
        <f t="shared" si="2"/>
        <v>52000</v>
      </c>
      <c r="P16" s="155">
        <f t="shared" si="3"/>
        <v>53560</v>
      </c>
      <c r="Q16" s="155">
        <f t="shared" si="4"/>
        <v>55166.8</v>
      </c>
      <c r="R16" s="152" t="s">
        <v>46</v>
      </c>
      <c r="S16" s="119" t="s">
        <v>236</v>
      </c>
      <c r="T16" s="119" t="s">
        <v>216</v>
      </c>
    </row>
    <row r="17" spans="3:20" ht="15" customHeight="1" x14ac:dyDescent="0.25">
      <c r="C17" s="146" t="s">
        <v>220</v>
      </c>
      <c r="D17" s="153">
        <v>52000</v>
      </c>
      <c r="E17" s="154">
        <v>0</v>
      </c>
      <c r="F17" s="154">
        <v>0</v>
      </c>
      <c r="G17" s="154">
        <v>1</v>
      </c>
      <c r="H17" s="154">
        <v>1</v>
      </c>
      <c r="I17" s="154">
        <v>1</v>
      </c>
      <c r="J17" s="141"/>
      <c r="K17" s="149"/>
      <c r="M17" s="150">
        <f t="shared" si="0"/>
        <v>0</v>
      </c>
      <c r="N17" s="155">
        <f t="shared" si="1"/>
        <v>0</v>
      </c>
      <c r="O17" s="155">
        <f t="shared" si="2"/>
        <v>52000</v>
      </c>
      <c r="P17" s="155">
        <f t="shared" si="3"/>
        <v>53560</v>
      </c>
      <c r="Q17" s="155">
        <f t="shared" si="4"/>
        <v>55166.8</v>
      </c>
      <c r="R17" s="152" t="s">
        <v>46</v>
      </c>
      <c r="S17" s="119" t="s">
        <v>236</v>
      </c>
      <c r="T17" s="119" t="s">
        <v>216</v>
      </c>
    </row>
    <row r="18" spans="3:20" ht="15" customHeight="1" x14ac:dyDescent="0.25">
      <c r="C18" s="146" t="s">
        <v>221</v>
      </c>
      <c r="D18" s="153">
        <v>52000</v>
      </c>
      <c r="E18" s="154">
        <v>0</v>
      </c>
      <c r="F18" s="154">
        <v>0</v>
      </c>
      <c r="G18" s="154">
        <v>0</v>
      </c>
      <c r="H18" s="154">
        <v>0</v>
      </c>
      <c r="I18" s="154">
        <v>1</v>
      </c>
      <c r="J18" s="141"/>
      <c r="K18" s="149"/>
      <c r="M18" s="150">
        <f t="shared" si="0"/>
        <v>0</v>
      </c>
      <c r="N18" s="155">
        <f t="shared" si="1"/>
        <v>0</v>
      </c>
      <c r="O18" s="155">
        <f t="shared" si="2"/>
        <v>0</v>
      </c>
      <c r="P18" s="155">
        <f t="shared" si="3"/>
        <v>0</v>
      </c>
      <c r="Q18" s="155">
        <f t="shared" si="4"/>
        <v>52000</v>
      </c>
      <c r="R18" s="152" t="s">
        <v>46</v>
      </c>
      <c r="S18" s="119" t="s">
        <v>236</v>
      </c>
      <c r="T18" s="119" t="s">
        <v>216</v>
      </c>
    </row>
    <row r="19" spans="3:20" ht="15" customHeight="1" x14ac:dyDescent="0.25">
      <c r="C19" s="146" t="s">
        <v>222</v>
      </c>
      <c r="D19" s="153">
        <v>28000</v>
      </c>
      <c r="E19" s="154">
        <v>3</v>
      </c>
      <c r="F19" s="154">
        <v>5</v>
      </c>
      <c r="G19" s="154">
        <v>7</v>
      </c>
      <c r="H19" s="154">
        <v>7</v>
      </c>
      <c r="I19" s="154">
        <v>8</v>
      </c>
      <c r="J19" s="141"/>
      <c r="K19" s="295"/>
      <c r="M19" s="150">
        <f t="shared" si="0"/>
        <v>84000</v>
      </c>
      <c r="N19" s="155">
        <f t="shared" si="1"/>
        <v>142520</v>
      </c>
      <c r="O19" s="155">
        <f t="shared" si="2"/>
        <v>202795.6</v>
      </c>
      <c r="P19" s="155">
        <f t="shared" si="3"/>
        <v>208879.46799999999</v>
      </c>
      <c r="Q19" s="155">
        <f t="shared" si="4"/>
        <v>243145.85204</v>
      </c>
      <c r="R19" s="152" t="s">
        <v>49</v>
      </c>
      <c r="S19" s="119" t="s">
        <v>377</v>
      </c>
      <c r="T19" s="119" t="s">
        <v>216</v>
      </c>
    </row>
    <row r="20" spans="3:20" ht="15" customHeight="1" x14ac:dyDescent="0.25">
      <c r="C20" s="146" t="s">
        <v>223</v>
      </c>
      <c r="D20" s="153">
        <v>28000</v>
      </c>
      <c r="E20" s="154">
        <v>1</v>
      </c>
      <c r="F20" s="154">
        <v>1</v>
      </c>
      <c r="G20" s="154">
        <v>1</v>
      </c>
      <c r="H20" s="154">
        <v>1</v>
      </c>
      <c r="I20" s="154">
        <v>1</v>
      </c>
      <c r="J20" s="141"/>
      <c r="K20" s="156"/>
      <c r="M20" s="150">
        <f t="shared" si="0"/>
        <v>28000</v>
      </c>
      <c r="N20" s="155">
        <f t="shared" si="1"/>
        <v>28840</v>
      </c>
      <c r="O20" s="155">
        <f t="shared" si="2"/>
        <v>29705.200000000001</v>
      </c>
      <c r="P20" s="155">
        <f t="shared" si="3"/>
        <v>30596.356</v>
      </c>
      <c r="Q20" s="155">
        <f t="shared" si="4"/>
        <v>31514.24668</v>
      </c>
      <c r="R20" s="152" t="s">
        <v>46</v>
      </c>
      <c r="S20" s="119" t="s">
        <v>236</v>
      </c>
      <c r="T20" s="119" t="s">
        <v>216</v>
      </c>
    </row>
    <row r="21" spans="3:20" ht="15" customHeight="1" x14ac:dyDescent="0.25">
      <c r="C21" s="146" t="s">
        <v>224</v>
      </c>
      <c r="D21" s="153">
        <v>63000</v>
      </c>
      <c r="E21" s="154">
        <v>1</v>
      </c>
      <c r="F21" s="154">
        <v>1</v>
      </c>
      <c r="G21" s="154">
        <v>1</v>
      </c>
      <c r="H21" s="154">
        <v>1</v>
      </c>
      <c r="I21" s="154">
        <v>1</v>
      </c>
      <c r="J21" s="141"/>
      <c r="K21" s="156"/>
      <c r="M21" s="150">
        <f t="shared" si="0"/>
        <v>63000</v>
      </c>
      <c r="N21" s="155">
        <f t="shared" si="1"/>
        <v>64890</v>
      </c>
      <c r="O21" s="155">
        <f t="shared" si="2"/>
        <v>66836.7</v>
      </c>
      <c r="P21" s="155">
        <f t="shared" si="3"/>
        <v>68841.800999999992</v>
      </c>
      <c r="Q21" s="155">
        <f t="shared" si="4"/>
        <v>70907.055029999989</v>
      </c>
      <c r="R21" s="152" t="s">
        <v>48</v>
      </c>
      <c r="S21" s="119" t="s">
        <v>378</v>
      </c>
      <c r="T21" s="119" t="s">
        <v>216</v>
      </c>
    </row>
    <row r="22" spans="3:20" ht="15" customHeight="1" x14ac:dyDescent="0.25">
      <c r="C22" s="146" t="s">
        <v>225</v>
      </c>
      <c r="D22" s="153">
        <v>55000</v>
      </c>
      <c r="E22" s="154">
        <v>0</v>
      </c>
      <c r="F22" s="154">
        <v>0</v>
      </c>
      <c r="G22" s="154">
        <v>0</v>
      </c>
      <c r="H22" s="154">
        <v>0.5</v>
      </c>
      <c r="I22" s="154">
        <v>1</v>
      </c>
      <c r="J22" s="141"/>
      <c r="K22" s="156"/>
      <c r="L22" s="157"/>
      <c r="M22" s="150">
        <f t="shared" si="0"/>
        <v>0</v>
      </c>
      <c r="N22" s="155">
        <f t="shared" si="1"/>
        <v>0</v>
      </c>
      <c r="O22" s="155">
        <f t="shared" si="2"/>
        <v>0</v>
      </c>
      <c r="P22" s="155">
        <f t="shared" si="3"/>
        <v>27500</v>
      </c>
      <c r="Q22" s="155">
        <f t="shared" si="4"/>
        <v>55825</v>
      </c>
      <c r="R22" s="152" t="s">
        <v>48</v>
      </c>
      <c r="S22" s="119" t="s">
        <v>378</v>
      </c>
      <c r="T22" s="119" t="s">
        <v>216</v>
      </c>
    </row>
    <row r="23" spans="3:20" ht="15" customHeight="1" x14ac:dyDescent="0.25">
      <c r="C23" s="146" t="s">
        <v>226</v>
      </c>
      <c r="D23" s="153">
        <v>52000</v>
      </c>
      <c r="E23" s="154">
        <v>0</v>
      </c>
      <c r="F23" s="154">
        <v>0</v>
      </c>
      <c r="G23" s="154">
        <v>0</v>
      </c>
      <c r="H23" s="154">
        <v>0.5</v>
      </c>
      <c r="I23" s="154">
        <v>1</v>
      </c>
      <c r="J23" s="141"/>
      <c r="K23" s="156"/>
      <c r="M23" s="150">
        <f t="shared" si="0"/>
        <v>0</v>
      </c>
      <c r="N23" s="155">
        <f t="shared" si="1"/>
        <v>0</v>
      </c>
      <c r="O23" s="155">
        <f t="shared" si="2"/>
        <v>0</v>
      </c>
      <c r="P23" s="155">
        <f t="shared" si="3"/>
        <v>26000</v>
      </c>
      <c r="Q23" s="155">
        <f t="shared" si="4"/>
        <v>52780</v>
      </c>
      <c r="R23" s="152" t="s">
        <v>50</v>
      </c>
      <c r="S23" s="119" t="s">
        <v>236</v>
      </c>
      <c r="T23" s="119" t="s">
        <v>216</v>
      </c>
    </row>
    <row r="24" spans="3:20" ht="15" customHeight="1" x14ac:dyDescent="0.25">
      <c r="C24" s="146" t="s">
        <v>227</v>
      </c>
      <c r="D24" s="153">
        <v>52000</v>
      </c>
      <c r="E24" s="154">
        <v>0</v>
      </c>
      <c r="F24" s="154">
        <v>0</v>
      </c>
      <c r="G24" s="154">
        <v>0</v>
      </c>
      <c r="H24" s="154">
        <v>0.5</v>
      </c>
      <c r="I24" s="154">
        <v>0.5</v>
      </c>
      <c r="J24" s="141"/>
      <c r="K24" s="156"/>
      <c r="M24" s="150">
        <f t="shared" si="0"/>
        <v>0</v>
      </c>
      <c r="N24" s="155">
        <f t="shared" si="1"/>
        <v>0</v>
      </c>
      <c r="O24" s="155">
        <f t="shared" si="2"/>
        <v>0</v>
      </c>
      <c r="P24" s="155">
        <f t="shared" si="3"/>
        <v>26000</v>
      </c>
      <c r="Q24" s="155">
        <f t="shared" si="4"/>
        <v>26780</v>
      </c>
      <c r="R24" s="152" t="s">
        <v>50</v>
      </c>
      <c r="S24" s="119" t="s">
        <v>236</v>
      </c>
      <c r="T24" s="119" t="s">
        <v>216</v>
      </c>
    </row>
    <row r="25" spans="3:20" ht="15" customHeight="1" x14ac:dyDescent="0.25">
      <c r="C25" s="146" t="s">
        <v>228</v>
      </c>
      <c r="D25" s="153">
        <v>50000</v>
      </c>
      <c r="E25" s="154">
        <v>0</v>
      </c>
      <c r="F25" s="154">
        <v>0</v>
      </c>
      <c r="G25" s="154">
        <v>0</v>
      </c>
      <c r="H25" s="154">
        <v>0.5</v>
      </c>
      <c r="I25" s="154">
        <v>1</v>
      </c>
      <c r="J25" s="141"/>
      <c r="K25" s="156"/>
      <c r="M25" s="150">
        <f t="shared" si="0"/>
        <v>0</v>
      </c>
      <c r="N25" s="155">
        <f t="shared" si="1"/>
        <v>0</v>
      </c>
      <c r="O25" s="155">
        <f t="shared" si="2"/>
        <v>0</v>
      </c>
      <c r="P25" s="155">
        <f t="shared" si="3"/>
        <v>25000</v>
      </c>
      <c r="Q25" s="155">
        <f t="shared" si="4"/>
        <v>50750</v>
      </c>
      <c r="R25" s="152" t="s">
        <v>52</v>
      </c>
      <c r="S25" s="119" t="s">
        <v>379</v>
      </c>
      <c r="T25" s="119" t="s">
        <v>216</v>
      </c>
    </row>
    <row r="26" spans="3:20" ht="15" customHeight="1" x14ac:dyDescent="0.25">
      <c r="C26" s="146" t="s">
        <v>229</v>
      </c>
      <c r="D26" s="153">
        <v>50000</v>
      </c>
      <c r="E26" s="154">
        <v>0</v>
      </c>
      <c r="F26" s="154">
        <v>0</v>
      </c>
      <c r="G26" s="154">
        <v>0</v>
      </c>
      <c r="H26" s="154">
        <v>0.5</v>
      </c>
      <c r="I26" s="154">
        <v>1</v>
      </c>
      <c r="J26" s="141"/>
      <c r="K26" s="156"/>
      <c r="M26" s="150">
        <f t="shared" si="0"/>
        <v>0</v>
      </c>
      <c r="N26" s="155">
        <f t="shared" si="1"/>
        <v>0</v>
      </c>
      <c r="O26" s="155">
        <f t="shared" si="2"/>
        <v>0</v>
      </c>
      <c r="P26" s="155">
        <f t="shared" si="3"/>
        <v>25000</v>
      </c>
      <c r="Q26" s="155">
        <f t="shared" si="4"/>
        <v>50750</v>
      </c>
      <c r="R26" s="152" t="s">
        <v>52</v>
      </c>
      <c r="S26" s="119" t="s">
        <v>379</v>
      </c>
      <c r="T26" s="119" t="s">
        <v>216</v>
      </c>
    </row>
    <row r="27" spans="3:20" ht="15.75" x14ac:dyDescent="0.25">
      <c r="C27" s="146"/>
      <c r="D27" s="153"/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41"/>
      <c r="K27" s="156"/>
      <c r="M27" s="150">
        <f t="shared" si="0"/>
        <v>0</v>
      </c>
      <c r="N27" s="155">
        <f t="shared" si="1"/>
        <v>0</v>
      </c>
      <c r="O27" s="155">
        <f t="shared" si="2"/>
        <v>0</v>
      </c>
      <c r="P27" s="155">
        <f t="shared" si="3"/>
        <v>0</v>
      </c>
      <c r="Q27" s="155">
        <f t="shared" si="4"/>
        <v>0</v>
      </c>
      <c r="R27" s="152"/>
    </row>
    <row r="28" spans="3:20" ht="15" customHeight="1" x14ac:dyDescent="0.25">
      <c r="C28" s="146"/>
      <c r="D28" s="153"/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41"/>
      <c r="K28" s="149"/>
      <c r="M28" s="150">
        <f t="shared" si="0"/>
        <v>0</v>
      </c>
      <c r="N28" s="155">
        <f t="shared" si="1"/>
        <v>0</v>
      </c>
      <c r="O28" s="155">
        <f t="shared" si="2"/>
        <v>0</v>
      </c>
      <c r="P28" s="155">
        <f t="shared" si="3"/>
        <v>0</v>
      </c>
      <c r="Q28" s="155">
        <f t="shared" si="4"/>
        <v>0</v>
      </c>
      <c r="R28" s="152"/>
    </row>
    <row r="29" spans="3:20" ht="15" customHeight="1" x14ac:dyDescent="0.25">
      <c r="C29" s="146"/>
      <c r="D29" s="153"/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41"/>
      <c r="K29" s="149"/>
      <c r="M29" s="150">
        <f t="shared" si="0"/>
        <v>0</v>
      </c>
      <c r="N29" s="155">
        <f t="shared" si="1"/>
        <v>0</v>
      </c>
      <c r="O29" s="155">
        <f t="shared" si="2"/>
        <v>0</v>
      </c>
      <c r="P29" s="155">
        <f t="shared" si="3"/>
        <v>0</v>
      </c>
      <c r="Q29" s="155">
        <f t="shared" si="4"/>
        <v>0</v>
      </c>
      <c r="R29" s="152"/>
    </row>
    <row r="30" spans="3:20" ht="15" customHeight="1" x14ac:dyDescent="0.25">
      <c r="C30" s="146"/>
      <c r="D30" s="153"/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41"/>
      <c r="K30" s="149"/>
      <c r="M30" s="150">
        <f t="shared" si="0"/>
        <v>0</v>
      </c>
      <c r="N30" s="155">
        <f t="shared" si="1"/>
        <v>0</v>
      </c>
      <c r="O30" s="155">
        <f t="shared" si="2"/>
        <v>0</v>
      </c>
      <c r="P30" s="155">
        <f t="shared" si="3"/>
        <v>0</v>
      </c>
      <c r="Q30" s="155">
        <f t="shared" si="4"/>
        <v>0</v>
      </c>
      <c r="R30" s="152"/>
    </row>
    <row r="31" spans="3:20" ht="15" customHeight="1" thickBot="1" x14ac:dyDescent="0.3">
      <c r="C31" s="158"/>
      <c r="D31" s="153"/>
      <c r="E31" s="154">
        <v>0</v>
      </c>
      <c r="F31" s="154">
        <v>0</v>
      </c>
      <c r="G31" s="154">
        <v>0</v>
      </c>
      <c r="H31" s="154">
        <v>0</v>
      </c>
      <c r="I31" s="154">
        <v>0</v>
      </c>
      <c r="J31" s="141"/>
      <c r="K31" s="156"/>
      <c r="M31" s="150">
        <f t="shared" si="0"/>
        <v>0</v>
      </c>
      <c r="N31" s="155">
        <f t="shared" si="1"/>
        <v>0</v>
      </c>
      <c r="O31" s="155">
        <f t="shared" si="2"/>
        <v>0</v>
      </c>
      <c r="P31" s="155">
        <f t="shared" si="3"/>
        <v>0</v>
      </c>
      <c r="Q31" s="155">
        <f t="shared" si="4"/>
        <v>0</v>
      </c>
      <c r="R31" s="152"/>
    </row>
    <row r="32" spans="3:20" ht="15" customHeight="1" thickTop="1" thickBot="1" x14ac:dyDescent="0.3">
      <c r="C32" s="159" t="s">
        <v>230</v>
      </c>
      <c r="D32" s="160"/>
      <c r="E32" s="161">
        <f t="shared" ref="E32:I32" si="5">SUM(E7:E31)</f>
        <v>12.5</v>
      </c>
      <c r="F32" s="161">
        <f t="shared" si="5"/>
        <v>16.5</v>
      </c>
      <c r="G32" s="161">
        <f t="shared" si="5"/>
        <v>22.5</v>
      </c>
      <c r="H32" s="161">
        <f t="shared" si="5"/>
        <v>26.5</v>
      </c>
      <c r="I32" s="162">
        <f t="shared" si="5"/>
        <v>32.5</v>
      </c>
      <c r="J32" s="163"/>
      <c r="K32" s="164"/>
      <c r="M32" s="165">
        <f t="shared" ref="M32:Q32" si="6">SUM(M7:M31)</f>
        <v>613000</v>
      </c>
      <c r="N32" s="166">
        <f t="shared" si="6"/>
        <v>791390</v>
      </c>
      <c r="O32" s="166">
        <f t="shared" si="6"/>
        <v>1079131.7</v>
      </c>
      <c r="P32" s="166">
        <f t="shared" si="6"/>
        <v>1313005.6509999998</v>
      </c>
      <c r="Q32" s="166">
        <f t="shared" si="6"/>
        <v>1670895.8205300001</v>
      </c>
      <c r="R32" s="160"/>
    </row>
    <row r="33" spans="3:18" ht="15" customHeight="1" x14ac:dyDescent="0.25">
      <c r="C33" s="168" t="s">
        <v>231</v>
      </c>
      <c r="D33" s="168"/>
      <c r="E33" s="169">
        <f t="shared" ref="E33" si="7">X_Staffing_YR1_FTE-E27</f>
        <v>12.5</v>
      </c>
      <c r="F33" s="169">
        <f>X_Staffing_YR2_FTE-F27</f>
        <v>16.5</v>
      </c>
      <c r="G33" s="169">
        <f>X_Staffing_YR3_FTE-G27</f>
        <v>22.5</v>
      </c>
      <c r="H33" s="169">
        <f>X_Staffing_YR4_FTE-H27</f>
        <v>26.5</v>
      </c>
      <c r="I33" s="169">
        <f>X_Staffing_YR5_FTE-I27</f>
        <v>32.5</v>
      </c>
      <c r="K33" s="170"/>
      <c r="M33" s="171"/>
      <c r="N33" s="171"/>
      <c r="O33" s="171"/>
      <c r="P33" s="171"/>
      <c r="Q33" s="171"/>
      <c r="R33" s="172"/>
    </row>
    <row r="34" spans="3:18" ht="15" customHeight="1" x14ac:dyDescent="0.25">
      <c r="C34" s="172"/>
      <c r="D34" s="172"/>
      <c r="E34" s="173"/>
      <c r="F34" s="173"/>
      <c r="G34" s="173"/>
      <c r="H34" s="173"/>
      <c r="I34" s="173"/>
      <c r="J34" s="174"/>
      <c r="K34" s="170"/>
      <c r="R34" s="172"/>
    </row>
    <row r="35" spans="3:18" x14ac:dyDescent="0.25">
      <c r="C35" s="175" t="s">
        <v>232</v>
      </c>
      <c r="D35" s="176"/>
      <c r="E35" s="176"/>
      <c r="F35" s="176"/>
      <c r="G35" s="176"/>
      <c r="H35" s="176"/>
      <c r="I35" s="176"/>
    </row>
    <row r="36" spans="3:18" x14ac:dyDescent="0.25">
      <c r="C36" s="177" t="s">
        <v>230</v>
      </c>
      <c r="E36" s="178">
        <f>'Enrollment and Demographics'!D19</f>
        <v>96</v>
      </c>
      <c r="F36" s="178">
        <f>'Enrollment and Demographics'!E19</f>
        <v>144</v>
      </c>
      <c r="G36" s="178">
        <f>'Enrollment and Demographics'!F19</f>
        <v>192</v>
      </c>
      <c r="H36" s="178">
        <f>'Enrollment and Demographics'!G19</f>
        <v>224</v>
      </c>
      <c r="I36" s="178">
        <f>'Enrollment and Demographics'!H19</f>
        <v>252</v>
      </c>
    </row>
    <row r="37" spans="3:18" x14ac:dyDescent="0.25">
      <c r="C37" s="179" t="s">
        <v>233</v>
      </c>
      <c r="D37" s="144"/>
      <c r="E37" s="180">
        <f>'Enrollment and Demographics'!D43</f>
        <v>12.96</v>
      </c>
      <c r="F37" s="180">
        <f>'Enrollment and Demographics'!E43</f>
        <v>19.440000000000001</v>
      </c>
      <c r="G37" s="180">
        <f>'Enrollment and Demographics'!F43</f>
        <v>25.92</v>
      </c>
      <c r="H37" s="180">
        <f>'Enrollment and Demographics'!G43</f>
        <v>30.240000000000002</v>
      </c>
      <c r="I37" s="180">
        <f>'Enrollment and Demographics'!H43</f>
        <v>34.020000000000003</v>
      </c>
    </row>
    <row r="39" spans="3:18" x14ac:dyDescent="0.25">
      <c r="C39" s="175" t="s">
        <v>234</v>
      </c>
      <c r="D39" s="176"/>
      <c r="E39" s="176"/>
      <c r="F39" s="176"/>
      <c r="G39" s="176"/>
      <c r="H39" s="176"/>
      <c r="I39" s="176"/>
    </row>
    <row r="40" spans="3:18" x14ac:dyDescent="0.25">
      <c r="C40" s="177" t="s">
        <v>235</v>
      </c>
      <c r="E40" s="178">
        <f>'5 YR Budget'!D3/'Position Control (Staffing)'!E33</f>
        <v>7.68</v>
      </c>
      <c r="F40" s="178">
        <f>'5 YR Budget'!E3/'Position Control (Staffing)'!F33</f>
        <v>8.7272727272727266</v>
      </c>
      <c r="G40" s="178">
        <f>'5 YR Budget'!F3/'Position Control (Staffing)'!G33</f>
        <v>8.5333333333333332</v>
      </c>
      <c r="H40" s="178">
        <f>'5 YR Budget'!G3/'Position Control (Staffing)'!H33</f>
        <v>8.4528301886792452</v>
      </c>
      <c r="I40" s="178">
        <f>'5 YR Budget'!H3/'Position Control (Staffing)'!I33</f>
        <v>7.7538461538461538</v>
      </c>
    </row>
    <row r="41" spans="3:18" x14ac:dyDescent="0.25">
      <c r="C41" s="177" t="s">
        <v>236</v>
      </c>
      <c r="E41" s="181">
        <v>4</v>
      </c>
      <c r="F41" s="181">
        <v>6</v>
      </c>
      <c r="G41" s="181">
        <v>8</v>
      </c>
      <c r="H41" s="181">
        <v>9</v>
      </c>
      <c r="I41" s="181">
        <v>9</v>
      </c>
      <c r="K41" s="182"/>
    </row>
    <row r="42" spans="3:18" x14ac:dyDescent="0.25">
      <c r="C42" s="177" t="s">
        <v>237</v>
      </c>
      <c r="E42" s="183">
        <f t="shared" ref="E42:I42" si="8">SUM(E7:E11)</f>
        <v>3</v>
      </c>
      <c r="F42" s="183">
        <f t="shared" si="8"/>
        <v>3</v>
      </c>
      <c r="G42" s="183">
        <f t="shared" si="8"/>
        <v>3</v>
      </c>
      <c r="H42" s="183">
        <f t="shared" si="8"/>
        <v>3</v>
      </c>
      <c r="I42" s="183">
        <f t="shared" si="8"/>
        <v>5</v>
      </c>
    </row>
    <row r="43" spans="3:18" x14ac:dyDescent="0.25">
      <c r="C43" s="177" t="s">
        <v>238</v>
      </c>
      <c r="E43" s="183">
        <f t="shared" ref="E43:I43" si="9">SUM(E25:E26,E12)</f>
        <v>0.5</v>
      </c>
      <c r="F43" s="183">
        <f t="shared" si="9"/>
        <v>0.5</v>
      </c>
      <c r="G43" s="183">
        <f t="shared" si="9"/>
        <v>0.5</v>
      </c>
      <c r="H43" s="183">
        <f t="shared" si="9"/>
        <v>2</v>
      </c>
      <c r="I43" s="183">
        <f t="shared" si="9"/>
        <v>3</v>
      </c>
    </row>
    <row r="44" spans="3:18" x14ac:dyDescent="0.25">
      <c r="C44" s="177" t="s">
        <v>239</v>
      </c>
      <c r="E44" s="183">
        <f t="shared" ref="E44:I44" si="10">E19</f>
        <v>3</v>
      </c>
      <c r="F44" s="183">
        <f t="shared" si="10"/>
        <v>5</v>
      </c>
      <c r="G44" s="183">
        <f t="shared" si="10"/>
        <v>7</v>
      </c>
      <c r="H44" s="183">
        <f t="shared" si="10"/>
        <v>7</v>
      </c>
      <c r="I44" s="183">
        <f t="shared" si="10"/>
        <v>8</v>
      </c>
    </row>
    <row r="45" spans="3:18" x14ac:dyDescent="0.25">
      <c r="C45" s="179" t="s">
        <v>240</v>
      </c>
      <c r="D45" s="144"/>
      <c r="E45" s="184">
        <f t="shared" ref="E45:I45" si="11">SUM(E21:E22)</f>
        <v>1</v>
      </c>
      <c r="F45" s="184">
        <f t="shared" si="11"/>
        <v>1</v>
      </c>
      <c r="G45" s="184">
        <f t="shared" si="11"/>
        <v>1</v>
      </c>
      <c r="H45" s="184">
        <f t="shared" si="11"/>
        <v>1.5</v>
      </c>
      <c r="I45" s="184">
        <f t="shared" si="11"/>
        <v>2</v>
      </c>
    </row>
    <row r="46" spans="3:18" x14ac:dyDescent="0.25">
      <c r="E46" s="183"/>
      <c r="F46" s="183"/>
      <c r="G46" s="183"/>
      <c r="H46" s="183"/>
      <c r="I46" s="183"/>
    </row>
    <row r="47" spans="3:18" x14ac:dyDescent="0.25">
      <c r="C47" s="175" t="s">
        <v>241</v>
      </c>
      <c r="D47" s="176"/>
      <c r="E47" s="185"/>
      <c r="F47" s="185"/>
      <c r="G47" s="185"/>
      <c r="H47" s="185"/>
      <c r="I47" s="185"/>
    </row>
    <row r="48" spans="3:18" x14ac:dyDescent="0.25">
      <c r="C48" s="177" t="s">
        <v>242</v>
      </c>
      <c r="E48" s="183">
        <f t="shared" ref="E48:I48" si="12">E36/E41</f>
        <v>24</v>
      </c>
      <c r="F48" s="183">
        <f t="shared" si="12"/>
        <v>24</v>
      </c>
      <c r="G48" s="183">
        <f t="shared" si="12"/>
        <v>24</v>
      </c>
      <c r="H48" s="183">
        <f t="shared" si="12"/>
        <v>24.888888888888889</v>
      </c>
      <c r="I48" s="183">
        <f t="shared" si="12"/>
        <v>28</v>
      </c>
    </row>
    <row r="49" spans="3:17" x14ac:dyDescent="0.25">
      <c r="C49" s="177" t="s">
        <v>243</v>
      </c>
      <c r="E49" s="183">
        <f t="shared" ref="E49:I50" si="13">E36/E44</f>
        <v>32</v>
      </c>
      <c r="F49" s="183">
        <f t="shared" si="13"/>
        <v>28.8</v>
      </c>
      <c r="G49" s="183">
        <f t="shared" si="13"/>
        <v>27.428571428571427</v>
      </c>
      <c r="H49" s="183">
        <f t="shared" si="13"/>
        <v>32</v>
      </c>
      <c r="I49" s="183">
        <f t="shared" si="13"/>
        <v>31.5</v>
      </c>
    </row>
    <row r="50" spans="3:17" x14ac:dyDescent="0.25">
      <c r="C50" s="179" t="s">
        <v>244</v>
      </c>
      <c r="D50" s="144"/>
      <c r="E50" s="184">
        <f>E37/E45</f>
        <v>12.96</v>
      </c>
      <c r="F50" s="184">
        <f t="shared" si="13"/>
        <v>19.440000000000001</v>
      </c>
      <c r="G50" s="184">
        <f t="shared" si="13"/>
        <v>25.92</v>
      </c>
      <c r="H50" s="184">
        <f t="shared" si="13"/>
        <v>20.16</v>
      </c>
      <c r="I50" s="184">
        <f t="shared" si="13"/>
        <v>17.010000000000002</v>
      </c>
    </row>
    <row r="52" spans="3:17" s="294" customFormat="1" x14ac:dyDescent="0.2">
      <c r="C52" s="289" t="s">
        <v>245</v>
      </c>
      <c r="D52" s="290"/>
      <c r="E52" s="291">
        <f>E41/E44</f>
        <v>1.3333333333333333</v>
      </c>
      <c r="F52" s="291">
        <f t="shared" ref="F52:I52" si="14">F41/F44</f>
        <v>1.2</v>
      </c>
      <c r="G52" s="291">
        <f>G41/G44</f>
        <v>1.1428571428571428</v>
      </c>
      <c r="H52" s="291">
        <f t="shared" si="14"/>
        <v>1.2857142857142858</v>
      </c>
      <c r="I52" s="291">
        <f t="shared" si="14"/>
        <v>1.125</v>
      </c>
      <c r="J52" s="292"/>
      <c r="K52" s="293"/>
      <c r="L52" s="292"/>
      <c r="M52" s="292"/>
    </row>
    <row r="55" spans="3:17" x14ac:dyDescent="0.25">
      <c r="C55" s="186" t="s">
        <v>6</v>
      </c>
      <c r="D55" s="186"/>
      <c r="E55" s="187">
        <f>'5 YR Budget'!D6</f>
        <v>231274.98934233002</v>
      </c>
      <c r="F55" s="187">
        <f>'5 YR Budget'!E6</f>
        <v>245042.50159118138</v>
      </c>
      <c r="G55" s="187">
        <f>'5 YR Budget'!F6</f>
        <v>99721.184556615539</v>
      </c>
      <c r="H55" s="187">
        <f>'5 YR Budget'!G6</f>
        <v>-246728.75829717191</v>
      </c>
      <c r="I55" s="187">
        <f>'5 YR Budget'!H6</f>
        <v>490296.31432414707</v>
      </c>
    </row>
    <row r="56" spans="3:17" x14ac:dyDescent="0.25">
      <c r="C56" s="175" t="s">
        <v>246</v>
      </c>
      <c r="D56" s="188"/>
      <c r="E56" s="189">
        <f>E55</f>
        <v>231274.98934233002</v>
      </c>
      <c r="F56" s="189">
        <f t="shared" ref="F56:I56" si="15">E56+F55</f>
        <v>476317.49093351141</v>
      </c>
      <c r="G56" s="189">
        <f t="shared" si="15"/>
        <v>576038.67549012695</v>
      </c>
      <c r="H56" s="189">
        <f t="shared" si="15"/>
        <v>329309.91719295504</v>
      </c>
      <c r="I56" s="189">
        <f t="shared" si="15"/>
        <v>819606.2315171021</v>
      </c>
    </row>
    <row r="57" spans="3:17" x14ac:dyDescent="0.25">
      <c r="C57" s="190" t="s">
        <v>247</v>
      </c>
      <c r="D57" s="177"/>
      <c r="E57" s="191">
        <f>'5 YR Budget'!D5/365*60</f>
        <v>296350.3397825784</v>
      </c>
      <c r="F57" s="191">
        <f>'5 YR Budget'!E5/365*60</f>
        <v>392773.96927929862</v>
      </c>
      <c r="G57" s="191">
        <f>'5 YR Budget'!F5/365*60</f>
        <v>478325.47066638566</v>
      </c>
      <c r="H57" s="191">
        <f>'5 YR Budget'!G5/365*60</f>
        <v>557786.75109245034</v>
      </c>
      <c r="I57" s="191">
        <f>'5 YR Budget'!H5/365*60</f>
        <v>671317.84008785954</v>
      </c>
    </row>
    <row r="58" spans="3:17" x14ac:dyDescent="0.25">
      <c r="C58" s="192" t="s">
        <v>248</v>
      </c>
      <c r="D58" s="179"/>
      <c r="E58" s="193">
        <f>E56-E57</f>
        <v>-65075.350440248381</v>
      </c>
      <c r="F58" s="193">
        <f t="shared" ref="F58:I58" si="16">F56-F57</f>
        <v>83543.521654212789</v>
      </c>
      <c r="G58" s="193">
        <f t="shared" si="16"/>
        <v>97713.204823741282</v>
      </c>
      <c r="H58" s="193">
        <f t="shared" si="16"/>
        <v>-228476.83389949531</v>
      </c>
      <c r="I58" s="193">
        <f t="shared" si="16"/>
        <v>148288.39142924256</v>
      </c>
    </row>
    <row r="60" spans="3:17" x14ac:dyDescent="0.25">
      <c r="C60" s="194" t="s">
        <v>249</v>
      </c>
    </row>
    <row r="61" spans="3:17" x14ac:dyDescent="0.25">
      <c r="C61" s="195" t="s">
        <v>222</v>
      </c>
      <c r="D61" s="196">
        <v>28000</v>
      </c>
      <c r="E61" s="197">
        <v>4</v>
      </c>
      <c r="F61" s="197">
        <v>6</v>
      </c>
      <c r="G61" s="197">
        <v>8</v>
      </c>
      <c r="H61" s="197">
        <v>9</v>
      </c>
      <c r="I61" s="197">
        <v>9</v>
      </c>
      <c r="M61" s="150">
        <f>SUM(E61*D61)*$M$5+SUM((E61*D61))</f>
        <v>112000</v>
      </c>
      <c r="N61" s="155">
        <f>IF(F61&gt;0,SUM(F61-E61)*$D61+SUM(M61*N$5)+M61,0)</f>
        <v>171360</v>
      </c>
      <c r="O61" s="155">
        <f>IF(G61&gt;0,SUM(G61-F61)*$D61+SUM(N61*O$5)+N61,0)</f>
        <v>232500.8</v>
      </c>
      <c r="P61" s="155">
        <f>IF(H61&gt;0,SUM(H61-G61)*$D61+SUM(O61*P$5)+O61,0)</f>
        <v>267475.82399999996</v>
      </c>
      <c r="Q61" s="155">
        <f>IF(I61&gt;0,SUM(I61-H61)*$D61+SUM(P61*Q$5)+P61,0)</f>
        <v>275500.09871999995</v>
      </c>
    </row>
    <row r="62" spans="3:17" x14ac:dyDescent="0.25">
      <c r="C62" s="352" t="s">
        <v>250</v>
      </c>
      <c r="D62" s="353"/>
      <c r="E62" s="167">
        <f>M61-M19</f>
        <v>28000</v>
      </c>
      <c r="F62" s="167">
        <f>N61-N19</f>
        <v>28840</v>
      </c>
      <c r="G62" s="167">
        <f>O61-O19</f>
        <v>29705.199999999983</v>
      </c>
      <c r="H62" s="167">
        <f>P61-P19</f>
        <v>58596.355999999971</v>
      </c>
      <c r="I62" s="167">
        <f>Q61-Q19</f>
        <v>32354.246679999953</v>
      </c>
    </row>
    <row r="63" spans="3:17" ht="15.75" thickBot="1" x14ac:dyDescent="0.3">
      <c r="M63" s="198" t="s">
        <v>251</v>
      </c>
      <c r="O63" s="119" t="s">
        <v>252</v>
      </c>
    </row>
    <row r="64" spans="3:17" x14ac:dyDescent="0.25">
      <c r="C64" s="199" t="s">
        <v>253</v>
      </c>
      <c r="D64" s="121"/>
      <c r="E64" s="354" t="s">
        <v>254</v>
      </c>
      <c r="F64" s="354"/>
      <c r="G64" s="354"/>
      <c r="H64" s="354"/>
      <c r="I64" s="121"/>
      <c r="J64" s="121"/>
      <c r="K64" s="200"/>
      <c r="M64" s="119" t="s">
        <v>255</v>
      </c>
    </row>
    <row r="65" spans="3:14" x14ac:dyDescent="0.25">
      <c r="C65" s="127" t="s">
        <v>256</v>
      </c>
      <c r="D65" s="119" t="s">
        <v>257</v>
      </c>
      <c r="E65" s="119" t="s">
        <v>258</v>
      </c>
      <c r="F65" s="119" t="s">
        <v>259</v>
      </c>
      <c r="G65" s="119" t="s">
        <v>260</v>
      </c>
      <c r="H65" s="119" t="s">
        <v>261</v>
      </c>
      <c r="K65" s="201"/>
      <c r="M65" s="119" t="s">
        <v>262</v>
      </c>
    </row>
    <row r="66" spans="3:14" x14ac:dyDescent="0.25">
      <c r="C66" s="127" t="str">
        <f>C13</f>
        <v>Montessori Teacher: WA Cert + Mont (3-6)</v>
      </c>
      <c r="D66" s="119">
        <v>1</v>
      </c>
      <c r="E66" s="202">
        <v>1</v>
      </c>
      <c r="F66" s="202">
        <v>0</v>
      </c>
      <c r="G66" s="202">
        <v>0</v>
      </c>
      <c r="H66" s="202">
        <v>0</v>
      </c>
      <c r="K66" s="201"/>
      <c r="M66" s="119" t="s">
        <v>263</v>
      </c>
    </row>
    <row r="67" spans="3:14" x14ac:dyDescent="0.25">
      <c r="C67" s="127" t="str">
        <f>C66</f>
        <v>Montessori Teacher: WA Cert + Mont (3-6)</v>
      </c>
      <c r="D67" s="119">
        <v>1</v>
      </c>
      <c r="E67" s="202">
        <v>1</v>
      </c>
      <c r="F67" s="202">
        <v>0</v>
      </c>
      <c r="G67" s="202">
        <v>0</v>
      </c>
      <c r="H67" s="202">
        <v>0</v>
      </c>
      <c r="K67" s="201"/>
      <c r="M67" s="119" t="s">
        <v>264</v>
      </c>
    </row>
    <row r="68" spans="3:14" x14ac:dyDescent="0.25">
      <c r="C68" s="127" t="str">
        <f>C15</f>
        <v>Montessori Teacher: WA Cert + Mont (9-12)</v>
      </c>
      <c r="D68" s="203">
        <v>1</v>
      </c>
      <c r="E68" s="202">
        <v>0</v>
      </c>
      <c r="F68" s="202">
        <f>1/3</f>
        <v>0.33333333333333331</v>
      </c>
      <c r="G68" s="202">
        <f>1/3</f>
        <v>0.33333333333333331</v>
      </c>
      <c r="H68" s="202">
        <f>1/3</f>
        <v>0.33333333333333331</v>
      </c>
      <c r="K68" s="201"/>
      <c r="M68" s="119" t="s">
        <v>265</v>
      </c>
    </row>
    <row r="69" spans="3:14" x14ac:dyDescent="0.25">
      <c r="C69" s="127" t="s">
        <v>266</v>
      </c>
      <c r="D69" s="204">
        <v>0</v>
      </c>
      <c r="E69" s="202">
        <f>1/6</f>
        <v>0.16666666666666666</v>
      </c>
      <c r="F69" s="202">
        <f t="shared" ref="F69:H70" si="17">1/6</f>
        <v>0.16666666666666666</v>
      </c>
      <c r="G69" s="202">
        <f t="shared" si="17"/>
        <v>0.16666666666666666</v>
      </c>
      <c r="H69" s="202">
        <f t="shared" si="17"/>
        <v>0.16666666666666666</v>
      </c>
      <c r="K69" s="201"/>
    </row>
    <row r="70" spans="3:14" x14ac:dyDescent="0.25">
      <c r="C70" s="127" t="s">
        <v>267</v>
      </c>
      <c r="D70" s="204">
        <v>0</v>
      </c>
      <c r="E70" s="202">
        <f t="shared" ref="E70" si="18">1/6</f>
        <v>0.16666666666666666</v>
      </c>
      <c r="F70" s="202">
        <f t="shared" si="17"/>
        <v>0.16666666666666666</v>
      </c>
      <c r="G70" s="202">
        <f t="shared" si="17"/>
        <v>0.16666666666666666</v>
      </c>
      <c r="H70" s="202">
        <f t="shared" si="17"/>
        <v>0.16666666666666666</v>
      </c>
      <c r="K70" s="201"/>
    </row>
    <row r="71" spans="3:14" x14ac:dyDescent="0.25">
      <c r="C71" s="127" t="s">
        <v>268</v>
      </c>
      <c r="D71" s="204">
        <v>0</v>
      </c>
      <c r="E71" s="202"/>
      <c r="F71" s="202">
        <f t="shared" ref="F71:H72" si="19">1/3</f>
        <v>0.33333333333333331</v>
      </c>
      <c r="G71" s="202">
        <f t="shared" si="19"/>
        <v>0.33333333333333331</v>
      </c>
      <c r="H71" s="202">
        <f t="shared" si="19"/>
        <v>0.33333333333333331</v>
      </c>
      <c r="K71" s="201"/>
    </row>
    <row r="72" spans="3:14" x14ac:dyDescent="0.25">
      <c r="C72" s="127" t="s">
        <v>269</v>
      </c>
      <c r="D72" s="204">
        <v>1</v>
      </c>
      <c r="E72" s="202"/>
      <c r="F72" s="202">
        <f t="shared" si="19"/>
        <v>0.33333333333333331</v>
      </c>
      <c r="G72" s="202">
        <f t="shared" si="19"/>
        <v>0.33333333333333331</v>
      </c>
      <c r="H72" s="202">
        <f t="shared" si="19"/>
        <v>0.33333333333333331</v>
      </c>
      <c r="K72" s="201"/>
    </row>
    <row r="73" spans="3:14" x14ac:dyDescent="0.25">
      <c r="C73" s="127" t="str">
        <f>C21</f>
        <v>Special Education Teacher &amp; Program Manager</v>
      </c>
      <c r="D73" s="191">
        <v>1</v>
      </c>
      <c r="E73" s="202">
        <f>1/6</f>
        <v>0.16666666666666666</v>
      </c>
      <c r="F73" s="202">
        <f t="shared" ref="F73:H73" si="20">1/6</f>
        <v>0.16666666666666666</v>
      </c>
      <c r="G73" s="202">
        <f t="shared" si="20"/>
        <v>0.16666666666666666</v>
      </c>
      <c r="H73" s="202">
        <f t="shared" si="20"/>
        <v>0.16666666666666666</v>
      </c>
      <c r="K73" s="201"/>
      <c r="M73" s="119" t="s">
        <v>270</v>
      </c>
    </row>
    <row r="74" spans="3:14" x14ac:dyDescent="0.25">
      <c r="C74" s="127" t="s">
        <v>230</v>
      </c>
      <c r="F74" s="205"/>
      <c r="G74" s="205"/>
      <c r="H74" s="205"/>
      <c r="K74" s="201"/>
      <c r="M74" s="119" t="s">
        <v>271</v>
      </c>
    </row>
    <row r="75" spans="3:14" x14ac:dyDescent="0.25">
      <c r="C75" s="127"/>
      <c r="H75" s="205"/>
      <c r="K75" s="201"/>
      <c r="M75" s="206" t="s">
        <v>272</v>
      </c>
    </row>
    <row r="76" spans="3:14" ht="30" x14ac:dyDescent="0.25">
      <c r="C76" s="207" t="s">
        <v>273</v>
      </c>
      <c r="E76" s="198" t="s">
        <v>145</v>
      </c>
      <c r="F76" s="198" t="s">
        <v>274</v>
      </c>
      <c r="G76" s="198" t="s">
        <v>275</v>
      </c>
      <c r="H76" s="194" t="s">
        <v>276</v>
      </c>
      <c r="I76" s="194" t="s">
        <v>277</v>
      </c>
      <c r="K76" s="201"/>
      <c r="M76" s="119" t="s">
        <v>278</v>
      </c>
    </row>
    <row r="77" spans="3:14" x14ac:dyDescent="0.25">
      <c r="C77" s="127" t="s">
        <v>279</v>
      </c>
      <c r="E77" s="208">
        <f>'Enrollment and Demographics'!D3</f>
        <v>33</v>
      </c>
      <c r="F77" s="208">
        <f>D66+D67+(D69*E69)+(D70*E70)+(D72*E72)</f>
        <v>2</v>
      </c>
      <c r="G77" s="208">
        <f>E73*N79</f>
        <v>3.833333333333333E-2</v>
      </c>
      <c r="H77" s="208">
        <f>SUM(F77:G77)</f>
        <v>2.0383333333333331</v>
      </c>
      <c r="I77" s="208">
        <f>E77/H77</f>
        <v>16.189697465249388</v>
      </c>
      <c r="K77" s="201"/>
      <c r="M77" s="119" t="s">
        <v>280</v>
      </c>
    </row>
    <row r="78" spans="3:14" x14ac:dyDescent="0.25">
      <c r="C78" s="209">
        <v>1</v>
      </c>
      <c r="E78" s="208">
        <f>'Enrollment and Demographics'!D4</f>
        <v>13</v>
      </c>
      <c r="F78" s="208">
        <f>D68*F68+(D69*F69)+(D70*F70)+(D71*F71)+(D72*F72)</f>
        <v>0.66666666666666663</v>
      </c>
      <c r="G78" s="208">
        <f>G77</f>
        <v>3.833333333333333E-2</v>
      </c>
      <c r="H78" s="208">
        <f>SUM(F78:G78)</f>
        <v>0.70499999999999996</v>
      </c>
      <c r="I78" s="208">
        <f>E78/H78</f>
        <v>18.439716312056738</v>
      </c>
      <c r="K78" s="201"/>
      <c r="M78" s="119" t="s">
        <v>281</v>
      </c>
    </row>
    <row r="79" spans="3:14" x14ac:dyDescent="0.25">
      <c r="C79" s="209">
        <v>2</v>
      </c>
      <c r="E79" s="208">
        <f>'Enrollment and Demographics'!D5</f>
        <v>13</v>
      </c>
      <c r="F79" s="208">
        <f>D68*G68+(D69*G69)+(D70*G70)+(D71*G71)+(D72*G72)</f>
        <v>0.66666666666666663</v>
      </c>
      <c r="G79" s="208">
        <f>G78</f>
        <v>3.833333333333333E-2</v>
      </c>
      <c r="H79" s="208">
        <f>SUM(F79:G79)</f>
        <v>0.70499999999999996</v>
      </c>
      <c r="I79" s="208">
        <f>E79/H79</f>
        <v>18.439716312056738</v>
      </c>
      <c r="K79" s="201"/>
      <c r="M79" s="210">
        <v>31.21</v>
      </c>
      <c r="N79" s="210">
        <v>0.23</v>
      </c>
    </row>
    <row r="80" spans="3:14" x14ac:dyDescent="0.25">
      <c r="C80" s="209">
        <v>3</v>
      </c>
      <c r="E80" s="208">
        <f>'Enrollment and Demographics'!D6</f>
        <v>11</v>
      </c>
      <c r="F80" s="208">
        <f>D68*H68+(D69*H69)+(D70*H70)+(D71*H71)+(D72*H72)</f>
        <v>0.66666666666666663</v>
      </c>
      <c r="G80" s="208">
        <f>G79</f>
        <v>3.833333333333333E-2</v>
      </c>
      <c r="H80" s="208">
        <f>SUM(F80:G80)</f>
        <v>0.70499999999999996</v>
      </c>
      <c r="I80" s="208">
        <f>E80/H80</f>
        <v>15.602836879432624</v>
      </c>
      <c r="K80" s="201"/>
    </row>
    <row r="81" spans="3:11" x14ac:dyDescent="0.25">
      <c r="C81" s="127" t="s">
        <v>230</v>
      </c>
      <c r="E81" s="208">
        <f>SUM(E77:E80)</f>
        <v>70</v>
      </c>
      <c r="F81" s="208">
        <f>SUM(F77:F80)</f>
        <v>3.9999999999999996</v>
      </c>
      <c r="G81" s="208">
        <f>SUM(G77:G80)</f>
        <v>0.15333333333333332</v>
      </c>
      <c r="H81" s="208">
        <f>SUM(H77:H80)</f>
        <v>4.1533333333333333</v>
      </c>
      <c r="I81" s="208">
        <f>E81/H81</f>
        <v>16.853932584269664</v>
      </c>
      <c r="K81" s="201"/>
    </row>
    <row r="82" spans="3:11" ht="15.75" thickBot="1" x14ac:dyDescent="0.3">
      <c r="C82" s="211"/>
      <c r="D82" s="212"/>
      <c r="E82" s="212"/>
      <c r="F82" s="212"/>
      <c r="G82" s="212"/>
      <c r="H82" s="212"/>
      <c r="I82" s="212"/>
      <c r="J82" s="212"/>
      <c r="K82" s="213"/>
    </row>
  </sheetData>
  <sheetProtection formatCells="0" formatColumns="0" formatRows="0" insertRows="0"/>
  <mergeCells count="6">
    <mergeCell ref="C62:D62"/>
    <mergeCell ref="E64:H64"/>
    <mergeCell ref="M1:Q1"/>
    <mergeCell ref="R1:R5"/>
    <mergeCell ref="E3:I3"/>
    <mergeCell ref="M4:Q4"/>
  </mergeCells>
  <dataValidations count="1">
    <dataValidation type="list" allowBlank="1" showInputMessage="1" showErrorMessage="1" sqref="R7:R31" xr:uid="{612CC3AD-AA7B-4E9A-AAE5-BDD5BFCF4B9B}">
      <formula1>X_PositionsCategories</formula1>
    </dataValidation>
  </dataValidations>
  <printOptions horizontalCentered="1"/>
  <pageMargins left="0.2" right="0.1" top="0.5" bottom="0.25" header="0.3" footer="0.3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684A5-4F3F-4444-9A01-1582AA40F949}">
  <sheetPr codeName="Sheet8">
    <tabColor theme="8"/>
  </sheetPr>
  <dimension ref="C1:AV48"/>
  <sheetViews>
    <sheetView zoomScale="70" zoomScaleNormal="70" workbookViewId="0">
      <pane xSplit="1" ySplit="8" topLeftCell="B9" activePane="bottomRight" state="frozen"/>
      <selection activeCell="X87" sqref="X87"/>
      <selection pane="topRight" activeCell="X87" sqref="X87"/>
      <selection pane="bottomLeft" activeCell="X87" sqref="X87"/>
      <selection pane="bottomRight" activeCell="J1" sqref="J1"/>
    </sheetView>
  </sheetViews>
  <sheetFormatPr defaultColWidth="9.140625" defaultRowHeight="15" x14ac:dyDescent="0.25"/>
  <cols>
    <col min="1" max="1" width="2.7109375" style="215" customWidth="1"/>
    <col min="2" max="2" width="1.7109375" style="215" customWidth="1"/>
    <col min="3" max="3" width="58.28515625" style="215" customWidth="1"/>
    <col min="4" max="4" width="1.7109375" style="215" customWidth="1"/>
    <col min="5" max="5" width="21.28515625" style="215" bestFit="1" customWidth="1"/>
    <col min="6" max="6" width="1.7109375" style="215" customWidth="1"/>
    <col min="7" max="11" width="12.7109375" style="215" customWidth="1"/>
    <col min="12" max="12" width="1.7109375" style="215" customWidth="1"/>
    <col min="13" max="13" width="78.140625" style="249" customWidth="1"/>
    <col min="14" max="14" width="1.7109375" style="215" customWidth="1"/>
    <col min="15" max="16" width="13.7109375" style="215" customWidth="1"/>
    <col min="17" max="17" width="26.7109375" style="215" bestFit="1" customWidth="1"/>
    <col min="18" max="23" width="13.7109375" style="215" customWidth="1"/>
    <col min="24" max="24" width="32.28515625" style="228" customWidth="1"/>
    <col min="25" max="35" width="9.140625" style="228" customWidth="1"/>
    <col min="36" max="41" width="9.140625" style="215" customWidth="1"/>
    <col min="42" max="16384" width="9.140625" style="215"/>
  </cols>
  <sheetData>
    <row r="1" spans="3:48" ht="15" customHeight="1" x14ac:dyDescent="0.25">
      <c r="C1" s="214"/>
      <c r="G1" s="216" t="s">
        <v>324</v>
      </c>
      <c r="H1" s="216" t="s">
        <v>325</v>
      </c>
      <c r="I1" s="216" t="s">
        <v>326</v>
      </c>
      <c r="J1" s="216" t="s">
        <v>327</v>
      </c>
      <c r="K1" s="216" t="s">
        <v>328</v>
      </c>
      <c r="L1" s="217"/>
      <c r="M1" s="218"/>
      <c r="N1" s="219"/>
      <c r="O1" s="219"/>
      <c r="P1" s="219"/>
      <c r="Q1" s="219"/>
      <c r="R1" s="219" t="str">
        <f>+G1</f>
        <v>2021-22</v>
      </c>
      <c r="S1" s="219" t="str">
        <f>+H1</f>
        <v>2022-23</v>
      </c>
      <c r="T1" s="219" t="str">
        <f>+I1</f>
        <v>2023-24</v>
      </c>
      <c r="U1" s="219" t="str">
        <f>+J1</f>
        <v>2024-25</v>
      </c>
      <c r="V1" s="219" t="str">
        <f>+K1</f>
        <v>2025-26</v>
      </c>
      <c r="W1" s="219" t="e">
        <f>+#REF!</f>
        <v>#REF!</v>
      </c>
      <c r="X1" s="219" t="e">
        <f>+#REF!</f>
        <v>#REF!</v>
      </c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21"/>
    </row>
    <row r="2" spans="3:48" ht="15" customHeight="1" x14ac:dyDescent="0.25">
      <c r="C2" s="222" t="s">
        <v>10</v>
      </c>
      <c r="E2" s="337" t="s">
        <v>282</v>
      </c>
      <c r="G2" s="364" t="s">
        <v>283</v>
      </c>
      <c r="H2" s="365"/>
      <c r="I2" s="365"/>
      <c r="J2" s="365"/>
      <c r="K2" s="366"/>
      <c r="L2" s="217"/>
      <c r="M2" s="223" t="s">
        <v>284</v>
      </c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21"/>
    </row>
    <row r="3" spans="3:48" ht="15" hidden="1" customHeight="1" x14ac:dyDescent="0.25">
      <c r="C3" s="224" t="s">
        <v>285</v>
      </c>
      <c r="E3" s="225"/>
      <c r="G3" s="226"/>
      <c r="H3" s="227"/>
      <c r="I3" s="227"/>
      <c r="J3" s="227"/>
      <c r="K3" s="227"/>
      <c r="L3" s="217"/>
      <c r="M3" s="218"/>
    </row>
    <row r="4" spans="3:48" ht="15" hidden="1" customHeight="1" x14ac:dyDescent="0.25">
      <c r="C4" s="23" t="s">
        <v>286</v>
      </c>
      <c r="E4" s="329">
        <v>0</v>
      </c>
      <c r="G4" s="338">
        <v>0</v>
      </c>
      <c r="H4" s="338">
        <v>0</v>
      </c>
      <c r="I4" s="338">
        <v>0</v>
      </c>
      <c r="J4" s="338">
        <v>0</v>
      </c>
      <c r="K4" s="338">
        <v>0</v>
      </c>
      <c r="L4" s="217"/>
      <c r="M4" s="43"/>
    </row>
    <row r="5" spans="3:48" ht="15" hidden="1" customHeight="1" x14ac:dyDescent="0.25">
      <c r="C5" s="23" t="s">
        <v>287</v>
      </c>
      <c r="E5" s="329">
        <v>0</v>
      </c>
      <c r="G5" s="338">
        <v>0</v>
      </c>
      <c r="H5" s="338">
        <v>0</v>
      </c>
      <c r="I5" s="338">
        <v>0</v>
      </c>
      <c r="J5" s="338">
        <v>0</v>
      </c>
      <c r="K5" s="338">
        <v>0</v>
      </c>
      <c r="L5" s="217"/>
      <c r="M5" s="43"/>
    </row>
    <row r="6" spans="3:48" ht="15" hidden="1" customHeight="1" x14ac:dyDescent="0.25">
      <c r="C6" s="230" t="str">
        <f>"Custom "&amp;MID(C3,8,100)</f>
        <v>Custom LOCAL TAXES</v>
      </c>
      <c r="E6" s="329">
        <v>0</v>
      </c>
      <c r="G6" s="338">
        <v>0</v>
      </c>
      <c r="H6" s="338">
        <v>0</v>
      </c>
      <c r="I6" s="338">
        <v>0</v>
      </c>
      <c r="J6" s="338">
        <v>0</v>
      </c>
      <c r="K6" s="338">
        <v>0</v>
      </c>
      <c r="L6" s="217"/>
      <c r="M6" s="43"/>
    </row>
    <row r="7" spans="3:48" ht="15" hidden="1" customHeight="1" x14ac:dyDescent="0.25">
      <c r="C7" s="21" t="str">
        <f>"TOTAL "&amp;MID(C3,8,100)</f>
        <v>TOTAL LOCAL TAXES</v>
      </c>
      <c r="E7" s="225"/>
      <c r="G7" s="226"/>
      <c r="H7" s="227"/>
      <c r="I7" s="227"/>
      <c r="J7" s="227"/>
      <c r="K7" s="227"/>
      <c r="L7" s="217"/>
      <c r="M7" s="43"/>
    </row>
    <row r="8" spans="3:48" ht="6" hidden="1" customHeight="1" x14ac:dyDescent="0.25">
      <c r="C8" s="16"/>
      <c r="E8" s="225"/>
      <c r="G8" s="226"/>
      <c r="H8" s="227"/>
      <c r="I8" s="227"/>
      <c r="J8" s="227"/>
      <c r="K8" s="227"/>
      <c r="L8" s="217"/>
      <c r="M8" s="43"/>
    </row>
    <row r="9" spans="3:48" x14ac:dyDescent="0.25">
      <c r="C9" s="231" t="s">
        <v>288</v>
      </c>
      <c r="E9" s="225"/>
      <c r="G9" s="226"/>
      <c r="H9" s="227"/>
      <c r="I9" s="227"/>
      <c r="J9" s="227"/>
      <c r="K9" s="227"/>
      <c r="L9" s="217"/>
      <c r="M9" s="43"/>
    </row>
    <row r="10" spans="3:48" x14ac:dyDescent="0.25">
      <c r="C10" s="23" t="s">
        <v>289</v>
      </c>
      <c r="E10" s="339"/>
      <c r="G10" s="338">
        <v>-0.05</v>
      </c>
      <c r="H10" s="338">
        <v>0</v>
      </c>
      <c r="I10" s="338">
        <v>0.02</v>
      </c>
      <c r="J10" s="338">
        <v>0.02</v>
      </c>
      <c r="K10" s="338">
        <v>0.03</v>
      </c>
      <c r="L10" s="217"/>
      <c r="M10" s="43" t="s">
        <v>290</v>
      </c>
    </row>
    <row r="11" spans="3:48" x14ac:dyDescent="0.25">
      <c r="C11" s="23" t="s">
        <v>291</v>
      </c>
      <c r="E11" s="339"/>
      <c r="G11" s="338">
        <v>-0.05</v>
      </c>
      <c r="H11" s="338">
        <v>0</v>
      </c>
      <c r="I11" s="338">
        <v>0.02</v>
      </c>
      <c r="J11" s="338">
        <v>0.02</v>
      </c>
      <c r="K11" s="338">
        <v>0.03</v>
      </c>
      <c r="L11" s="217"/>
      <c r="M11" s="43" t="s">
        <v>292</v>
      </c>
    </row>
    <row r="12" spans="3:48" x14ac:dyDescent="0.25">
      <c r="C12" s="23" t="s">
        <v>293</v>
      </c>
      <c r="E12" s="340">
        <v>62.634375000000006</v>
      </c>
      <c r="G12" s="338">
        <v>0</v>
      </c>
      <c r="H12" s="338">
        <v>0</v>
      </c>
      <c r="I12" s="338">
        <v>0</v>
      </c>
      <c r="J12" s="338">
        <v>0</v>
      </c>
      <c r="K12" s="338">
        <v>0</v>
      </c>
      <c r="L12" s="217"/>
      <c r="M12" s="43"/>
      <c r="Q12" s="215" t="str">
        <f>+C12</f>
        <v xml:space="preserve">4198 - School Food Service      </v>
      </c>
      <c r="R12" s="233">
        <f>+E12</f>
        <v>62.634375000000006</v>
      </c>
      <c r="S12" s="234">
        <f>+R12*(1+H12)</f>
        <v>62.634375000000006</v>
      </c>
      <c r="T12" s="234">
        <f>+S12*(1+I12)</f>
        <v>62.634375000000006</v>
      </c>
      <c r="U12" s="234">
        <f>+T12*(1+J12)</f>
        <v>62.634375000000006</v>
      </c>
      <c r="V12" s="234">
        <f>+U12*(1+K12)</f>
        <v>62.634375000000006</v>
      </c>
      <c r="W12" s="234" t="e">
        <f>+V12*(1+#REF!)</f>
        <v>#REF!</v>
      </c>
      <c r="X12" s="234" t="e">
        <f>+W12*(1+#REF!)</f>
        <v>#REF!</v>
      </c>
    </row>
    <row r="13" spans="3:48" x14ac:dyDescent="0.25">
      <c r="C13" s="23" t="s">
        <v>294</v>
      </c>
      <c r="E13" s="341"/>
      <c r="G13" s="338">
        <v>0</v>
      </c>
      <c r="H13" s="338">
        <v>0</v>
      </c>
      <c r="I13" s="338">
        <v>0</v>
      </c>
      <c r="J13" s="338">
        <v>0</v>
      </c>
      <c r="K13" s="338">
        <v>0</v>
      </c>
      <c r="L13" s="217"/>
      <c r="M13" s="43"/>
      <c r="R13" s="233"/>
      <c r="S13" s="234"/>
      <c r="T13" s="234"/>
      <c r="U13" s="234"/>
      <c r="V13" s="234"/>
    </row>
    <row r="14" spans="3:48" ht="15" customHeight="1" x14ac:dyDescent="0.25">
      <c r="C14" s="231"/>
      <c r="E14" s="225"/>
      <c r="G14" s="235"/>
      <c r="H14" s="235"/>
      <c r="I14" s="235"/>
      <c r="J14" s="235"/>
      <c r="K14" s="235"/>
      <c r="L14" s="217"/>
      <c r="M14" s="43"/>
    </row>
    <row r="15" spans="3:48" ht="15" customHeight="1" x14ac:dyDescent="0.25">
      <c r="C15" s="231" t="s">
        <v>289</v>
      </c>
      <c r="E15" s="225"/>
      <c r="G15" s="342"/>
      <c r="H15" s="342"/>
      <c r="I15" s="342"/>
      <c r="J15" s="342"/>
      <c r="K15" s="342"/>
      <c r="L15" s="217"/>
      <c r="M15" s="43"/>
    </row>
    <row r="16" spans="3:48" x14ac:dyDescent="0.25">
      <c r="C16" s="23" t="s">
        <v>295</v>
      </c>
      <c r="E16" s="341"/>
      <c r="G16" s="338">
        <f t="shared" ref="G16:K16" si="0">+G10</f>
        <v>-0.05</v>
      </c>
      <c r="H16" s="338">
        <f t="shared" si="0"/>
        <v>0</v>
      </c>
      <c r="I16" s="338">
        <f t="shared" si="0"/>
        <v>0.02</v>
      </c>
      <c r="J16" s="338">
        <f t="shared" si="0"/>
        <v>0.02</v>
      </c>
      <c r="K16" s="338">
        <f t="shared" si="0"/>
        <v>0.03</v>
      </c>
      <c r="L16" s="217"/>
      <c r="M16" s="43"/>
    </row>
    <row r="17" spans="3:24" ht="15" customHeight="1" x14ac:dyDescent="0.25">
      <c r="C17" s="23" t="s">
        <v>296</v>
      </c>
      <c r="E17" s="341"/>
      <c r="G17" s="343">
        <f t="shared" ref="G17:K17" si="1">+G10</f>
        <v>-0.05</v>
      </c>
      <c r="H17" s="343">
        <f t="shared" si="1"/>
        <v>0</v>
      </c>
      <c r="I17" s="343">
        <f t="shared" si="1"/>
        <v>0.02</v>
      </c>
      <c r="J17" s="343">
        <f t="shared" si="1"/>
        <v>0.02</v>
      </c>
      <c r="K17" s="343">
        <f t="shared" si="1"/>
        <v>0.03</v>
      </c>
      <c r="L17" s="217"/>
      <c r="M17" s="43"/>
    </row>
    <row r="18" spans="3:24" ht="15" customHeight="1" x14ac:dyDescent="0.25">
      <c r="C18" s="21"/>
      <c r="E18" s="225"/>
      <c r="G18" s="226"/>
      <c r="H18" s="227"/>
      <c r="I18" s="227"/>
      <c r="J18" s="227"/>
      <c r="K18" s="227"/>
      <c r="L18" s="217"/>
      <c r="M18" s="43"/>
    </row>
    <row r="19" spans="3:24" ht="6" customHeight="1" x14ac:dyDescent="0.25">
      <c r="C19" s="16"/>
      <c r="E19" s="225"/>
      <c r="G19" s="226"/>
      <c r="H19" s="227"/>
      <c r="I19" s="227"/>
      <c r="J19" s="227"/>
      <c r="K19" s="227"/>
      <c r="L19" s="217"/>
      <c r="M19" s="43"/>
    </row>
    <row r="20" spans="3:24" ht="15" customHeight="1" x14ac:dyDescent="0.25">
      <c r="C20" s="231" t="s">
        <v>291</v>
      </c>
      <c r="E20" s="225"/>
      <c r="G20" s="226"/>
      <c r="H20" s="227"/>
      <c r="I20" s="227"/>
      <c r="J20" s="227"/>
      <c r="K20" s="227"/>
      <c r="L20" s="217"/>
      <c r="M20" s="43"/>
    </row>
    <row r="21" spans="3:24" ht="15" customHeight="1" x14ac:dyDescent="0.25">
      <c r="C21" s="23" t="s">
        <v>297</v>
      </c>
      <c r="E21" s="341"/>
      <c r="G21" s="343">
        <f t="shared" ref="G21:K25" si="2">+G$11</f>
        <v>-0.05</v>
      </c>
      <c r="H21" s="343">
        <f t="shared" si="2"/>
        <v>0</v>
      </c>
      <c r="I21" s="343">
        <f t="shared" si="2"/>
        <v>0.02</v>
      </c>
      <c r="J21" s="343">
        <f t="shared" si="2"/>
        <v>0.02</v>
      </c>
      <c r="K21" s="343">
        <f t="shared" si="2"/>
        <v>0.03</v>
      </c>
      <c r="L21" s="217"/>
      <c r="M21" s="43"/>
    </row>
    <row r="22" spans="3:24" ht="15" customHeight="1" x14ac:dyDescent="0.25">
      <c r="C22" s="23" t="s">
        <v>298</v>
      </c>
      <c r="E22" s="341"/>
      <c r="G22" s="343">
        <f t="shared" si="2"/>
        <v>-0.05</v>
      </c>
      <c r="H22" s="343">
        <f t="shared" si="2"/>
        <v>0</v>
      </c>
      <c r="I22" s="343">
        <f t="shared" si="2"/>
        <v>0.02</v>
      </c>
      <c r="J22" s="343">
        <f t="shared" si="2"/>
        <v>0.02</v>
      </c>
      <c r="K22" s="343">
        <f t="shared" si="2"/>
        <v>0.03</v>
      </c>
      <c r="L22" s="217"/>
      <c r="M22" s="236"/>
    </row>
    <row r="23" spans="3:24" ht="15" customHeight="1" x14ac:dyDescent="0.25">
      <c r="C23" s="23" t="s">
        <v>299</v>
      </c>
      <c r="E23" s="341"/>
      <c r="G23" s="343">
        <f t="shared" si="2"/>
        <v>-0.05</v>
      </c>
      <c r="H23" s="343">
        <f t="shared" si="2"/>
        <v>0</v>
      </c>
      <c r="I23" s="343">
        <f t="shared" si="2"/>
        <v>0.02</v>
      </c>
      <c r="J23" s="343">
        <f t="shared" si="2"/>
        <v>0.02</v>
      </c>
      <c r="K23" s="343">
        <f t="shared" si="2"/>
        <v>0.03</v>
      </c>
      <c r="L23" s="217"/>
      <c r="M23" s="43"/>
    </row>
    <row r="24" spans="3:24" ht="15" customHeight="1" x14ac:dyDescent="0.25">
      <c r="C24" s="23" t="s">
        <v>300</v>
      </c>
      <c r="E24" s="341"/>
      <c r="G24" s="343">
        <f t="shared" si="2"/>
        <v>-0.05</v>
      </c>
      <c r="H24" s="343">
        <f t="shared" si="2"/>
        <v>0</v>
      </c>
      <c r="I24" s="343">
        <f t="shared" si="2"/>
        <v>0.02</v>
      </c>
      <c r="J24" s="343">
        <f t="shared" si="2"/>
        <v>0.02</v>
      </c>
      <c r="K24" s="343">
        <f t="shared" si="2"/>
        <v>0.03</v>
      </c>
      <c r="L24" s="217"/>
      <c r="M24" s="236"/>
    </row>
    <row r="25" spans="3:24" x14ac:dyDescent="0.25">
      <c r="C25" s="23" t="s">
        <v>293</v>
      </c>
      <c r="E25" s="341"/>
      <c r="G25" s="343">
        <f t="shared" si="2"/>
        <v>-0.05</v>
      </c>
      <c r="H25" s="343">
        <f t="shared" si="2"/>
        <v>0</v>
      </c>
      <c r="I25" s="343">
        <f t="shared" si="2"/>
        <v>0.02</v>
      </c>
      <c r="J25" s="343">
        <f t="shared" si="2"/>
        <v>0.02</v>
      </c>
      <c r="K25" s="343">
        <f t="shared" si="2"/>
        <v>0.03</v>
      </c>
      <c r="L25" s="217"/>
      <c r="M25" s="43"/>
    </row>
    <row r="26" spans="3:24" ht="15" customHeight="1" x14ac:dyDescent="0.25">
      <c r="C26" s="23" t="s">
        <v>301</v>
      </c>
      <c r="E26" s="341">
        <v>662.23120542663435</v>
      </c>
      <c r="G26" s="343">
        <f t="shared" ref="G26:K26" si="3">+G13</f>
        <v>0</v>
      </c>
      <c r="H26" s="343">
        <f t="shared" si="3"/>
        <v>0</v>
      </c>
      <c r="I26" s="343">
        <f t="shared" si="3"/>
        <v>0</v>
      </c>
      <c r="J26" s="343">
        <f t="shared" si="3"/>
        <v>0</v>
      </c>
      <c r="K26" s="343">
        <f t="shared" si="3"/>
        <v>0</v>
      </c>
      <c r="L26" s="217"/>
      <c r="M26" s="43"/>
      <c r="Q26" s="215" t="str">
        <f>+C26</f>
        <v>4199 - Transportation - Operations</v>
      </c>
      <c r="R26" s="233">
        <f>+E26</f>
        <v>662.23120542663435</v>
      </c>
      <c r="S26" s="234">
        <f>+R26*(1+H26)</f>
        <v>662.23120542663435</v>
      </c>
      <c r="T26" s="234">
        <f>+S26*(1+I26)</f>
        <v>662.23120542663435</v>
      </c>
      <c r="U26" s="234">
        <f>+T26*(1+J26)</f>
        <v>662.23120542663435</v>
      </c>
      <c r="V26" s="234">
        <f>+U26*(1+K26)</f>
        <v>662.23120542663435</v>
      </c>
      <c r="W26" s="234" t="e">
        <f>+V26*(1+#REF!)</f>
        <v>#REF!</v>
      </c>
      <c r="X26" s="234" t="e">
        <f>+W26*(1+#REF!)</f>
        <v>#REF!</v>
      </c>
    </row>
    <row r="27" spans="3:24" ht="15" customHeight="1" x14ac:dyDescent="0.25">
      <c r="C27" s="21"/>
      <c r="E27" s="225"/>
      <c r="G27" s="226"/>
      <c r="H27" s="227"/>
      <c r="I27" s="227"/>
      <c r="J27" s="227"/>
      <c r="K27" s="227"/>
      <c r="L27" s="217"/>
      <c r="M27" s="43"/>
      <c r="X27" s="215"/>
    </row>
    <row r="28" spans="3:24" ht="6" customHeight="1" x14ac:dyDescent="0.25">
      <c r="C28" s="16"/>
      <c r="E28" s="225"/>
      <c r="G28" s="226"/>
      <c r="H28" s="227"/>
      <c r="I28" s="227"/>
      <c r="J28" s="227"/>
      <c r="K28" s="227"/>
      <c r="L28" s="217"/>
      <c r="M28" s="43"/>
      <c r="X28" s="215"/>
    </row>
    <row r="29" spans="3:24" ht="15" customHeight="1" x14ac:dyDescent="0.25">
      <c r="C29" s="231" t="s">
        <v>302</v>
      </c>
      <c r="E29" s="225"/>
      <c r="G29" s="226"/>
      <c r="H29" s="227"/>
      <c r="I29" s="227"/>
      <c r="J29" s="227"/>
      <c r="K29" s="227"/>
      <c r="L29" s="217"/>
      <c r="M29" s="43"/>
      <c r="X29" s="215"/>
    </row>
    <row r="30" spans="3:24" ht="15" customHeight="1" x14ac:dyDescent="0.25">
      <c r="C30" s="237" t="s">
        <v>303</v>
      </c>
      <c r="E30" s="344">
        <v>320</v>
      </c>
      <c r="G30" s="338">
        <v>0</v>
      </c>
      <c r="H30" s="338">
        <v>0</v>
      </c>
      <c r="I30" s="338">
        <v>0</v>
      </c>
      <c r="J30" s="338">
        <v>0</v>
      </c>
      <c r="K30" s="338">
        <v>0.01</v>
      </c>
      <c r="L30" s="217"/>
      <c r="M30" s="43"/>
      <c r="R30" s="215">
        <f>+E30*(1+G30)</f>
        <v>320</v>
      </c>
      <c r="S30" s="215">
        <f>+R30*(1+H30)</f>
        <v>320</v>
      </c>
      <c r="T30" s="215">
        <f>+S30*(1+I30)</f>
        <v>320</v>
      </c>
      <c r="U30" s="215">
        <f>+T30*(1+J30)</f>
        <v>320</v>
      </c>
      <c r="V30" s="215">
        <f>+U30*(1+K30)</f>
        <v>323.2</v>
      </c>
      <c r="W30" s="215" t="e">
        <f>+V30*(1+#REF!)</f>
        <v>#REF!</v>
      </c>
      <c r="X30" s="215" t="e">
        <f>+W30*(1+#REF!)</f>
        <v>#REF!</v>
      </c>
    </row>
    <row r="31" spans="3:24" ht="15" customHeight="1" x14ac:dyDescent="0.25">
      <c r="C31" s="237" t="s">
        <v>304</v>
      </c>
      <c r="E31" s="344">
        <v>50</v>
      </c>
      <c r="G31" s="338">
        <v>0</v>
      </c>
      <c r="H31" s="338">
        <v>0</v>
      </c>
      <c r="I31" s="338">
        <v>0</v>
      </c>
      <c r="J31" s="338">
        <v>0</v>
      </c>
      <c r="K31" s="338">
        <v>0.01</v>
      </c>
      <c r="L31" s="217"/>
      <c r="M31" s="43"/>
      <c r="R31" s="215">
        <f>+E31*(1+G31)</f>
        <v>50</v>
      </c>
      <c r="S31" s="215">
        <f>+R31*(1+H31)</f>
        <v>50</v>
      </c>
      <c r="T31" s="215">
        <f>+S31*(1+I31)</f>
        <v>50</v>
      </c>
      <c r="U31" s="215">
        <f>+T31*(1+J31)</f>
        <v>50</v>
      </c>
      <c r="V31" s="215">
        <f>+U31*(1+K31)</f>
        <v>50.5</v>
      </c>
      <c r="W31" s="215" t="e">
        <f>+V31*(1+#REF!)</f>
        <v>#REF!</v>
      </c>
      <c r="X31" s="215" t="e">
        <f>+W31*(1+#REF!)</f>
        <v>#REF!</v>
      </c>
    </row>
    <row r="32" spans="3:24" ht="15" customHeight="1" x14ac:dyDescent="0.25">
      <c r="C32" s="237" t="s">
        <v>305</v>
      </c>
      <c r="E32" s="344">
        <v>70</v>
      </c>
      <c r="G32" s="338">
        <v>0</v>
      </c>
      <c r="H32" s="338">
        <v>0</v>
      </c>
      <c r="I32" s="338">
        <v>0</v>
      </c>
      <c r="J32" s="338">
        <v>0</v>
      </c>
      <c r="K32" s="338">
        <v>0.01</v>
      </c>
      <c r="L32" s="217"/>
      <c r="M32" s="43"/>
      <c r="R32" s="215">
        <f>+E32*(1+G32)</f>
        <v>70</v>
      </c>
      <c r="S32" s="215">
        <f>+R32*(1+H32)</f>
        <v>70</v>
      </c>
      <c r="T32" s="215">
        <f>+S32*(1+I32)</f>
        <v>70</v>
      </c>
      <c r="U32" s="215">
        <f>+T32*(1+J32)</f>
        <v>70</v>
      </c>
      <c r="V32" s="215">
        <f>+U32*(1+K32)</f>
        <v>70.7</v>
      </c>
      <c r="W32" s="215" t="e">
        <f>+V32*(1+#REF!)</f>
        <v>#REF!</v>
      </c>
      <c r="X32" s="215" t="e">
        <f>+W32*(1+#REF!)</f>
        <v>#REF!</v>
      </c>
    </row>
    <row r="33" spans="3:25" ht="15" customHeight="1" x14ac:dyDescent="0.25">
      <c r="C33" s="237" t="s">
        <v>306</v>
      </c>
      <c r="E33" s="344">
        <v>1300</v>
      </c>
      <c r="G33" s="338">
        <v>0</v>
      </c>
      <c r="H33" s="338">
        <v>0</v>
      </c>
      <c r="I33" s="338">
        <v>0</v>
      </c>
      <c r="J33" s="338">
        <v>0</v>
      </c>
      <c r="K33" s="338">
        <v>0.01</v>
      </c>
      <c r="L33" s="217"/>
      <c r="M33" s="43"/>
      <c r="R33" s="215">
        <f>+E33*(1+G33)</f>
        <v>1300</v>
      </c>
      <c r="S33" s="215">
        <f>+R33*(1+H33)</f>
        <v>1300</v>
      </c>
      <c r="T33" s="215">
        <f>+S33*(1+I33)</f>
        <v>1300</v>
      </c>
      <c r="U33" s="215">
        <f>+T33*(1+J33)</f>
        <v>1300</v>
      </c>
      <c r="V33" s="215">
        <f>+U33*(1+K33)</f>
        <v>1313</v>
      </c>
      <c r="W33" s="215" t="e">
        <f>+V33*(1+#REF!)</f>
        <v>#REF!</v>
      </c>
      <c r="X33" s="215" t="e">
        <f>+W33*(1+#REF!)</f>
        <v>#REF!</v>
      </c>
    </row>
    <row r="34" spans="3:25" ht="6" customHeight="1" x14ac:dyDescent="0.25">
      <c r="C34" s="16"/>
      <c r="E34" s="225"/>
      <c r="G34" s="226"/>
      <c r="H34" s="227"/>
      <c r="I34" s="227"/>
      <c r="J34" s="227"/>
      <c r="K34" s="227"/>
      <c r="L34" s="217"/>
      <c r="M34" s="43"/>
      <c r="X34" s="215"/>
      <c r="Y34" s="239"/>
    </row>
    <row r="35" spans="3:25" ht="15" customHeight="1" thickBot="1" x14ac:dyDescent="0.3">
      <c r="C35" s="231" t="s">
        <v>17</v>
      </c>
      <c r="E35" s="225"/>
      <c r="G35" s="226"/>
      <c r="H35" s="227"/>
      <c r="I35" s="227"/>
      <c r="J35" s="227"/>
      <c r="K35" s="227"/>
      <c r="L35" s="217"/>
      <c r="M35" s="43"/>
      <c r="X35" s="215"/>
      <c r="Y35" s="240"/>
    </row>
    <row r="36" spans="3:25" ht="15" customHeight="1" x14ac:dyDescent="0.25">
      <c r="C36" s="241" t="s">
        <v>19</v>
      </c>
      <c r="E36" s="339"/>
      <c r="G36" s="345">
        <v>174240</v>
      </c>
      <c r="H36" s="345">
        <v>380000</v>
      </c>
      <c r="I36" s="345">
        <v>300000</v>
      </c>
      <c r="J36" s="345">
        <v>220000</v>
      </c>
      <c r="K36" s="345">
        <v>0</v>
      </c>
      <c r="L36" s="217"/>
      <c r="M36" s="43"/>
      <c r="X36" s="215"/>
      <c r="Y36" s="243">
        <v>0.09</v>
      </c>
    </row>
    <row r="37" spans="3:25" ht="15" customHeight="1" x14ac:dyDescent="0.25">
      <c r="C37" s="23" t="s">
        <v>18</v>
      </c>
      <c r="E37" s="340">
        <v>476.55</v>
      </c>
      <c r="G37" s="338">
        <v>0</v>
      </c>
      <c r="H37" s="338">
        <v>0</v>
      </c>
      <c r="I37" s="338">
        <v>0</v>
      </c>
      <c r="J37" s="338">
        <v>0</v>
      </c>
      <c r="K37" s="338">
        <v>0.01</v>
      </c>
      <c r="L37" s="217"/>
      <c r="M37" s="43"/>
      <c r="R37" s="215">
        <f>+E37*(1+G37)</f>
        <v>476.55</v>
      </c>
      <c r="S37" s="215">
        <f>+R37*(1+H37)</f>
        <v>476.55</v>
      </c>
      <c r="T37" s="215">
        <f>+S37*(1+I37)</f>
        <v>476.55</v>
      </c>
      <c r="U37" s="215">
        <f>+T37*(1+J37)</f>
        <v>476.55</v>
      </c>
      <c r="V37" s="215">
        <f>+U37*(1+K37)</f>
        <v>481.31550000000004</v>
      </c>
      <c r="W37" s="215" t="e">
        <f>+V37*(1+#REF!)</f>
        <v>#REF!</v>
      </c>
      <c r="X37" s="215" t="e">
        <f>+W37*(1+#REF!)</f>
        <v>#REF!</v>
      </c>
      <c r="Y37" s="243">
        <v>0.08</v>
      </c>
    </row>
    <row r="38" spans="3:25" ht="15" hidden="1" customHeight="1" x14ac:dyDescent="0.25">
      <c r="C38" s="244" t="s">
        <v>307</v>
      </c>
      <c r="E38" s="114">
        <v>0</v>
      </c>
      <c r="G38" s="229">
        <v>0</v>
      </c>
      <c r="H38" s="229">
        <v>0</v>
      </c>
      <c r="I38" s="229">
        <v>0</v>
      </c>
      <c r="J38" s="229">
        <v>0</v>
      </c>
      <c r="K38" s="229">
        <v>0</v>
      </c>
      <c r="L38" s="217"/>
      <c r="M38" s="43"/>
      <c r="X38" s="245" t="s">
        <v>308</v>
      </c>
      <c r="Y38" s="246">
        <v>0.05</v>
      </c>
    </row>
    <row r="39" spans="3:25" ht="15" hidden="1" customHeight="1" x14ac:dyDescent="0.25">
      <c r="C39" s="244" t="s">
        <v>309</v>
      </c>
      <c r="E39" s="114">
        <v>0</v>
      </c>
      <c r="G39" s="229">
        <v>0</v>
      </c>
      <c r="H39" s="229">
        <v>0</v>
      </c>
      <c r="I39" s="229">
        <v>0</v>
      </c>
      <c r="J39" s="229">
        <v>0</v>
      </c>
      <c r="K39" s="229">
        <v>0</v>
      </c>
      <c r="L39" s="217"/>
      <c r="M39" s="43"/>
      <c r="X39" s="245" t="s">
        <v>310</v>
      </c>
      <c r="Y39" s="243">
        <v>0.09</v>
      </c>
    </row>
    <row r="40" spans="3:25" ht="15" hidden="1" customHeight="1" x14ac:dyDescent="0.25">
      <c r="C40" s="244" t="s">
        <v>311</v>
      </c>
      <c r="E40" s="114">
        <v>0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  <c r="L40" s="217"/>
      <c r="M40" s="43"/>
      <c r="X40" s="245" t="s">
        <v>312</v>
      </c>
      <c r="Y40" s="247">
        <v>8.5000000000000006E-2</v>
      </c>
    </row>
    <row r="41" spans="3:25" ht="15" hidden="1" customHeight="1" x14ac:dyDescent="0.25">
      <c r="C41" s="244" t="s">
        <v>313</v>
      </c>
      <c r="E41" s="114">
        <v>0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17"/>
      <c r="M41" s="43"/>
      <c r="X41" s="245" t="s">
        <v>314</v>
      </c>
      <c r="Y41" s="243">
        <v>0.09</v>
      </c>
    </row>
    <row r="42" spans="3:25" ht="15" hidden="1" customHeight="1" x14ac:dyDescent="0.25">
      <c r="C42" s="244" t="s">
        <v>315</v>
      </c>
      <c r="E42" s="114">
        <v>0</v>
      </c>
      <c r="G42" s="229">
        <v>0</v>
      </c>
      <c r="H42" s="229">
        <v>0</v>
      </c>
      <c r="I42" s="229">
        <v>0</v>
      </c>
      <c r="J42" s="229">
        <v>0</v>
      </c>
      <c r="K42" s="229">
        <v>0</v>
      </c>
      <c r="L42" s="217"/>
      <c r="M42" s="43"/>
      <c r="X42" s="245" t="s">
        <v>316</v>
      </c>
      <c r="Y42" s="243">
        <v>0.09</v>
      </c>
    </row>
    <row r="43" spans="3:25" ht="15" hidden="1" customHeight="1" x14ac:dyDescent="0.25">
      <c r="C43" s="244" t="s">
        <v>317</v>
      </c>
      <c r="E43" s="114">
        <v>0</v>
      </c>
      <c r="G43" s="229">
        <v>0</v>
      </c>
      <c r="H43" s="229">
        <v>0</v>
      </c>
      <c r="I43" s="229">
        <v>0</v>
      </c>
      <c r="J43" s="229">
        <v>0</v>
      </c>
      <c r="K43" s="229">
        <v>0</v>
      </c>
      <c r="L43" s="217"/>
      <c r="M43" s="43"/>
      <c r="X43" s="245" t="s">
        <v>318</v>
      </c>
      <c r="Y43" s="243">
        <v>0.09</v>
      </c>
    </row>
    <row r="44" spans="3:25" ht="15" hidden="1" customHeight="1" x14ac:dyDescent="0.25">
      <c r="C44" s="244" t="s">
        <v>319</v>
      </c>
      <c r="E44" s="114">
        <v>0</v>
      </c>
      <c r="G44" s="229">
        <v>0</v>
      </c>
      <c r="H44" s="229">
        <v>0</v>
      </c>
      <c r="I44" s="229">
        <v>0</v>
      </c>
      <c r="J44" s="229">
        <v>0</v>
      </c>
      <c r="K44" s="229">
        <v>0</v>
      </c>
      <c r="L44" s="217"/>
      <c r="M44" s="43"/>
      <c r="X44" s="245" t="s">
        <v>320</v>
      </c>
      <c r="Y44" s="246">
        <v>0.05</v>
      </c>
    </row>
    <row r="45" spans="3:25" ht="15" hidden="1" customHeight="1" x14ac:dyDescent="0.25">
      <c r="C45" s="237" t="str">
        <f>"Total "&amp;C37</f>
        <v xml:space="preserve">Total 6198 - School Food Services     </v>
      </c>
      <c r="E45" s="225"/>
      <c r="G45" s="226"/>
      <c r="H45" s="227"/>
      <c r="I45" s="227"/>
      <c r="J45" s="227"/>
      <c r="K45" s="227"/>
      <c r="L45" s="217"/>
      <c r="M45" s="43"/>
      <c r="X45" s="245" t="s">
        <v>321</v>
      </c>
      <c r="Y45" s="243">
        <v>0.06</v>
      </c>
    </row>
    <row r="46" spans="3:25" ht="13.9" customHeight="1" x14ac:dyDescent="0.25">
      <c r="C46" s="16"/>
      <c r="E46" s="225"/>
      <c r="G46" s="226"/>
      <c r="H46" s="227"/>
      <c r="I46" s="227"/>
      <c r="J46" s="227"/>
      <c r="K46" s="227"/>
      <c r="L46" s="217"/>
      <c r="M46" s="43"/>
      <c r="X46" s="245" t="s">
        <v>322</v>
      </c>
      <c r="Y46" s="246">
        <v>0.125</v>
      </c>
    </row>
    <row r="47" spans="3:25" ht="15" customHeight="1" x14ac:dyDescent="0.25">
      <c r="M47" s="215"/>
      <c r="X47" s="245" t="s">
        <v>323</v>
      </c>
      <c r="Y47" s="246">
        <v>0.1</v>
      </c>
    </row>
    <row r="48" spans="3:25" ht="15" customHeight="1" x14ac:dyDescent="0.25">
      <c r="M48" s="215"/>
    </row>
  </sheetData>
  <sheetProtection formatColumns="0" formatRows="0"/>
  <mergeCells count="1">
    <mergeCell ref="G2:K2"/>
  </mergeCells>
  <conditionalFormatting sqref="E38:E44">
    <cfRule type="expression" dxfId="197" priority="52">
      <formula>#REF!=1</formula>
    </cfRule>
    <cfRule type="expression" dxfId="196" priority="53">
      <formula>#REF!=2</formula>
    </cfRule>
    <cfRule type="expression" dxfId="195" priority="54">
      <formula>#REF!=3</formula>
    </cfRule>
  </conditionalFormatting>
  <conditionalFormatting sqref="E4:E6 E30:E33 E37">
    <cfRule type="expression" dxfId="194" priority="25">
      <formula>#REF!=1</formula>
    </cfRule>
    <cfRule type="expression" dxfId="193" priority="26">
      <formula>#REF!=2</formula>
    </cfRule>
    <cfRule type="expression" dxfId="192" priority="27">
      <formula>#REF!=3</formula>
    </cfRule>
  </conditionalFormatting>
  <conditionalFormatting sqref="G36">
    <cfRule type="expression" dxfId="191" priority="22">
      <formula>#REF!=1</formula>
    </cfRule>
    <cfRule type="expression" dxfId="190" priority="23">
      <formula>#REF!=2</formula>
    </cfRule>
    <cfRule type="expression" dxfId="189" priority="24">
      <formula>#REF!=3</formula>
    </cfRule>
  </conditionalFormatting>
  <conditionalFormatting sqref="H36">
    <cfRule type="expression" dxfId="188" priority="19">
      <formula>#REF!=1</formula>
    </cfRule>
    <cfRule type="expression" dxfId="187" priority="20">
      <formula>#REF!=2</formula>
    </cfRule>
    <cfRule type="expression" dxfId="186" priority="21">
      <formula>#REF!=3</formula>
    </cfRule>
  </conditionalFormatting>
  <conditionalFormatting sqref="I36">
    <cfRule type="expression" dxfId="185" priority="16">
      <formula>#REF!=1</formula>
    </cfRule>
    <cfRule type="expression" dxfId="184" priority="17">
      <formula>#REF!=2</formula>
    </cfRule>
    <cfRule type="expression" dxfId="183" priority="18">
      <formula>#REF!=3</formula>
    </cfRule>
  </conditionalFormatting>
  <conditionalFormatting sqref="J36">
    <cfRule type="expression" dxfId="182" priority="13">
      <formula>#REF!=1</formula>
    </cfRule>
    <cfRule type="expression" dxfId="181" priority="14">
      <formula>#REF!=2</formula>
    </cfRule>
    <cfRule type="expression" dxfId="180" priority="15">
      <formula>#REF!=3</formula>
    </cfRule>
  </conditionalFormatting>
  <conditionalFormatting sqref="K36">
    <cfRule type="expression" dxfId="179" priority="10">
      <formula>#REF!=1</formula>
    </cfRule>
    <cfRule type="expression" dxfId="178" priority="11">
      <formula>#REF!=2</formula>
    </cfRule>
    <cfRule type="expression" dxfId="177" priority="12">
      <formula>#REF!=3</formula>
    </cfRule>
  </conditionalFormatting>
  <conditionalFormatting sqref="E12">
    <cfRule type="expression" dxfId="176" priority="7">
      <formula>#REF!=1</formula>
    </cfRule>
    <cfRule type="expression" dxfId="175" priority="8">
      <formula>#REF!=2</formula>
    </cfRule>
    <cfRule type="expression" dxfId="174" priority="9">
      <formula>#REF!=3</formula>
    </cfRule>
  </conditionalFormatting>
  <printOptions horizontalCentered="1"/>
  <pageMargins left="0.5" right="0.25" top="0.5" bottom="0.25" header="0.3" footer="0.3"/>
  <pageSetup scale="50" orientation="landscape" r:id="rId1"/>
  <rowBreaks count="1" manualBreakCount="1">
    <brk id="34" min="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C9F5E-65A6-47EE-A2F9-43A5038C2AE6}">
  <sheetPr codeName="Sheet7">
    <tabColor theme="8"/>
  </sheetPr>
  <dimension ref="A1:N29"/>
  <sheetViews>
    <sheetView zoomScale="75" zoomScaleNormal="75" workbookViewId="0">
      <selection activeCell="H7" sqref="H7"/>
    </sheetView>
  </sheetViews>
  <sheetFormatPr defaultRowHeight="15" x14ac:dyDescent="0.25"/>
  <cols>
    <col min="1" max="1" width="2.5703125" customWidth="1"/>
    <col min="2" max="2" width="3.28515625" customWidth="1"/>
    <col min="3" max="3" width="73.42578125" customWidth="1"/>
    <col min="4" max="4" width="2.28515625" customWidth="1"/>
    <col min="5" max="5" width="10.7109375" bestFit="1" customWidth="1"/>
    <col min="6" max="7" width="11" bestFit="1" customWidth="1"/>
    <col min="8" max="9" width="10.42578125" bestFit="1" customWidth="1"/>
    <col min="10" max="10" width="2.5703125" customWidth="1"/>
    <col min="11" max="11" width="102.140625" customWidth="1"/>
  </cols>
  <sheetData>
    <row r="1" spans="1:14" x14ac:dyDescent="0.25">
      <c r="A1" s="250"/>
      <c r="B1" s="250"/>
      <c r="C1" s="214"/>
      <c r="D1" s="214"/>
      <c r="E1" s="215"/>
      <c r="F1" s="226"/>
      <c r="G1" s="226"/>
      <c r="H1" s="226"/>
      <c r="I1" s="226"/>
      <c r="J1" s="250"/>
      <c r="K1" s="250"/>
      <c r="L1" s="250"/>
      <c r="M1" s="250"/>
      <c r="N1" s="250"/>
    </row>
    <row r="2" spans="1:14" ht="15.75" x14ac:dyDescent="0.25">
      <c r="A2" s="250"/>
      <c r="B2" s="250"/>
      <c r="C2" s="214"/>
      <c r="D2" s="215"/>
      <c r="E2" s="251" t="s">
        <v>324</v>
      </c>
      <c r="F2" s="251" t="str">
        <f>INDEX(X_Enrollment,1,3)</f>
        <v>2022-23</v>
      </c>
      <c r="G2" s="251" t="str">
        <f>INDEX(X_Enrollment,1,4)</f>
        <v>2023-24</v>
      </c>
      <c r="H2" s="251" t="str">
        <f>INDEX(X_Enrollment,1,5)</f>
        <v>2024-25</v>
      </c>
      <c r="I2" s="251" t="str">
        <f>INDEX(X_Enrollment,1,6)</f>
        <v>2025-26</v>
      </c>
      <c r="J2" s="250"/>
      <c r="K2" s="250"/>
      <c r="L2" s="250"/>
      <c r="M2" s="250"/>
      <c r="N2" s="250"/>
    </row>
    <row r="3" spans="1:14" ht="15.6" customHeight="1" x14ac:dyDescent="0.25">
      <c r="A3" s="250"/>
      <c r="B3" s="250"/>
      <c r="C3" s="222" t="s">
        <v>10</v>
      </c>
      <c r="D3" s="215"/>
      <c r="E3" s="364" t="s">
        <v>329</v>
      </c>
      <c r="F3" s="365"/>
      <c r="G3" s="365"/>
      <c r="H3" s="365"/>
      <c r="I3" s="366"/>
      <c r="K3" s="222" t="s">
        <v>40</v>
      </c>
      <c r="L3" s="250"/>
      <c r="M3" s="250"/>
      <c r="N3" s="250"/>
    </row>
    <row r="4" spans="1:14" x14ac:dyDescent="0.25">
      <c r="A4" s="250"/>
      <c r="B4" s="250"/>
      <c r="C4" s="231" t="s">
        <v>11</v>
      </c>
      <c r="D4" s="215"/>
      <c r="E4" s="226"/>
      <c r="F4" s="227"/>
      <c r="G4" s="227"/>
      <c r="H4" s="227"/>
      <c r="I4" s="227"/>
      <c r="J4" s="217"/>
      <c r="K4" s="43"/>
      <c r="L4" s="250"/>
      <c r="M4" s="250"/>
      <c r="N4" s="250"/>
    </row>
    <row r="5" spans="1:14" x14ac:dyDescent="0.25">
      <c r="A5" s="250"/>
      <c r="B5" s="250"/>
      <c r="C5" s="23" t="s">
        <v>12</v>
      </c>
      <c r="D5" s="215"/>
      <c r="E5" s="238">
        <v>75</v>
      </c>
      <c r="F5" s="238">
        <v>75</v>
      </c>
      <c r="G5" s="238">
        <v>75</v>
      </c>
      <c r="H5" s="238">
        <v>75</v>
      </c>
      <c r="I5" s="238">
        <v>75</v>
      </c>
      <c r="J5" s="217"/>
      <c r="K5" s="43" t="s">
        <v>330</v>
      </c>
      <c r="L5" s="250"/>
      <c r="M5" s="250"/>
      <c r="N5" s="250"/>
    </row>
    <row r="6" spans="1:14" x14ac:dyDescent="0.25">
      <c r="A6" s="250"/>
      <c r="B6" s="250"/>
      <c r="C6" s="23" t="s">
        <v>13</v>
      </c>
      <c r="D6" s="215"/>
      <c r="E6" s="242">
        <v>25000</v>
      </c>
      <c r="F6" s="242">
        <v>25000</v>
      </c>
      <c r="G6" s="242">
        <v>25000</v>
      </c>
      <c r="H6" s="242">
        <v>25000</v>
      </c>
      <c r="I6" s="242">
        <v>25000</v>
      </c>
      <c r="J6" s="217"/>
      <c r="K6" s="43" t="s">
        <v>331</v>
      </c>
      <c r="L6" s="250"/>
      <c r="M6" s="250"/>
      <c r="N6" s="250"/>
    </row>
    <row r="7" spans="1:14" x14ac:dyDescent="0.25">
      <c r="A7" s="250"/>
      <c r="B7" s="250"/>
      <c r="C7" s="252" t="s">
        <v>15</v>
      </c>
      <c r="D7" s="215"/>
      <c r="E7" s="232">
        <v>270</v>
      </c>
      <c r="F7" s="232">
        <v>270</v>
      </c>
      <c r="G7" s="232">
        <v>270</v>
      </c>
      <c r="H7" s="232">
        <v>270</v>
      </c>
      <c r="I7" s="232">
        <v>270</v>
      </c>
      <c r="J7" s="217"/>
      <c r="K7" s="43"/>
      <c r="L7" s="250"/>
      <c r="M7" s="250"/>
      <c r="N7" s="250"/>
    </row>
    <row r="8" spans="1:14" x14ac:dyDescent="0.25">
      <c r="A8" s="250"/>
      <c r="B8" s="250"/>
      <c r="L8" s="250"/>
      <c r="M8" s="250"/>
      <c r="N8" s="250"/>
    </row>
    <row r="9" spans="1:14" x14ac:dyDescent="0.25">
      <c r="A9" s="250"/>
      <c r="B9" s="250"/>
      <c r="C9" s="231" t="s">
        <v>22</v>
      </c>
      <c r="D9" s="215"/>
      <c r="E9" s="226"/>
      <c r="F9" s="227"/>
      <c r="G9" s="227"/>
      <c r="H9" s="227"/>
      <c r="I9" s="227"/>
      <c r="J9" s="217"/>
      <c r="K9" s="43"/>
      <c r="L9" s="250"/>
      <c r="M9" s="250"/>
      <c r="N9" s="250"/>
    </row>
    <row r="10" spans="1:14" x14ac:dyDescent="0.25">
      <c r="A10" s="250"/>
      <c r="B10" s="250"/>
      <c r="C10" s="23" t="s">
        <v>23</v>
      </c>
      <c r="D10" s="215"/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17"/>
      <c r="K10" s="43"/>
      <c r="L10" s="250"/>
      <c r="M10" s="250"/>
      <c r="N10" s="250"/>
    </row>
    <row r="11" spans="1:14" x14ac:dyDescent="0.25">
      <c r="A11" s="250"/>
      <c r="B11" s="250"/>
      <c r="C11" s="23" t="s">
        <v>24</v>
      </c>
      <c r="D11" s="215"/>
      <c r="E11" s="253">
        <f>+SUM(E12:E17)</f>
        <v>468500</v>
      </c>
      <c r="F11" s="253">
        <f t="shared" ref="F11:I11" si="0">+SUM(F12:F17)</f>
        <v>216000</v>
      </c>
      <c r="G11" s="253">
        <f t="shared" si="0"/>
        <v>192000</v>
      </c>
      <c r="H11" s="253">
        <f t="shared" si="0"/>
        <v>0</v>
      </c>
      <c r="I11" s="253">
        <f t="shared" si="0"/>
        <v>0</v>
      </c>
      <c r="J11" s="217"/>
      <c r="K11" s="43" t="s">
        <v>332</v>
      </c>
      <c r="L11" s="250"/>
      <c r="M11" s="250"/>
      <c r="N11" s="250"/>
    </row>
    <row r="12" spans="1:14" x14ac:dyDescent="0.25">
      <c r="A12" s="250"/>
      <c r="B12" s="250"/>
      <c r="C12" s="254" t="s">
        <v>333</v>
      </c>
      <c r="D12" s="215"/>
      <c r="E12" s="242">
        <v>400000</v>
      </c>
      <c r="F12" s="242">
        <f>MIN(MAX(100000,1500*'Enrollment and Demographics'!E19),300000)</f>
        <v>216000</v>
      </c>
      <c r="G12" s="242">
        <f>MIN(MAX(100000,1000*'Enrollment and Demographics'!F19),300000)</f>
        <v>192000</v>
      </c>
      <c r="H12" s="242">
        <v>0</v>
      </c>
      <c r="I12" s="242">
        <v>0</v>
      </c>
      <c r="J12" s="217"/>
      <c r="K12" s="43"/>
      <c r="L12" s="250"/>
      <c r="M12" s="250"/>
      <c r="N12" s="250"/>
    </row>
    <row r="13" spans="1:14" x14ac:dyDescent="0.25">
      <c r="A13" s="250"/>
      <c r="B13" s="250"/>
      <c r="C13" s="254" t="s">
        <v>334</v>
      </c>
      <c r="D13" s="215"/>
      <c r="E13" s="242">
        <v>68500</v>
      </c>
      <c r="F13" s="242">
        <v>0</v>
      </c>
      <c r="G13" s="242">
        <v>0</v>
      </c>
      <c r="H13" s="242">
        <v>0</v>
      </c>
      <c r="I13" s="242">
        <v>0</v>
      </c>
      <c r="J13" s="217"/>
      <c r="K13" s="43" t="s">
        <v>335</v>
      </c>
      <c r="L13" s="250"/>
      <c r="M13" s="250"/>
      <c r="N13" s="250"/>
    </row>
    <row r="14" spans="1:14" x14ac:dyDescent="0.25">
      <c r="A14" s="250"/>
      <c r="B14" s="250"/>
      <c r="C14" s="255" t="s">
        <v>336</v>
      </c>
      <c r="D14" s="215"/>
      <c r="E14" s="242">
        <v>0</v>
      </c>
      <c r="F14" s="242">
        <v>0</v>
      </c>
      <c r="G14" s="242">
        <v>0</v>
      </c>
      <c r="H14" s="242">
        <v>0</v>
      </c>
      <c r="I14" s="242">
        <v>0</v>
      </c>
      <c r="J14" s="217"/>
      <c r="K14" s="43"/>
      <c r="L14" s="250"/>
      <c r="M14" s="250"/>
      <c r="N14" s="250"/>
    </row>
    <row r="15" spans="1:14" x14ac:dyDescent="0.25">
      <c r="A15" s="250"/>
      <c r="B15" s="250"/>
      <c r="C15" s="255" t="s">
        <v>336</v>
      </c>
      <c r="D15" s="215"/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217"/>
      <c r="K15" s="43"/>
      <c r="L15" s="250"/>
      <c r="M15" s="250"/>
      <c r="N15" s="250"/>
    </row>
    <row r="16" spans="1:14" x14ac:dyDescent="0.25">
      <c r="A16" s="250"/>
      <c r="B16" s="250"/>
      <c r="C16" s="255" t="s">
        <v>336</v>
      </c>
      <c r="D16" s="215"/>
      <c r="E16" s="242">
        <v>0</v>
      </c>
      <c r="F16" s="242">
        <v>0</v>
      </c>
      <c r="G16" s="242">
        <v>0</v>
      </c>
      <c r="H16" s="242">
        <v>0</v>
      </c>
      <c r="I16" s="242">
        <v>0</v>
      </c>
      <c r="J16" s="217"/>
      <c r="K16" s="43"/>
      <c r="L16" s="250"/>
      <c r="M16" s="250"/>
      <c r="N16" s="250"/>
    </row>
    <row r="17" spans="1:14" x14ac:dyDescent="0.25">
      <c r="A17" s="250"/>
      <c r="B17" s="250"/>
      <c r="C17" s="255" t="s">
        <v>336</v>
      </c>
      <c r="D17" s="215"/>
      <c r="E17" s="242">
        <v>0</v>
      </c>
      <c r="F17" s="242">
        <v>0</v>
      </c>
      <c r="G17" s="242">
        <v>0</v>
      </c>
      <c r="H17" s="242">
        <v>0</v>
      </c>
      <c r="I17" s="242">
        <v>0</v>
      </c>
      <c r="J17" s="217"/>
      <c r="K17" s="43"/>
      <c r="L17" s="250"/>
      <c r="M17" s="250"/>
      <c r="N17" s="250"/>
    </row>
    <row r="18" spans="1:14" x14ac:dyDescent="0.25">
      <c r="A18" s="250"/>
      <c r="B18" s="250"/>
      <c r="C18" s="16"/>
      <c r="D18" s="215"/>
      <c r="E18" s="226"/>
      <c r="F18" s="227"/>
      <c r="G18" s="227"/>
      <c r="H18" s="227"/>
      <c r="I18" s="227"/>
      <c r="J18" s="217"/>
      <c r="K18" s="43"/>
      <c r="L18" s="250"/>
      <c r="M18" s="250"/>
      <c r="N18" s="250"/>
    </row>
    <row r="19" spans="1:14" x14ac:dyDescent="0.25">
      <c r="A19" s="250"/>
      <c r="B19" s="250"/>
      <c r="C19" s="231" t="s">
        <v>27</v>
      </c>
      <c r="D19" s="215"/>
      <c r="E19" s="226"/>
      <c r="F19" s="227"/>
      <c r="G19" s="227"/>
      <c r="H19" s="227"/>
      <c r="I19" s="227"/>
      <c r="J19" s="217"/>
      <c r="K19" s="43"/>
      <c r="L19" s="250"/>
      <c r="M19" s="250"/>
      <c r="N19" s="250"/>
    </row>
    <row r="20" spans="1:14" x14ac:dyDescent="0.25">
      <c r="A20" s="250"/>
      <c r="B20" s="250"/>
      <c r="C20" s="23" t="s">
        <v>28</v>
      </c>
      <c r="D20" s="215"/>
      <c r="E20" s="242">
        <v>0</v>
      </c>
      <c r="F20" s="242">
        <v>0</v>
      </c>
      <c r="G20" s="242">
        <v>0</v>
      </c>
      <c r="H20" s="242">
        <v>0</v>
      </c>
      <c r="I20" s="242">
        <v>0</v>
      </c>
      <c r="J20" s="217"/>
      <c r="K20" s="43"/>
      <c r="L20" s="250"/>
      <c r="M20" s="250"/>
      <c r="N20" s="250"/>
    </row>
    <row r="21" spans="1:14" x14ac:dyDescent="0.25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</row>
    <row r="22" spans="1:14" x14ac:dyDescent="0.25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</row>
    <row r="23" spans="1:14" x14ac:dyDescent="0.25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</row>
    <row r="24" spans="1:14" x14ac:dyDescent="0.25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</row>
    <row r="25" spans="1:14" x14ac:dyDescent="0.25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</row>
    <row r="26" spans="1:14" x14ac:dyDescent="0.2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</row>
    <row r="27" spans="1:14" x14ac:dyDescent="0.25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</row>
    <row r="28" spans="1:14" x14ac:dyDescent="0.25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</row>
    <row r="29" spans="1:14" x14ac:dyDescent="0.25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</row>
  </sheetData>
  <mergeCells count="1">
    <mergeCell ref="E3:I3"/>
  </mergeCells>
  <conditionalFormatting sqref="E6:I6">
    <cfRule type="expression" dxfId="173" priority="139">
      <formula>#REF!=1</formula>
    </cfRule>
    <cfRule type="expression" dxfId="172" priority="140">
      <formula>#REF!=2</formula>
    </cfRule>
    <cfRule type="expression" dxfId="171" priority="141">
      <formula>#REF!=3</formula>
    </cfRule>
  </conditionalFormatting>
  <conditionalFormatting sqref="F6">
    <cfRule type="expression" dxfId="170" priority="136">
      <formula>#REF!=1</formula>
    </cfRule>
    <cfRule type="expression" dxfId="169" priority="137">
      <formula>#REF!=2</formula>
    </cfRule>
    <cfRule type="expression" dxfId="168" priority="138">
      <formula>#REF!=3</formula>
    </cfRule>
  </conditionalFormatting>
  <conditionalFormatting sqref="G6">
    <cfRule type="expression" dxfId="167" priority="133">
      <formula>#REF!=1</formula>
    </cfRule>
    <cfRule type="expression" dxfId="166" priority="134">
      <formula>#REF!=2</formula>
    </cfRule>
    <cfRule type="expression" dxfId="165" priority="135">
      <formula>#REF!=3</formula>
    </cfRule>
  </conditionalFormatting>
  <conditionalFormatting sqref="H6">
    <cfRule type="expression" dxfId="164" priority="130">
      <formula>#REF!=1</formula>
    </cfRule>
    <cfRule type="expression" dxfId="163" priority="131">
      <formula>#REF!=2</formula>
    </cfRule>
    <cfRule type="expression" dxfId="162" priority="132">
      <formula>#REF!=3</formula>
    </cfRule>
  </conditionalFormatting>
  <conditionalFormatting sqref="I6">
    <cfRule type="expression" dxfId="161" priority="127">
      <formula>#REF!=1</formula>
    </cfRule>
    <cfRule type="expression" dxfId="160" priority="128">
      <formula>#REF!=2</formula>
    </cfRule>
    <cfRule type="expression" dxfId="159" priority="129">
      <formula>#REF!=3</formula>
    </cfRule>
  </conditionalFormatting>
  <conditionalFormatting sqref="E11:I11 E14:I17 E12 H12:I12 F13:I13">
    <cfRule type="expression" dxfId="158" priority="124">
      <formula>#REF!=1</formula>
    </cfRule>
    <cfRule type="expression" dxfId="157" priority="125">
      <formula>#REF!=2</formula>
    </cfRule>
    <cfRule type="expression" dxfId="156" priority="126">
      <formula>#REF!=3</formula>
    </cfRule>
  </conditionalFormatting>
  <conditionalFormatting sqref="F11 F13:I17 H12:I12">
    <cfRule type="expression" dxfId="155" priority="121">
      <formula>#REF!=1</formula>
    </cfRule>
    <cfRule type="expression" dxfId="154" priority="122">
      <formula>#REF!=2</formula>
    </cfRule>
    <cfRule type="expression" dxfId="153" priority="123">
      <formula>#REF!=3</formula>
    </cfRule>
  </conditionalFormatting>
  <conditionalFormatting sqref="G11 G13:G17">
    <cfRule type="expression" dxfId="152" priority="118">
      <formula>#REF!=1</formula>
    </cfRule>
    <cfRule type="expression" dxfId="151" priority="119">
      <formula>#REF!=2</formula>
    </cfRule>
    <cfRule type="expression" dxfId="150" priority="120">
      <formula>#REF!=3</formula>
    </cfRule>
  </conditionalFormatting>
  <conditionalFormatting sqref="H11:H17">
    <cfRule type="expression" dxfId="149" priority="115">
      <formula>#REF!=1</formula>
    </cfRule>
    <cfRule type="expression" dxfId="148" priority="116">
      <formula>#REF!=2</formula>
    </cfRule>
    <cfRule type="expression" dxfId="147" priority="117">
      <formula>#REF!=3</formula>
    </cfRule>
  </conditionalFormatting>
  <conditionalFormatting sqref="I11:I17">
    <cfRule type="expression" dxfId="146" priority="112">
      <formula>#REF!=1</formula>
    </cfRule>
    <cfRule type="expression" dxfId="145" priority="113">
      <formula>#REF!=2</formula>
    </cfRule>
    <cfRule type="expression" dxfId="144" priority="114">
      <formula>#REF!=3</formula>
    </cfRule>
  </conditionalFormatting>
  <conditionalFormatting sqref="E14:E17">
    <cfRule type="expression" dxfId="143" priority="109">
      <formula>#REF!=1</formula>
    </cfRule>
    <cfRule type="expression" dxfId="142" priority="110">
      <formula>#REF!=2</formula>
    </cfRule>
    <cfRule type="expression" dxfId="141" priority="111">
      <formula>#REF!=3</formula>
    </cfRule>
  </conditionalFormatting>
  <conditionalFormatting sqref="E10:I10">
    <cfRule type="expression" dxfId="140" priority="106">
      <formula>#REF!=1</formula>
    </cfRule>
    <cfRule type="expression" dxfId="139" priority="107">
      <formula>#REF!=2</formula>
    </cfRule>
    <cfRule type="expression" dxfId="138" priority="108">
      <formula>#REF!=3</formula>
    </cfRule>
  </conditionalFormatting>
  <conditionalFormatting sqref="F10:I10">
    <cfRule type="expression" dxfId="137" priority="103">
      <formula>#REF!=1</formula>
    </cfRule>
    <cfRule type="expression" dxfId="136" priority="104">
      <formula>#REF!=2</formula>
    </cfRule>
    <cfRule type="expression" dxfId="135" priority="105">
      <formula>#REF!=3</formula>
    </cfRule>
  </conditionalFormatting>
  <conditionalFormatting sqref="G10">
    <cfRule type="expression" dxfId="134" priority="100">
      <formula>#REF!=1</formula>
    </cfRule>
    <cfRule type="expression" dxfId="133" priority="101">
      <formula>#REF!=2</formula>
    </cfRule>
    <cfRule type="expression" dxfId="132" priority="102">
      <formula>#REF!=3</formula>
    </cfRule>
  </conditionalFormatting>
  <conditionalFormatting sqref="H10">
    <cfRule type="expression" dxfId="131" priority="97">
      <formula>#REF!=1</formula>
    </cfRule>
    <cfRule type="expression" dxfId="130" priority="98">
      <formula>#REF!=2</formula>
    </cfRule>
    <cfRule type="expression" dxfId="129" priority="99">
      <formula>#REF!=3</formula>
    </cfRule>
  </conditionalFormatting>
  <conditionalFormatting sqref="I10">
    <cfRule type="expression" dxfId="128" priority="94">
      <formula>#REF!=1</formula>
    </cfRule>
    <cfRule type="expression" dxfId="127" priority="95">
      <formula>#REF!=2</formula>
    </cfRule>
    <cfRule type="expression" dxfId="126" priority="96">
      <formula>#REF!=3</formula>
    </cfRule>
  </conditionalFormatting>
  <conditionalFormatting sqref="E10">
    <cfRule type="expression" dxfId="125" priority="91">
      <formula>#REF!=1</formula>
    </cfRule>
    <cfRule type="expression" dxfId="124" priority="92">
      <formula>#REF!=2</formula>
    </cfRule>
    <cfRule type="expression" dxfId="123" priority="93">
      <formula>#REF!=3</formula>
    </cfRule>
  </conditionalFormatting>
  <conditionalFormatting sqref="E20:I20">
    <cfRule type="expression" dxfId="122" priority="88">
      <formula>#REF!=1</formula>
    </cfRule>
    <cfRule type="expression" dxfId="121" priority="89">
      <formula>#REF!=2</formula>
    </cfRule>
    <cfRule type="expression" dxfId="120" priority="90">
      <formula>#REF!=3</formula>
    </cfRule>
  </conditionalFormatting>
  <conditionalFormatting sqref="F20:I20">
    <cfRule type="expression" dxfId="119" priority="85">
      <formula>#REF!=1</formula>
    </cfRule>
    <cfRule type="expression" dxfId="118" priority="86">
      <formula>#REF!=2</formula>
    </cfRule>
    <cfRule type="expression" dxfId="117" priority="87">
      <formula>#REF!=3</formula>
    </cfRule>
  </conditionalFormatting>
  <conditionalFormatting sqref="G20">
    <cfRule type="expression" dxfId="116" priority="82">
      <formula>#REF!=1</formula>
    </cfRule>
    <cfRule type="expression" dxfId="115" priority="83">
      <formula>#REF!=2</formula>
    </cfRule>
    <cfRule type="expression" dxfId="114" priority="84">
      <formula>#REF!=3</formula>
    </cfRule>
  </conditionalFormatting>
  <conditionalFormatting sqref="H20">
    <cfRule type="expression" dxfId="113" priority="79">
      <formula>#REF!=1</formula>
    </cfRule>
    <cfRule type="expression" dxfId="112" priority="80">
      <formula>#REF!=2</formula>
    </cfRule>
    <cfRule type="expression" dxfId="111" priority="81">
      <formula>#REF!=3</formula>
    </cfRule>
  </conditionalFormatting>
  <conditionalFormatting sqref="I20">
    <cfRule type="expression" dxfId="110" priority="76">
      <formula>#REF!=1</formula>
    </cfRule>
    <cfRule type="expression" dxfId="109" priority="77">
      <formula>#REF!=2</formula>
    </cfRule>
    <cfRule type="expression" dxfId="108" priority="78">
      <formula>#REF!=3</formula>
    </cfRule>
  </conditionalFormatting>
  <conditionalFormatting sqref="E20">
    <cfRule type="expression" dxfId="107" priority="73">
      <formula>#REF!=1</formula>
    </cfRule>
    <cfRule type="expression" dxfId="106" priority="74">
      <formula>#REF!=2</formula>
    </cfRule>
    <cfRule type="expression" dxfId="105" priority="75">
      <formula>#REF!=3</formula>
    </cfRule>
  </conditionalFormatting>
  <conditionalFormatting sqref="E7">
    <cfRule type="expression" dxfId="104" priority="70">
      <formula>#REF!=1</formula>
    </cfRule>
    <cfRule type="expression" dxfId="103" priority="71">
      <formula>#REF!=2</formula>
    </cfRule>
    <cfRule type="expression" dxfId="102" priority="72">
      <formula>#REF!=3</formula>
    </cfRule>
  </conditionalFormatting>
  <conditionalFormatting sqref="E5:I5">
    <cfRule type="expression" dxfId="101" priority="67">
      <formula>#REF!=1</formula>
    </cfRule>
    <cfRule type="expression" dxfId="100" priority="68">
      <formula>#REF!=2</formula>
    </cfRule>
    <cfRule type="expression" dxfId="99" priority="69">
      <formula>#REF!=3</formula>
    </cfRule>
  </conditionalFormatting>
  <conditionalFormatting sqref="F7:I7">
    <cfRule type="expression" dxfId="98" priority="64">
      <formula>#REF!=1</formula>
    </cfRule>
    <cfRule type="expression" dxfId="97" priority="65">
      <formula>#REF!=2</formula>
    </cfRule>
    <cfRule type="expression" dxfId="96" priority="66">
      <formula>#REF!=3</formula>
    </cfRule>
  </conditionalFormatting>
  <conditionalFormatting sqref="F12:G12">
    <cfRule type="expression" dxfId="95" priority="61">
      <formula>#REF!=1</formula>
    </cfRule>
    <cfRule type="expression" dxfId="94" priority="62">
      <formula>#REF!=2</formula>
    </cfRule>
    <cfRule type="expression" dxfId="93" priority="63">
      <formula>#REF!=3</formula>
    </cfRule>
  </conditionalFormatting>
  <conditionalFormatting sqref="F12:G12">
    <cfRule type="expression" dxfId="92" priority="58">
      <formula>#REF!=1</formula>
    </cfRule>
    <cfRule type="expression" dxfId="91" priority="59">
      <formula>#REF!=2</formula>
    </cfRule>
    <cfRule type="expression" dxfId="90" priority="60">
      <formula>#REF!=3</formula>
    </cfRule>
  </conditionalFormatting>
  <conditionalFormatting sqref="G12">
    <cfRule type="expression" dxfId="89" priority="55">
      <formula>#REF!=1</formula>
    </cfRule>
    <cfRule type="expression" dxfId="88" priority="56">
      <formula>#REF!=2</formula>
    </cfRule>
    <cfRule type="expression" dxfId="87" priority="57">
      <formula>#REF!=3</formula>
    </cfRule>
  </conditionalFormatting>
  <conditionalFormatting sqref="E13">
    <cfRule type="expression" dxfId="86" priority="52">
      <formula>#REF!=1</formula>
    </cfRule>
    <cfRule type="expression" dxfId="85" priority="53">
      <formula>#REF!=2</formula>
    </cfRule>
    <cfRule type="expression" dxfId="84" priority="54">
      <formula>#REF!=3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25F5F-0C41-449B-B059-77D7C2985CFA}">
  <sheetPr codeName="Sheet6">
    <tabColor theme="8"/>
  </sheetPr>
  <dimension ref="A1:AQ73"/>
  <sheetViews>
    <sheetView zoomScale="75" zoomScaleNormal="75" workbookViewId="0">
      <pane ySplit="2" topLeftCell="A3" activePane="bottomLeft" state="frozen"/>
      <selection activeCell="X87" sqref="X87"/>
      <selection pane="bottomLeft" activeCell="F2" sqref="F2"/>
    </sheetView>
  </sheetViews>
  <sheetFormatPr defaultRowHeight="15" x14ac:dyDescent="0.25"/>
  <cols>
    <col min="1" max="1" width="2.85546875" style="250" customWidth="1"/>
    <col min="2" max="2" width="3.28515625" style="250" customWidth="1"/>
    <col min="3" max="3" width="75.7109375" customWidth="1"/>
    <col min="4" max="4" width="3" customWidth="1"/>
    <col min="5" max="5" width="23.28515625" customWidth="1"/>
    <col min="6" max="6" width="3.28515625" customWidth="1"/>
    <col min="7" max="8" width="12.42578125" bestFit="1" customWidth="1"/>
    <col min="9" max="11" width="10.7109375" bestFit="1" customWidth="1"/>
    <col min="13" max="13" width="73.28515625" customWidth="1"/>
    <col min="14" max="26" width="9.140625" style="250"/>
    <col min="27" max="27" width="44.28515625" style="250" bestFit="1" customWidth="1"/>
    <col min="28" max="32" width="12.7109375" bestFit="1" customWidth="1"/>
    <col min="33" max="34" width="12.7109375" customWidth="1"/>
    <col min="36" max="36" width="14" bestFit="1" customWidth="1"/>
    <col min="37" max="43" width="11.28515625" bestFit="1" customWidth="1"/>
  </cols>
  <sheetData>
    <row r="1" spans="3:43" ht="15.75" x14ac:dyDescent="0.25">
      <c r="C1" s="223" t="s">
        <v>337</v>
      </c>
      <c r="D1" s="250"/>
      <c r="E1" s="223" t="s">
        <v>338</v>
      </c>
      <c r="F1" s="250"/>
      <c r="G1" s="364" t="s">
        <v>339</v>
      </c>
      <c r="H1" s="365"/>
      <c r="I1" s="365"/>
      <c r="J1" s="365"/>
      <c r="K1" s="366"/>
      <c r="M1" s="223" t="s">
        <v>340</v>
      </c>
      <c r="N1" s="256">
        <v>2.5000000000000001E-2</v>
      </c>
      <c r="AA1" s="257" t="str">
        <f t="shared" ref="AA1:AA39" si="0">+C1</f>
        <v>Blue = type in amounts; Orange = feeder tab</v>
      </c>
    </row>
    <row r="2" spans="3:43" ht="17.25" x14ac:dyDescent="0.25">
      <c r="C2" s="258" t="s">
        <v>32</v>
      </c>
      <c r="D2" s="227"/>
      <c r="E2" s="223" t="s">
        <v>341</v>
      </c>
      <c r="F2" s="215"/>
      <c r="G2" s="216" t="str">
        <f>+'State &amp; Fed Rev'!G1</f>
        <v>2021-22</v>
      </c>
      <c r="H2" s="216" t="str">
        <f>+'State &amp; Fed Rev'!H1</f>
        <v>2022-23</v>
      </c>
      <c r="I2" s="216" t="str">
        <f>+'State &amp; Fed Rev'!I1</f>
        <v>2023-24</v>
      </c>
      <c r="J2" s="216" t="str">
        <f>+'State &amp; Fed Rev'!J1</f>
        <v>2024-25</v>
      </c>
      <c r="K2" s="216" t="str">
        <f>+'State &amp; Fed Rev'!K1</f>
        <v>2025-26</v>
      </c>
      <c r="L2" s="217"/>
      <c r="M2" s="223" t="s">
        <v>284</v>
      </c>
      <c r="N2" s="259"/>
      <c r="AA2" s="257" t="str">
        <f t="shared" si="0"/>
        <v>EXPENSES</v>
      </c>
      <c r="AB2" s="260" t="str">
        <f>+G2</f>
        <v>2021-22</v>
      </c>
      <c r="AC2" s="260" t="str">
        <f>+H2</f>
        <v>2022-23</v>
      </c>
      <c r="AD2" s="260" t="str">
        <f>+I2</f>
        <v>2023-24</v>
      </c>
      <c r="AE2" s="260" t="str">
        <f>+J2</f>
        <v>2024-25</v>
      </c>
      <c r="AF2" s="260" t="str">
        <f>+K2</f>
        <v>2025-26</v>
      </c>
      <c r="AG2" s="260" t="e">
        <f>+#REF!</f>
        <v>#REF!</v>
      </c>
      <c r="AH2" s="260" t="e">
        <f>+#REF!</f>
        <v>#REF!</v>
      </c>
      <c r="AI2" s="260"/>
    </row>
    <row r="3" spans="3:43" ht="17.25" x14ac:dyDescent="0.25">
      <c r="C3" s="261"/>
      <c r="D3" s="227"/>
      <c r="F3" s="215"/>
      <c r="G3" s="216"/>
      <c r="H3" s="216"/>
      <c r="I3" s="216"/>
      <c r="J3" s="216"/>
      <c r="K3" s="216"/>
      <c r="L3" s="217"/>
      <c r="M3" s="43"/>
      <c r="AA3" s="257">
        <f t="shared" si="0"/>
        <v>0</v>
      </c>
      <c r="AB3" s="260"/>
      <c r="AC3" s="260"/>
      <c r="AD3" s="260"/>
      <c r="AE3" s="260"/>
      <c r="AF3" s="260"/>
      <c r="AG3" s="260"/>
      <c r="AH3" s="260"/>
      <c r="AI3" s="260"/>
    </row>
    <row r="4" spans="3:43" ht="17.25" x14ac:dyDescent="0.25">
      <c r="C4" s="261"/>
      <c r="D4" s="227"/>
      <c r="E4" s="250"/>
      <c r="F4" s="215"/>
      <c r="G4" s="216"/>
      <c r="H4" s="216"/>
      <c r="I4" s="216"/>
      <c r="J4" s="216"/>
      <c r="K4" s="216"/>
      <c r="L4" s="217"/>
      <c r="M4" s="43"/>
      <c r="AA4" s="257">
        <f t="shared" si="0"/>
        <v>0</v>
      </c>
      <c r="AB4" s="260"/>
      <c r="AC4" s="260"/>
      <c r="AD4" s="260"/>
      <c r="AE4" s="260"/>
      <c r="AF4" s="260"/>
      <c r="AG4" s="260"/>
      <c r="AH4" s="260"/>
      <c r="AI4" s="260"/>
    </row>
    <row r="5" spans="3:43" x14ac:dyDescent="0.25">
      <c r="C5" s="21"/>
      <c r="D5" s="227"/>
      <c r="E5" s="227"/>
      <c r="F5" s="215"/>
      <c r="G5" s="367" t="s">
        <v>342</v>
      </c>
      <c r="H5" s="368"/>
      <c r="I5" s="368"/>
      <c r="J5" s="368"/>
      <c r="K5" s="369"/>
      <c r="L5" s="217"/>
      <c r="M5" s="248"/>
      <c r="AA5" s="257">
        <f t="shared" si="0"/>
        <v>0</v>
      </c>
    </row>
    <row r="6" spans="3:43" ht="15" customHeight="1" x14ac:dyDescent="0.25">
      <c r="C6" s="262" t="s">
        <v>63</v>
      </c>
      <c r="D6" s="227"/>
      <c r="E6" s="263"/>
      <c r="F6" s="215"/>
      <c r="G6" s="370"/>
      <c r="H6" s="371"/>
      <c r="I6" s="371"/>
      <c r="J6" s="371"/>
      <c r="K6" s="372"/>
      <c r="L6" s="217"/>
      <c r="M6" s="43"/>
      <c r="AA6" s="257" t="str">
        <f t="shared" si="0"/>
        <v>PAYROLL TAXES AND BENEFITS</v>
      </c>
    </row>
    <row r="7" spans="3:43" x14ac:dyDescent="0.25">
      <c r="C7" s="264" t="s">
        <v>64</v>
      </c>
      <c r="D7" s="265"/>
      <c r="E7" s="266"/>
      <c r="F7" s="215"/>
      <c r="G7" s="267">
        <v>6.2E-2</v>
      </c>
      <c r="H7" s="267">
        <v>6.2E-2</v>
      </c>
      <c r="I7" s="267">
        <v>6.2E-2</v>
      </c>
      <c r="J7" s="267">
        <v>6.2E-2</v>
      </c>
      <c r="K7" s="267">
        <v>6.2E-2</v>
      </c>
      <c r="L7" s="217"/>
      <c r="M7" s="43"/>
      <c r="AA7" s="257" t="str">
        <f t="shared" si="0"/>
        <v>Social Security</v>
      </c>
      <c r="AJ7" t="s">
        <v>343</v>
      </c>
    </row>
    <row r="8" spans="3:43" x14ac:dyDescent="0.25">
      <c r="C8" s="264" t="s">
        <v>65</v>
      </c>
      <c r="D8" s="265"/>
      <c r="E8" s="268"/>
      <c r="F8" s="215"/>
      <c r="G8" s="267">
        <v>1.4500000000000001E-2</v>
      </c>
      <c r="H8" s="267">
        <v>1.4500000000000001E-2</v>
      </c>
      <c r="I8" s="267">
        <v>1.4500000000000001E-2</v>
      </c>
      <c r="J8" s="267">
        <v>1.4500000000000001E-2</v>
      </c>
      <c r="K8" s="267">
        <v>1.4500000000000001E-2</v>
      </c>
      <c r="L8" s="217"/>
      <c r="M8" s="43"/>
      <c r="AA8" s="257" t="str">
        <f t="shared" si="0"/>
        <v>Medicare</v>
      </c>
      <c r="AK8" s="269" t="s">
        <v>324</v>
      </c>
      <c r="AL8" s="269" t="str">
        <f>VLOOKUP(2,X_Years,3,FALSE)&amp;"-"&amp;RIGHT(VLOOKUP(2,X_Years,4,FALSE),2)</f>
        <v>2022-23</v>
      </c>
      <c r="AM8" s="269" t="str">
        <f>VLOOKUP(2,X_Years,4,FALSE)&amp;"-"&amp;RIGHT(VLOOKUP(2,X_Years,5,FALSE),2)</f>
        <v>2023-24</v>
      </c>
      <c r="AN8" s="269" t="str">
        <f>VLOOKUP(2,X_Years,5,FALSE)&amp;"-"&amp;RIGHT(VLOOKUP(2,X_Years,6,FALSE),2)</f>
        <v>2024-25</v>
      </c>
      <c r="AO8" s="269" t="str">
        <f>VLOOKUP(2,X_Years,6,FALSE)&amp;"-"&amp;RIGHT(VLOOKUP(2,X_Years,7,FALSE),2)</f>
        <v>2025-26</v>
      </c>
      <c r="AP8" s="269" t="str">
        <f>VLOOKUP(2,X_Years,7,FALSE)&amp;"-"&amp;RIGHT(VLOOKUP(2,X_Years,8,FALSE),2)</f>
        <v>2026-27</v>
      </c>
      <c r="AQ8" s="269" t="str">
        <f>VLOOKUP(2,X_Years,8,FALSE)&amp;"-"&amp;RIGHT(VLOOKUP(2,X_Years,9,FALSE),2)</f>
        <v>2027-28</v>
      </c>
    </row>
    <row r="9" spans="3:43" x14ac:dyDescent="0.25">
      <c r="C9" s="264" t="s">
        <v>66</v>
      </c>
      <c r="D9" s="265"/>
      <c r="E9" s="268"/>
      <c r="F9" s="215"/>
      <c r="G9" s="267">
        <v>1.3800760135135136E-2</v>
      </c>
      <c r="H9" s="267">
        <v>1.3800760135135136E-2</v>
      </c>
      <c r="I9" s="267">
        <v>1.3800760135135136E-2</v>
      </c>
      <c r="J9" s="267">
        <v>1.3800760135135136E-2</v>
      </c>
      <c r="K9" s="267">
        <v>1.3800760135135136E-2</v>
      </c>
      <c r="L9" s="217"/>
      <c r="M9" s="43" t="s">
        <v>344</v>
      </c>
      <c r="AA9" s="257" t="str">
        <f t="shared" si="0"/>
        <v>State Unemployment</v>
      </c>
      <c r="AJ9" t="s">
        <v>31</v>
      </c>
      <c r="AK9" s="270">
        <f>+X_Staffing_YR1_FTE</f>
        <v>12.5</v>
      </c>
      <c r="AL9" s="270">
        <f>+X_Staffing_YR2_FTE</f>
        <v>16.5</v>
      </c>
      <c r="AM9" s="270">
        <f>+X_Staffing_YR3_FTE</f>
        <v>22.5</v>
      </c>
      <c r="AN9" s="270">
        <f>+X_Staffing_YR4_FTE</f>
        <v>26.5</v>
      </c>
      <c r="AO9" s="270">
        <f>+X_Staffing_YR5_FTE</f>
        <v>32.5</v>
      </c>
      <c r="AP9" s="270">
        <f>+X_Staffing_YR5_FTE</f>
        <v>32.5</v>
      </c>
      <c r="AQ9" s="270">
        <f>+X_Staffing_YR5_FTE</f>
        <v>32.5</v>
      </c>
    </row>
    <row r="10" spans="3:43" x14ac:dyDescent="0.25">
      <c r="C10" s="264" t="s">
        <v>345</v>
      </c>
      <c r="D10" s="265"/>
      <c r="E10" s="268"/>
      <c r="F10" s="215"/>
      <c r="G10" s="267">
        <v>1.4E-3</v>
      </c>
      <c r="H10" s="267">
        <v>1.4E-3</v>
      </c>
      <c r="I10" s="267">
        <v>1.4E-3</v>
      </c>
      <c r="J10" s="267">
        <v>1.4E-3</v>
      </c>
      <c r="K10" s="267">
        <v>1.4E-3</v>
      </c>
      <c r="L10" s="217"/>
      <c r="M10" s="43"/>
      <c r="AA10" s="257" t="str">
        <f t="shared" si="0"/>
        <v>Paid Family Medical Leave (State)</v>
      </c>
      <c r="AK10" s="270"/>
      <c r="AL10" s="270"/>
      <c r="AM10" s="270"/>
      <c r="AN10" s="270"/>
      <c r="AO10" s="270"/>
    </row>
    <row r="11" spans="3:43" x14ac:dyDescent="0.25">
      <c r="C11" s="264" t="s">
        <v>67</v>
      </c>
      <c r="D11" s="265"/>
      <c r="E11" s="268"/>
      <c r="F11" s="215"/>
      <c r="G11" s="267">
        <v>0.01</v>
      </c>
      <c r="H11" s="267">
        <v>0.01</v>
      </c>
      <c r="I11" s="267">
        <v>0.01</v>
      </c>
      <c r="J11" s="267">
        <v>0.01</v>
      </c>
      <c r="K11" s="267">
        <v>0.01</v>
      </c>
      <c r="L11" s="217"/>
      <c r="M11" s="43"/>
      <c r="AA11" s="257" t="str">
        <f t="shared" si="0"/>
        <v>Worker's Compensation Insurance</v>
      </c>
      <c r="AJ11" t="s">
        <v>346</v>
      </c>
      <c r="AK11" s="271">
        <f t="shared" ref="AK11:AQ11" si="1">+AB13</f>
        <v>1000</v>
      </c>
      <c r="AL11" s="271">
        <f t="shared" si="1"/>
        <v>1010</v>
      </c>
      <c r="AM11" s="271">
        <f t="shared" si="1"/>
        <v>1020.1</v>
      </c>
      <c r="AN11" s="271">
        <f t="shared" si="1"/>
        <v>1030.3009999999999</v>
      </c>
      <c r="AO11" s="271">
        <f t="shared" si="1"/>
        <v>1040.60401</v>
      </c>
      <c r="AP11" s="271">
        <f t="shared" si="1"/>
        <v>1051.0100500999999</v>
      </c>
      <c r="AQ11" s="271">
        <f t="shared" si="1"/>
        <v>1061.5201506009998</v>
      </c>
    </row>
    <row r="12" spans="3:43" x14ac:dyDescent="0.25">
      <c r="C12" s="264" t="s">
        <v>68</v>
      </c>
      <c r="D12" s="265"/>
      <c r="E12" s="268"/>
      <c r="F12" s="215"/>
      <c r="G12" s="267">
        <v>6.0000000000000001E-3</v>
      </c>
      <c r="H12" s="267">
        <v>6.0000000000000001E-3</v>
      </c>
      <c r="I12" s="267">
        <v>6.0000000000000001E-3</v>
      </c>
      <c r="J12" s="267">
        <v>6.0000000000000001E-3</v>
      </c>
      <c r="K12" s="267">
        <v>6.0000000000000001E-3</v>
      </c>
      <c r="L12" s="217"/>
      <c r="M12" s="43" t="s">
        <v>347</v>
      </c>
      <c r="AA12" s="257" t="str">
        <f t="shared" si="0"/>
        <v>Federal Unemployment</v>
      </c>
      <c r="AJ12" t="s">
        <v>348</v>
      </c>
      <c r="AK12" s="272">
        <f t="shared" ref="AK12:AQ12" si="2">+AK9*AK11*12</f>
        <v>150000</v>
      </c>
      <c r="AL12" s="272">
        <f t="shared" si="2"/>
        <v>199980</v>
      </c>
      <c r="AM12" s="272">
        <f t="shared" si="2"/>
        <v>275427</v>
      </c>
      <c r="AN12" s="272">
        <f t="shared" si="2"/>
        <v>327635.71799999999</v>
      </c>
      <c r="AO12" s="272">
        <f t="shared" si="2"/>
        <v>405835.56389999995</v>
      </c>
      <c r="AP12" s="272">
        <f t="shared" si="2"/>
        <v>409893.91953899997</v>
      </c>
      <c r="AQ12" s="272">
        <f t="shared" si="2"/>
        <v>413992.85873439</v>
      </c>
    </row>
    <row r="13" spans="3:43" x14ac:dyDescent="0.25">
      <c r="C13" s="264" t="s">
        <v>69</v>
      </c>
      <c r="D13" s="265"/>
      <c r="E13" s="242">
        <v>1000</v>
      </c>
      <c r="F13" s="215"/>
      <c r="G13" s="229">
        <v>0</v>
      </c>
      <c r="H13" s="229">
        <v>0.01</v>
      </c>
      <c r="I13" s="229">
        <v>0.01</v>
      </c>
      <c r="J13" s="229">
        <v>0.01</v>
      </c>
      <c r="K13" s="229">
        <v>0.01</v>
      </c>
      <c r="L13" s="217"/>
      <c r="M13" s="43"/>
      <c r="AA13" s="257" t="str">
        <f t="shared" si="0"/>
        <v>SEBB</v>
      </c>
      <c r="AB13" s="273">
        <f>+IF(E13="",G13,E13)</f>
        <v>1000</v>
      </c>
      <c r="AC13" s="273">
        <f t="shared" ref="AC13:AH13" si="3">+AB13*(1+$H$13)</f>
        <v>1010</v>
      </c>
      <c r="AD13" s="273">
        <f t="shared" si="3"/>
        <v>1020.1</v>
      </c>
      <c r="AE13" s="273">
        <f t="shared" si="3"/>
        <v>1030.3009999999999</v>
      </c>
      <c r="AF13" s="273">
        <f t="shared" si="3"/>
        <v>1040.60401</v>
      </c>
      <c r="AG13" s="273">
        <f t="shared" si="3"/>
        <v>1051.0100500999999</v>
      </c>
      <c r="AH13" s="273">
        <f t="shared" si="3"/>
        <v>1061.5201506009998</v>
      </c>
      <c r="AJ13" t="s">
        <v>349</v>
      </c>
      <c r="AK13" s="274">
        <f>+AK12/'5 YR Budget'!D87</f>
        <v>0.24469820554649266</v>
      </c>
      <c r="AL13" s="274">
        <f>+AL12/'5 YR Budget'!E87</f>
        <v>0.25269462591137115</v>
      </c>
      <c r="AM13" s="274">
        <f>+AM12/'5 YR Budget'!F87</f>
        <v>0.25523020035459998</v>
      </c>
      <c r="AN13" s="274">
        <f>+AN12/'5 YR Budget'!G87</f>
        <v>0.24953107989327303</v>
      </c>
      <c r="AO13" s="274">
        <f>+AO12/'5 YR Budget'!H87</f>
        <v>0.24288501946894023</v>
      </c>
      <c r="AP13" s="274" t="e">
        <f>+AP12/'5 YR Budget'!#REF!</f>
        <v>#REF!</v>
      </c>
      <c r="AQ13" s="274" t="e">
        <f>+AQ12/'5 YR Budget'!#REF!</f>
        <v>#REF!</v>
      </c>
    </row>
    <row r="14" spans="3:43" x14ac:dyDescent="0.25">
      <c r="C14" s="264" t="s">
        <v>70</v>
      </c>
      <c r="D14" s="265"/>
      <c r="E14" s="268"/>
      <c r="F14" s="215"/>
      <c r="G14" s="267">
        <v>0.13300000000000001</v>
      </c>
      <c r="H14" s="267">
        <v>0.13300000000000001</v>
      </c>
      <c r="I14" s="267">
        <v>0.13300000000000001</v>
      </c>
      <c r="J14" s="267">
        <v>0.13300000000000001</v>
      </c>
      <c r="K14" s="267">
        <v>0.13300000000000001</v>
      </c>
      <c r="L14" s="217"/>
      <c r="M14" s="275" t="s">
        <v>350</v>
      </c>
      <c r="AA14" s="257" t="str">
        <f t="shared" si="0"/>
        <v>SERS (Classified Retirement)</v>
      </c>
      <c r="AK14" s="260"/>
    </row>
    <row r="15" spans="3:43" x14ac:dyDescent="0.25">
      <c r="C15" s="264" t="s">
        <v>71</v>
      </c>
      <c r="D15" s="265"/>
      <c r="E15" s="268"/>
      <c r="F15" s="215"/>
      <c r="G15" s="267">
        <v>0.15740000000000001</v>
      </c>
      <c r="H15" s="267">
        <v>0.15740000000000001</v>
      </c>
      <c r="I15" s="267">
        <v>0.15740000000000001</v>
      </c>
      <c r="J15" s="267">
        <v>0.15740000000000001</v>
      </c>
      <c r="K15" s="267">
        <v>0.15740000000000001</v>
      </c>
      <c r="L15" s="217"/>
      <c r="M15" s="43"/>
      <c r="AA15" s="257" t="str">
        <f t="shared" si="0"/>
        <v>TRS (Certificated Retirement)</v>
      </c>
    </row>
    <row r="16" spans="3:43" x14ac:dyDescent="0.25">
      <c r="C16" s="231" t="str">
        <f>"TOTAL "&amp;C6</f>
        <v>TOTAL PAYROLL TAXES AND BENEFITS</v>
      </c>
      <c r="D16" s="265"/>
      <c r="E16" s="227"/>
      <c r="F16" s="215"/>
      <c r="G16" s="227"/>
      <c r="H16" s="227"/>
      <c r="I16" s="227"/>
      <c r="J16" s="227"/>
      <c r="K16" s="227"/>
      <c r="L16" s="217"/>
      <c r="M16" s="43"/>
      <c r="AA16" s="257" t="str">
        <f t="shared" si="0"/>
        <v>TOTAL PAYROLL TAXES AND BENEFITS</v>
      </c>
    </row>
    <row r="17" spans="3:34" x14ac:dyDescent="0.25">
      <c r="C17" s="231"/>
      <c r="D17" s="265"/>
      <c r="E17" s="227"/>
      <c r="F17" s="215"/>
      <c r="G17" s="227"/>
      <c r="H17" s="227"/>
      <c r="I17" s="227"/>
      <c r="J17" s="227"/>
      <c r="K17" s="227"/>
      <c r="L17" s="217"/>
      <c r="M17" s="248"/>
      <c r="AA17" s="257">
        <f t="shared" si="0"/>
        <v>0</v>
      </c>
    </row>
    <row r="18" spans="3:34" x14ac:dyDescent="0.25">
      <c r="C18" s="231" t="s">
        <v>73</v>
      </c>
      <c r="D18" s="265"/>
      <c r="E18" s="227"/>
      <c r="F18" s="215"/>
      <c r="G18" s="227"/>
      <c r="H18" s="227"/>
      <c r="I18" s="227"/>
      <c r="J18" s="227"/>
      <c r="K18" s="227"/>
      <c r="L18" s="217"/>
      <c r="M18" s="43"/>
      <c r="AA18" s="257" t="str">
        <f t="shared" si="0"/>
        <v>TOTAL PERSONNEL, TAX &amp; BENEFIT EXPENSES</v>
      </c>
    </row>
    <row r="19" spans="3:34" ht="14.45" customHeight="1" x14ac:dyDescent="0.25">
      <c r="C19" s="21"/>
      <c r="D19" s="265"/>
      <c r="E19" s="227"/>
      <c r="F19" s="215"/>
      <c r="G19" s="373"/>
      <c r="H19" s="373"/>
      <c r="I19" s="373"/>
      <c r="J19" s="373"/>
      <c r="K19" s="373"/>
      <c r="L19" s="217"/>
      <c r="M19" s="248"/>
      <c r="AA19" s="257">
        <f t="shared" si="0"/>
        <v>0</v>
      </c>
    </row>
    <row r="20" spans="3:34" ht="14.45" customHeight="1" x14ac:dyDescent="0.25">
      <c r="C20" s="262" t="s">
        <v>74</v>
      </c>
      <c r="D20" s="227"/>
      <c r="E20" s="227"/>
      <c r="F20" s="215"/>
      <c r="G20" s="374"/>
      <c r="H20" s="374"/>
      <c r="I20" s="374"/>
      <c r="J20" s="374"/>
      <c r="K20" s="374"/>
      <c r="L20" s="217"/>
      <c r="M20" s="43"/>
      <c r="AA20" s="257" t="str">
        <f t="shared" si="0"/>
        <v>CONTRACTED SERVICES</v>
      </c>
    </row>
    <row r="21" spans="3:34" x14ac:dyDescent="0.25">
      <c r="C21" s="276" t="s">
        <v>75</v>
      </c>
      <c r="D21" s="227"/>
      <c r="E21" s="268"/>
      <c r="F21" s="215"/>
      <c r="G21" s="277">
        <v>18000</v>
      </c>
      <c r="H21" s="277">
        <f>+G21*(1+$N$1)</f>
        <v>18450</v>
      </c>
      <c r="I21" s="277">
        <f>+H21*(1+$N$1)</f>
        <v>18911.25</v>
      </c>
      <c r="J21" s="277">
        <f>+I21*(1+$N$1)</f>
        <v>19384.03125</v>
      </c>
      <c r="K21" s="277">
        <f>+J21*(1+$N$1)</f>
        <v>19868.632031249999</v>
      </c>
      <c r="L21" s="217"/>
      <c r="M21" s="43" t="s">
        <v>351</v>
      </c>
      <c r="AA21" s="257" t="str">
        <f t="shared" si="0"/>
        <v xml:space="preserve">Accounting / Audit </v>
      </c>
      <c r="AB21" s="273">
        <f>+IF(E21="",G21,E21)</f>
        <v>18000</v>
      </c>
      <c r="AC21" s="273">
        <f t="shared" ref="AC21:AF23" si="4">+AB21*(1+$N$1)</f>
        <v>18450</v>
      </c>
      <c r="AD21" s="273">
        <f t="shared" si="4"/>
        <v>18911.25</v>
      </c>
      <c r="AE21" s="273">
        <f t="shared" si="4"/>
        <v>19384.03125</v>
      </c>
      <c r="AF21" s="273">
        <f t="shared" si="4"/>
        <v>19868.632031249999</v>
      </c>
      <c r="AG21" s="273"/>
      <c r="AH21" s="273"/>
    </row>
    <row r="22" spans="3:34" x14ac:dyDescent="0.25">
      <c r="C22" s="276" t="s">
        <v>76</v>
      </c>
      <c r="D22" s="227"/>
      <c r="E22" s="268"/>
      <c r="F22" s="215"/>
      <c r="G22" s="277">
        <v>5000</v>
      </c>
      <c r="H22" s="277">
        <v>5000</v>
      </c>
      <c r="I22" s="277">
        <v>5000</v>
      </c>
      <c r="J22" s="277">
        <v>5000</v>
      </c>
      <c r="K22" s="277">
        <v>5000</v>
      </c>
      <c r="L22" s="217"/>
      <c r="M22" s="43" t="s">
        <v>352</v>
      </c>
      <c r="AA22" s="257" t="str">
        <f t="shared" si="0"/>
        <v>Legal</v>
      </c>
      <c r="AB22" s="273">
        <f>+IF(E22="",G22,E22)</f>
        <v>5000</v>
      </c>
      <c r="AC22" s="273">
        <f t="shared" si="4"/>
        <v>5125</v>
      </c>
      <c r="AD22" s="273">
        <f t="shared" si="4"/>
        <v>5253.1249999999991</v>
      </c>
      <c r="AE22" s="273">
        <f t="shared" si="4"/>
        <v>5384.4531249999982</v>
      </c>
      <c r="AF22" s="273">
        <f t="shared" si="4"/>
        <v>5519.0644531249973</v>
      </c>
      <c r="AG22" s="273"/>
      <c r="AH22" s="273"/>
    </row>
    <row r="23" spans="3:34" ht="30" x14ac:dyDescent="0.25">
      <c r="C23" s="276" t="s">
        <v>353</v>
      </c>
      <c r="D23" s="227"/>
      <c r="E23" s="268"/>
      <c r="F23" s="215"/>
      <c r="G23" s="229">
        <v>0.03</v>
      </c>
      <c r="H23" s="229">
        <v>0.03</v>
      </c>
      <c r="I23" s="229">
        <v>0.03</v>
      </c>
      <c r="J23" s="229">
        <v>0.03</v>
      </c>
      <c r="K23" s="229">
        <v>0.03</v>
      </c>
      <c r="L23" s="217"/>
      <c r="M23" s="236" t="s">
        <v>354</v>
      </c>
      <c r="AA23" s="257" t="str">
        <f t="shared" si="0"/>
        <v>Oversight Fee (3%)</v>
      </c>
      <c r="AB23" s="273">
        <f>+IF(E23="",G23,E23)</f>
        <v>0.03</v>
      </c>
      <c r="AC23" s="273">
        <f t="shared" si="4"/>
        <v>3.0749999999999996E-2</v>
      </c>
      <c r="AD23" s="273">
        <f t="shared" si="4"/>
        <v>3.1518749999999991E-2</v>
      </c>
      <c r="AE23" s="273">
        <f t="shared" si="4"/>
        <v>3.2306718749999991E-2</v>
      </c>
      <c r="AF23" s="273">
        <f t="shared" si="4"/>
        <v>3.3114386718749986E-2</v>
      </c>
      <c r="AG23" s="273"/>
      <c r="AH23" s="273"/>
    </row>
    <row r="24" spans="3:34" x14ac:dyDescent="0.25">
      <c r="C24" s="276" t="s">
        <v>355</v>
      </c>
      <c r="D24" s="227"/>
      <c r="E24" s="268"/>
      <c r="F24" s="215"/>
      <c r="G24" s="278">
        <v>9000</v>
      </c>
      <c r="H24" s="278">
        <v>9225</v>
      </c>
      <c r="I24" s="278">
        <v>9455.625</v>
      </c>
      <c r="J24" s="278">
        <v>9692.015625</v>
      </c>
      <c r="K24" s="278">
        <v>9934.3160156249996</v>
      </c>
      <c r="L24" s="217"/>
      <c r="M24" s="279"/>
      <c r="AA24" s="257" t="str">
        <f t="shared" si="0"/>
        <v>Substitute Teachers</v>
      </c>
      <c r="AB24" s="273"/>
      <c r="AC24" s="273"/>
      <c r="AD24" s="273"/>
      <c r="AE24" s="273"/>
      <c r="AF24" s="273"/>
      <c r="AG24" s="273"/>
      <c r="AH24" s="273"/>
    </row>
    <row r="25" spans="3:34" x14ac:dyDescent="0.25">
      <c r="C25" s="276" t="s">
        <v>77</v>
      </c>
      <c r="D25" s="227"/>
      <c r="E25" s="268"/>
      <c r="F25" s="215"/>
      <c r="G25" s="278">
        <v>14400</v>
      </c>
      <c r="H25" s="278">
        <v>14759.999999999998</v>
      </c>
      <c r="I25" s="278">
        <v>15128.999999999996</v>
      </c>
      <c r="J25" s="278">
        <v>15507.224999999995</v>
      </c>
      <c r="K25" s="278">
        <v>15894.905624999994</v>
      </c>
      <c r="L25" s="217"/>
      <c r="M25" s="279"/>
      <c r="AA25" s="257" t="str">
        <f t="shared" si="0"/>
        <v>Student Health</v>
      </c>
      <c r="AB25" s="273">
        <f>+IF(E25="",G25,E25)</f>
        <v>14400</v>
      </c>
      <c r="AC25" s="273">
        <f t="shared" ref="AC25:AF29" si="5">+AB25*(1+$N$1)</f>
        <v>14759.999999999998</v>
      </c>
      <c r="AD25" s="273">
        <f t="shared" si="5"/>
        <v>15128.999999999996</v>
      </c>
      <c r="AE25" s="273">
        <f t="shared" si="5"/>
        <v>15507.224999999995</v>
      </c>
      <c r="AF25" s="273">
        <f t="shared" si="5"/>
        <v>15894.905624999994</v>
      </c>
      <c r="AG25" s="273"/>
      <c r="AH25" s="273"/>
    </row>
    <row r="26" spans="3:34" x14ac:dyDescent="0.25">
      <c r="C26" s="276" t="s">
        <v>78</v>
      </c>
      <c r="D26" s="227"/>
      <c r="E26" s="268"/>
      <c r="F26" s="215"/>
      <c r="G26" s="278">
        <v>96000</v>
      </c>
      <c r="H26" s="278">
        <v>98399.999999999985</v>
      </c>
      <c r="I26" s="278">
        <v>100859.99999999997</v>
      </c>
      <c r="J26" s="278">
        <v>103381.49999999996</v>
      </c>
      <c r="K26" s="278">
        <v>105966.03749999995</v>
      </c>
      <c r="L26" s="217"/>
      <c r="M26" s="279"/>
      <c r="AA26" s="257" t="str">
        <f t="shared" si="0"/>
        <v>Back Office</v>
      </c>
      <c r="AB26" s="273">
        <f>+IF(E26="",G26,E26)</f>
        <v>96000</v>
      </c>
      <c r="AC26" s="273">
        <f t="shared" si="5"/>
        <v>98399.999999999985</v>
      </c>
      <c r="AD26" s="273">
        <f t="shared" si="5"/>
        <v>100859.99999999997</v>
      </c>
      <c r="AE26" s="273">
        <f t="shared" si="5"/>
        <v>103381.49999999996</v>
      </c>
      <c r="AF26" s="273">
        <f t="shared" si="5"/>
        <v>105966.03749999995</v>
      </c>
      <c r="AG26" s="273"/>
      <c r="AH26" s="273"/>
    </row>
    <row r="27" spans="3:34" x14ac:dyDescent="0.25">
      <c r="C27" s="276" t="s">
        <v>80</v>
      </c>
      <c r="D27" s="227"/>
      <c r="E27" s="268"/>
      <c r="F27" s="215"/>
      <c r="G27" s="278">
        <v>12600</v>
      </c>
      <c r="H27" s="278">
        <v>8600</v>
      </c>
      <c r="I27" s="278">
        <v>0</v>
      </c>
      <c r="J27" s="278">
        <v>0</v>
      </c>
      <c r="K27" s="278">
        <v>0</v>
      </c>
      <c r="L27" s="217"/>
      <c r="M27" s="279"/>
      <c r="AA27" s="257" t="str">
        <f t="shared" si="0"/>
        <v>Special Ed</v>
      </c>
      <c r="AB27" s="273">
        <f>+IF(E27="",G27,E27)</f>
        <v>12600</v>
      </c>
      <c r="AC27" s="273">
        <f t="shared" si="5"/>
        <v>12914.999999999998</v>
      </c>
      <c r="AD27" s="273">
        <f t="shared" si="5"/>
        <v>13237.874999999996</v>
      </c>
      <c r="AE27" s="273">
        <f t="shared" si="5"/>
        <v>13568.821874999996</v>
      </c>
      <c r="AF27" s="273">
        <f t="shared" si="5"/>
        <v>13908.042421874994</v>
      </c>
      <c r="AG27" s="273"/>
      <c r="AH27" s="273"/>
    </row>
    <row r="28" spans="3:34" x14ac:dyDescent="0.25">
      <c r="C28" s="280" t="s">
        <v>81</v>
      </c>
      <c r="D28" s="227"/>
      <c r="E28" s="268"/>
      <c r="F28" s="215"/>
      <c r="G28" s="278">
        <v>65000</v>
      </c>
      <c r="H28" s="278">
        <v>58375</v>
      </c>
      <c r="I28" s="278">
        <v>49271.874999999993</v>
      </c>
      <c r="J28" s="278">
        <v>42691.171874999985</v>
      </c>
      <c r="K28" s="278">
        <v>38633.451171874985</v>
      </c>
      <c r="L28" s="217"/>
      <c r="M28" s="279"/>
      <c r="AA28" s="257" t="str">
        <f t="shared" si="0"/>
        <v>Program Support / PD</v>
      </c>
      <c r="AB28" s="273">
        <f>+IF(E28="",G28,E28)</f>
        <v>65000</v>
      </c>
      <c r="AC28" s="273">
        <f t="shared" si="5"/>
        <v>66625</v>
      </c>
      <c r="AD28" s="273">
        <f t="shared" si="5"/>
        <v>68290.625</v>
      </c>
      <c r="AE28" s="273">
        <f t="shared" si="5"/>
        <v>69997.890625</v>
      </c>
      <c r="AF28" s="273">
        <f t="shared" si="5"/>
        <v>71747.837890625</v>
      </c>
      <c r="AG28" s="273"/>
      <c r="AH28" s="273"/>
    </row>
    <row r="29" spans="3:34" x14ac:dyDescent="0.25">
      <c r="C29" s="280" t="s">
        <v>83</v>
      </c>
      <c r="D29" s="227"/>
      <c r="E29" s="268"/>
      <c r="F29" s="215"/>
      <c r="G29" s="278">
        <v>30000</v>
      </c>
      <c r="H29" s="278">
        <v>30749.999999999996</v>
      </c>
      <c r="I29" s="278">
        <v>31518.749999999993</v>
      </c>
      <c r="J29" s="278">
        <v>32306.718749999989</v>
      </c>
      <c r="K29" s="278">
        <v>33114.386718749985</v>
      </c>
      <c r="L29" s="217"/>
      <c r="M29" s="279"/>
      <c r="AA29" s="257" t="str">
        <f t="shared" si="0"/>
        <v>Tech support</v>
      </c>
      <c r="AB29" s="273">
        <f>+IF(E29="",G29,E29)</f>
        <v>30000</v>
      </c>
      <c r="AC29" s="273">
        <f t="shared" si="5"/>
        <v>30749.999999999996</v>
      </c>
      <c r="AD29" s="273">
        <f t="shared" si="5"/>
        <v>31518.749999999993</v>
      </c>
      <c r="AE29" s="273">
        <f t="shared" si="5"/>
        <v>32306.718749999989</v>
      </c>
      <c r="AF29" s="273">
        <f t="shared" si="5"/>
        <v>33114.386718749985</v>
      </c>
      <c r="AG29" s="273"/>
      <c r="AH29" s="273"/>
    </row>
    <row r="30" spans="3:34" x14ac:dyDescent="0.25">
      <c r="C30" s="231" t="str">
        <f>"TOTAL "&amp;C20</f>
        <v>TOTAL CONTRACTED SERVICES</v>
      </c>
      <c r="D30" s="227"/>
      <c r="E30" s="227"/>
      <c r="F30" s="215"/>
      <c r="G30" s="227"/>
      <c r="H30" s="227"/>
      <c r="I30" s="227"/>
      <c r="J30" s="227"/>
      <c r="K30" s="227"/>
      <c r="L30" s="217"/>
      <c r="M30" s="281"/>
      <c r="AA30" s="257" t="str">
        <f t="shared" si="0"/>
        <v>TOTAL CONTRACTED SERVICES</v>
      </c>
    </row>
    <row r="31" spans="3:34" x14ac:dyDescent="0.25">
      <c r="C31" s="231"/>
      <c r="D31" s="227"/>
      <c r="E31" s="227"/>
      <c r="F31" s="215"/>
      <c r="G31" s="227"/>
      <c r="H31" s="227"/>
      <c r="I31" s="227"/>
      <c r="J31" s="227"/>
      <c r="K31" s="227"/>
      <c r="L31" s="217"/>
      <c r="M31" s="248"/>
      <c r="AA31" s="257">
        <f t="shared" si="0"/>
        <v>0</v>
      </c>
    </row>
    <row r="32" spans="3:34" x14ac:dyDescent="0.25">
      <c r="C32" s="21" t="s">
        <v>86</v>
      </c>
      <c r="D32" s="227"/>
      <c r="E32" s="227"/>
      <c r="F32" s="215"/>
      <c r="G32" s="227"/>
      <c r="H32" s="227"/>
      <c r="I32" s="227"/>
      <c r="J32" s="227"/>
      <c r="K32" s="227"/>
      <c r="L32" s="217"/>
      <c r="M32" s="43"/>
      <c r="AA32" s="257" t="str">
        <f t="shared" si="0"/>
        <v>SCHOOL OPERATIONS</v>
      </c>
    </row>
    <row r="33" spans="3:34" x14ac:dyDescent="0.25">
      <c r="C33" s="37" t="s">
        <v>87</v>
      </c>
      <c r="D33" s="227"/>
      <c r="E33" s="268"/>
      <c r="F33" s="215"/>
      <c r="G33" s="277">
        <v>11250</v>
      </c>
      <c r="H33" s="277">
        <f>+G33*(1+$N$1)</f>
        <v>11531.249999999998</v>
      </c>
      <c r="I33" s="277">
        <f>(+H33*(1+$N$1))-5000</f>
        <v>6819.5312499999964</v>
      </c>
      <c r="J33" s="277">
        <f>+I33*(1+$N$1)</f>
        <v>6990.0195312499955</v>
      </c>
      <c r="K33" s="277">
        <f>+J33*(1+$N$1)</f>
        <v>7164.7700195312445</v>
      </c>
      <c r="L33" s="217"/>
      <c r="M33" s="43" t="s">
        <v>356</v>
      </c>
      <c r="AA33" s="257" t="str">
        <f t="shared" si="0"/>
        <v>Board Expenses</v>
      </c>
      <c r="AB33" s="273">
        <f t="shared" ref="AB33:AB39" si="6">+IF(E33="",G33,E33)</f>
        <v>11250</v>
      </c>
      <c r="AC33" s="273">
        <f t="shared" ref="AC33:AF39" si="7">+AB33*(1+$N$1)</f>
        <v>11531.249999999998</v>
      </c>
      <c r="AD33" s="273">
        <f t="shared" si="7"/>
        <v>11819.531249999996</v>
      </c>
      <c r="AE33" s="273">
        <f t="shared" si="7"/>
        <v>12115.019531249995</v>
      </c>
      <c r="AF33" s="273">
        <f t="shared" si="7"/>
        <v>12417.895019531243</v>
      </c>
      <c r="AG33" s="273"/>
      <c r="AH33" s="273"/>
    </row>
    <row r="34" spans="3:34" x14ac:dyDescent="0.25">
      <c r="C34" s="37" t="s">
        <v>89</v>
      </c>
      <c r="D34" s="227"/>
      <c r="E34" s="268"/>
      <c r="F34" s="215"/>
      <c r="G34" s="278">
        <v>58000</v>
      </c>
      <c r="H34" s="278">
        <v>82000</v>
      </c>
      <c r="I34" s="278">
        <v>42600</v>
      </c>
      <c r="J34" s="278">
        <v>39600</v>
      </c>
      <c r="K34" s="278">
        <v>21200</v>
      </c>
      <c r="L34" s="217"/>
      <c r="AA34" s="257" t="str">
        <f t="shared" si="0"/>
        <v>Classroom / Teaching Supplies &amp; Materials</v>
      </c>
      <c r="AB34" s="273">
        <f t="shared" si="6"/>
        <v>58000</v>
      </c>
      <c r="AC34" s="273">
        <f t="shared" si="7"/>
        <v>59449.999999999993</v>
      </c>
      <c r="AD34" s="273">
        <f t="shared" si="7"/>
        <v>60936.249999999985</v>
      </c>
      <c r="AE34" s="273">
        <f t="shared" si="7"/>
        <v>62459.656249999978</v>
      </c>
      <c r="AF34" s="273">
        <f t="shared" si="7"/>
        <v>64021.147656249974</v>
      </c>
      <c r="AG34" s="273"/>
      <c r="AH34" s="273"/>
    </row>
    <row r="35" spans="3:34" x14ac:dyDescent="0.25">
      <c r="C35" s="37" t="s">
        <v>90</v>
      </c>
      <c r="D35" s="227"/>
      <c r="E35" s="242">
        <v>500</v>
      </c>
      <c r="F35" s="215"/>
      <c r="G35" s="268"/>
      <c r="H35" s="268"/>
      <c r="I35" s="268"/>
      <c r="J35" s="268"/>
      <c r="K35" s="268"/>
      <c r="L35" s="217"/>
      <c r="M35" s="43" t="s">
        <v>357</v>
      </c>
      <c r="AA35" s="257" t="str">
        <f t="shared" si="0"/>
        <v>Special Ed Supplies &amp; Materials</v>
      </c>
      <c r="AB35" s="273">
        <f t="shared" si="6"/>
        <v>500</v>
      </c>
      <c r="AC35" s="273">
        <f t="shared" si="7"/>
        <v>512.5</v>
      </c>
      <c r="AD35" s="273">
        <f t="shared" si="7"/>
        <v>525.3125</v>
      </c>
      <c r="AE35" s="273">
        <f t="shared" si="7"/>
        <v>538.4453125</v>
      </c>
      <c r="AF35" s="273">
        <f t="shared" si="7"/>
        <v>551.90644531249995</v>
      </c>
      <c r="AG35" s="273"/>
      <c r="AH35" s="273"/>
    </row>
    <row r="36" spans="3:34" x14ac:dyDescent="0.25">
      <c r="C36" s="37" t="s">
        <v>91</v>
      </c>
      <c r="D36" s="227"/>
      <c r="E36" s="242">
        <v>75</v>
      </c>
      <c r="F36" s="215"/>
      <c r="G36" s="268"/>
      <c r="H36" s="268"/>
      <c r="I36" s="268"/>
      <c r="J36" s="268"/>
      <c r="K36" s="268"/>
      <c r="L36" s="217"/>
      <c r="M36" s="43" t="s">
        <v>358</v>
      </c>
      <c r="AA36" s="257" t="str">
        <f t="shared" si="0"/>
        <v>Textbooks / Workbooks</v>
      </c>
      <c r="AB36" s="273">
        <f t="shared" si="6"/>
        <v>75</v>
      </c>
      <c r="AC36" s="273">
        <f t="shared" si="7"/>
        <v>76.875</v>
      </c>
      <c r="AD36" s="273">
        <f t="shared" si="7"/>
        <v>78.796875</v>
      </c>
      <c r="AE36" s="273">
        <f t="shared" si="7"/>
        <v>80.766796874999997</v>
      </c>
      <c r="AF36" s="273">
        <f t="shared" si="7"/>
        <v>82.785966796874987</v>
      </c>
      <c r="AG36" s="273"/>
      <c r="AH36" s="273"/>
    </row>
    <row r="37" spans="3:34" x14ac:dyDescent="0.25">
      <c r="C37" s="282" t="s">
        <v>92</v>
      </c>
      <c r="D37" s="227"/>
      <c r="E37" s="268"/>
      <c r="F37" s="215"/>
      <c r="G37" s="278">
        <v>58000</v>
      </c>
      <c r="H37" s="278">
        <v>62000</v>
      </c>
      <c r="I37" s="278">
        <v>41000</v>
      </c>
      <c r="J37" s="278">
        <v>18000</v>
      </c>
      <c r="K37" s="278">
        <v>18000</v>
      </c>
      <c r="L37" s="217"/>
      <c r="AA37" s="257" t="str">
        <f t="shared" si="0"/>
        <v xml:space="preserve">Equipment / Furniture   </v>
      </c>
      <c r="AB37" s="273">
        <f t="shared" si="6"/>
        <v>58000</v>
      </c>
      <c r="AC37" s="273">
        <f t="shared" si="7"/>
        <v>59449.999999999993</v>
      </c>
      <c r="AD37" s="273">
        <f t="shared" si="7"/>
        <v>60936.249999999985</v>
      </c>
      <c r="AE37" s="273">
        <f t="shared" si="7"/>
        <v>62459.656249999978</v>
      </c>
      <c r="AF37" s="273">
        <f t="shared" si="7"/>
        <v>64021.147656249974</v>
      </c>
      <c r="AG37" s="273"/>
      <c r="AH37" s="273"/>
    </row>
    <row r="38" spans="3:34" x14ac:dyDescent="0.25">
      <c r="C38" s="37" t="s">
        <v>93</v>
      </c>
      <c r="D38" s="227"/>
      <c r="E38" s="268"/>
      <c r="F38" s="215"/>
      <c r="G38" s="242">
        <v>10000</v>
      </c>
      <c r="H38" s="277">
        <f>+G38*(1+$N$1)</f>
        <v>10250</v>
      </c>
      <c r="I38" s="277">
        <f>+H38*(1+$N$1)</f>
        <v>10506.249999999998</v>
      </c>
      <c r="J38" s="277">
        <f>+I38*(1+$N$1)</f>
        <v>10768.906249999996</v>
      </c>
      <c r="K38" s="277">
        <f>+J38*(1+$N$1)</f>
        <v>11038.128906249995</v>
      </c>
      <c r="L38" s="217"/>
      <c r="M38" s="43" t="s">
        <v>359</v>
      </c>
      <c r="AA38" s="257" t="str">
        <f t="shared" si="0"/>
        <v>Internet / Phone</v>
      </c>
      <c r="AB38" s="273">
        <f t="shared" si="6"/>
        <v>10000</v>
      </c>
      <c r="AC38" s="273">
        <f t="shared" si="7"/>
        <v>10250</v>
      </c>
      <c r="AD38" s="273">
        <f t="shared" si="7"/>
        <v>10506.249999999998</v>
      </c>
      <c r="AE38" s="273">
        <f t="shared" si="7"/>
        <v>10768.906249999996</v>
      </c>
      <c r="AF38" s="273">
        <f t="shared" si="7"/>
        <v>11038.128906249995</v>
      </c>
      <c r="AG38" s="273"/>
      <c r="AH38" s="273"/>
    </row>
    <row r="39" spans="3:34" x14ac:dyDescent="0.25">
      <c r="C39" s="282" t="s">
        <v>94</v>
      </c>
      <c r="D39" s="227"/>
      <c r="E39" s="268"/>
      <c r="F39" s="215"/>
      <c r="G39" s="278">
        <v>23600</v>
      </c>
      <c r="H39" s="278">
        <v>30200</v>
      </c>
      <c r="I39" s="278">
        <v>12600</v>
      </c>
      <c r="J39" s="278">
        <v>29900</v>
      </c>
      <c r="K39" s="278">
        <v>41600</v>
      </c>
      <c r="L39" s="217"/>
      <c r="M39" s="43"/>
      <c r="AA39" s="257" t="str">
        <f t="shared" si="0"/>
        <v>Technology Hardware</v>
      </c>
      <c r="AB39" s="273">
        <f t="shared" si="6"/>
        <v>23600</v>
      </c>
      <c r="AC39" s="273">
        <f t="shared" si="7"/>
        <v>24189.999999999996</v>
      </c>
      <c r="AD39" s="273">
        <f t="shared" si="7"/>
        <v>24794.749999999993</v>
      </c>
      <c r="AE39" s="273">
        <f t="shared" si="7"/>
        <v>25414.618749999991</v>
      </c>
      <c r="AF39" s="273">
        <f t="shared" si="7"/>
        <v>26049.984218749989</v>
      </c>
      <c r="AG39" s="273"/>
      <c r="AH39" s="273"/>
    </row>
    <row r="40" spans="3:34" x14ac:dyDescent="0.25">
      <c r="C40" s="282" t="s">
        <v>95</v>
      </c>
      <c r="D40" s="227"/>
      <c r="E40" s="268"/>
      <c r="F40" s="215"/>
      <c r="G40" s="278">
        <v>27739</v>
      </c>
      <c r="H40" s="278">
        <v>31345</v>
      </c>
      <c r="I40" s="278">
        <v>34978</v>
      </c>
      <c r="J40" s="278">
        <v>37373</v>
      </c>
      <c r="K40" s="278">
        <v>39494.5</v>
      </c>
      <c r="L40" s="217"/>
      <c r="M40" s="43"/>
      <c r="AA40" s="257"/>
      <c r="AB40" s="273"/>
      <c r="AC40" s="273"/>
      <c r="AD40" s="273"/>
      <c r="AE40" s="273"/>
      <c r="AF40" s="273"/>
      <c r="AG40" s="273"/>
      <c r="AH40" s="273"/>
    </row>
    <row r="41" spans="3:34" x14ac:dyDescent="0.25">
      <c r="C41" s="37" t="s">
        <v>97</v>
      </c>
      <c r="D41" s="227"/>
      <c r="E41" s="268"/>
      <c r="F41" s="215"/>
      <c r="G41" s="278">
        <v>3552</v>
      </c>
      <c r="H41" s="278">
        <v>3321</v>
      </c>
      <c r="I41" s="278">
        <v>5805</v>
      </c>
      <c r="J41" s="278">
        <v>7911</v>
      </c>
      <c r="K41" s="278">
        <v>8909</v>
      </c>
      <c r="L41" s="217"/>
      <c r="M41" s="43"/>
      <c r="AA41" s="257" t="str">
        <f t="shared" ref="AA41:AA64" si="8">+C41</f>
        <v>Student Testing &amp; Assessment</v>
      </c>
      <c r="AB41" s="273">
        <f>+IF(E41="",G41,E41)</f>
        <v>3552</v>
      </c>
      <c r="AC41" s="273">
        <f t="shared" ref="AC41:AF53" si="9">+AB41*(1+$N$1)</f>
        <v>3640.7999999999997</v>
      </c>
      <c r="AD41" s="273">
        <f t="shared" si="9"/>
        <v>3731.8199999999993</v>
      </c>
      <c r="AE41" s="273">
        <f t="shared" si="9"/>
        <v>3825.115499999999</v>
      </c>
      <c r="AF41" s="273">
        <f t="shared" si="9"/>
        <v>3920.7433874999988</v>
      </c>
      <c r="AG41" s="273"/>
      <c r="AH41" s="273"/>
    </row>
    <row r="42" spans="3:34" x14ac:dyDescent="0.25">
      <c r="C42" s="37" t="s">
        <v>98</v>
      </c>
      <c r="D42" s="227"/>
      <c r="E42" s="242">
        <v>95</v>
      </c>
      <c r="F42" s="215"/>
      <c r="G42" s="268"/>
      <c r="H42" s="268"/>
      <c r="I42" s="268"/>
      <c r="J42" s="268"/>
      <c r="K42" s="268"/>
      <c r="L42" s="217"/>
      <c r="M42" s="43" t="s">
        <v>360</v>
      </c>
      <c r="AA42" s="257" t="str">
        <f t="shared" si="8"/>
        <v>Field Trips</v>
      </c>
      <c r="AB42" s="273">
        <f>+IF(E42="",G42,E42)</f>
        <v>95</v>
      </c>
      <c r="AC42" s="273">
        <f t="shared" si="9"/>
        <v>97.374999999999986</v>
      </c>
      <c r="AD42" s="273">
        <f t="shared" si="9"/>
        <v>99.809374999999974</v>
      </c>
      <c r="AE42" s="273">
        <f t="shared" si="9"/>
        <v>102.30460937499997</v>
      </c>
      <c r="AF42" s="273">
        <f t="shared" si="9"/>
        <v>104.86222460937496</v>
      </c>
      <c r="AG42" s="273"/>
      <c r="AH42" s="273"/>
    </row>
    <row r="43" spans="3:34" x14ac:dyDescent="0.25">
      <c r="C43" s="37" t="s">
        <v>99</v>
      </c>
      <c r="D43" s="227"/>
      <c r="E43" s="268"/>
      <c r="F43" s="215"/>
      <c r="G43" s="278">
        <v>39600</v>
      </c>
      <c r="H43" s="278">
        <v>45000</v>
      </c>
      <c r="I43" s="278">
        <v>72000</v>
      </c>
      <c r="J43" s="278">
        <v>90000</v>
      </c>
      <c r="K43" s="278">
        <v>101400</v>
      </c>
      <c r="L43" s="217"/>
      <c r="M43" s="43"/>
      <c r="AA43" s="257" t="str">
        <f t="shared" si="8"/>
        <v>Transportation (student)</v>
      </c>
      <c r="AB43" s="273" t="e">
        <f>+IF(E43="",#REF!,E43)</f>
        <v>#REF!</v>
      </c>
      <c r="AC43" s="273" t="e">
        <f t="shared" si="9"/>
        <v>#REF!</v>
      </c>
      <c r="AD43" s="273" t="e">
        <f t="shared" si="9"/>
        <v>#REF!</v>
      </c>
      <c r="AE43" s="273" t="e">
        <f t="shared" si="9"/>
        <v>#REF!</v>
      </c>
      <c r="AF43" s="273" t="e">
        <f t="shared" si="9"/>
        <v>#REF!</v>
      </c>
      <c r="AG43" s="273"/>
      <c r="AH43" s="273"/>
    </row>
    <row r="44" spans="3:34" x14ac:dyDescent="0.25">
      <c r="C44" s="37" t="s">
        <v>100</v>
      </c>
      <c r="D44" s="227"/>
      <c r="E44" s="242">
        <v>25</v>
      </c>
      <c r="F44" s="215"/>
      <c r="G44" s="268"/>
      <c r="H44" s="268"/>
      <c r="I44" s="268"/>
      <c r="J44" s="268"/>
      <c r="K44" s="268"/>
      <c r="L44" s="217"/>
      <c r="M44" s="249" t="s">
        <v>361</v>
      </c>
      <c r="AA44" s="257" t="str">
        <f t="shared" si="8"/>
        <v>Student Services - other</v>
      </c>
      <c r="AB44" s="273">
        <f t="shared" ref="AB44:AB53" si="10">+IF(E44="",G44,E44)</f>
        <v>25</v>
      </c>
      <c r="AC44" s="273">
        <f t="shared" si="9"/>
        <v>25.624999999999996</v>
      </c>
      <c r="AD44" s="273">
        <f t="shared" si="9"/>
        <v>26.265624999999993</v>
      </c>
      <c r="AE44" s="273">
        <f t="shared" si="9"/>
        <v>26.922265624999991</v>
      </c>
      <c r="AF44" s="273">
        <f t="shared" si="9"/>
        <v>27.59532226562499</v>
      </c>
      <c r="AG44" s="273"/>
      <c r="AH44" s="273"/>
    </row>
    <row r="45" spans="3:34" x14ac:dyDescent="0.25">
      <c r="C45" s="282" t="s">
        <v>101</v>
      </c>
      <c r="D45" s="227"/>
      <c r="E45" s="268"/>
      <c r="F45" s="215"/>
      <c r="G45" s="242">
        <v>10000</v>
      </c>
      <c r="H45" s="277">
        <f>+G45*(1+$N$1)</f>
        <v>10250</v>
      </c>
      <c r="I45" s="277">
        <f>+H45*(1+$N$1)</f>
        <v>10506.249999999998</v>
      </c>
      <c r="J45" s="277">
        <f>+I45*(1+$N$1)</f>
        <v>10768.906249999996</v>
      </c>
      <c r="K45" s="277">
        <f>+J45*(1+$N$1)</f>
        <v>11038.128906249995</v>
      </c>
      <c r="L45" s="217"/>
      <c r="M45" s="249" t="s">
        <v>362</v>
      </c>
      <c r="AA45" s="257" t="str">
        <f t="shared" si="8"/>
        <v>Office Expense</v>
      </c>
      <c r="AB45" s="273">
        <f t="shared" si="10"/>
        <v>10000</v>
      </c>
      <c r="AC45" s="273">
        <f t="shared" si="9"/>
        <v>10250</v>
      </c>
      <c r="AD45" s="273">
        <f t="shared" si="9"/>
        <v>10506.249999999998</v>
      </c>
      <c r="AE45" s="273">
        <f t="shared" si="9"/>
        <v>10768.906249999996</v>
      </c>
      <c r="AF45" s="273">
        <f t="shared" si="9"/>
        <v>11038.128906249995</v>
      </c>
      <c r="AG45" s="273"/>
      <c r="AH45" s="273"/>
    </row>
    <row r="46" spans="3:34" x14ac:dyDescent="0.25">
      <c r="C46" s="282" t="s">
        <v>103</v>
      </c>
      <c r="D46" s="227"/>
      <c r="E46" s="242">
        <v>200</v>
      </c>
      <c r="F46" s="215"/>
      <c r="G46" s="268"/>
      <c r="H46" s="268"/>
      <c r="I46" s="268"/>
      <c r="J46" s="268"/>
      <c r="K46" s="268"/>
      <c r="L46" s="217"/>
      <c r="M46" s="43" t="s">
        <v>363</v>
      </c>
      <c r="AA46" s="257" t="str">
        <f t="shared" si="8"/>
        <v>Staff Development</v>
      </c>
      <c r="AB46" s="273">
        <f t="shared" si="10"/>
        <v>200</v>
      </c>
      <c r="AC46" s="273">
        <f t="shared" si="9"/>
        <v>204.99999999999997</v>
      </c>
      <c r="AD46" s="273">
        <f t="shared" si="9"/>
        <v>210.12499999999994</v>
      </c>
      <c r="AE46" s="273">
        <f t="shared" si="9"/>
        <v>215.37812499999993</v>
      </c>
      <c r="AF46" s="273">
        <f t="shared" si="9"/>
        <v>220.76257812499992</v>
      </c>
      <c r="AG46" s="273"/>
      <c r="AH46" s="273"/>
    </row>
    <row r="47" spans="3:34" x14ac:dyDescent="0.25">
      <c r="C47" s="37" t="s">
        <v>104</v>
      </c>
      <c r="D47" s="227"/>
      <c r="E47" s="268"/>
      <c r="F47" s="215"/>
      <c r="G47" s="242">
        <v>2000</v>
      </c>
      <c r="H47" s="277">
        <f t="shared" ref="H47:K48" si="11">+G47*(1+$N$1)</f>
        <v>2050</v>
      </c>
      <c r="I47" s="277">
        <f t="shared" si="11"/>
        <v>2101.25</v>
      </c>
      <c r="J47" s="277">
        <f t="shared" si="11"/>
        <v>2153.78125</v>
      </c>
      <c r="K47" s="277">
        <f t="shared" si="11"/>
        <v>2207.6257812499998</v>
      </c>
      <c r="L47" s="217"/>
      <c r="M47" s="43" t="s">
        <v>364</v>
      </c>
      <c r="AA47" s="257" t="str">
        <f t="shared" si="8"/>
        <v>Staff Recruitment</v>
      </c>
      <c r="AB47" s="273">
        <f t="shared" si="10"/>
        <v>2000</v>
      </c>
      <c r="AC47" s="273">
        <f t="shared" si="9"/>
        <v>2050</v>
      </c>
      <c r="AD47" s="273">
        <f t="shared" si="9"/>
        <v>2101.25</v>
      </c>
      <c r="AE47" s="273">
        <f t="shared" si="9"/>
        <v>2153.78125</v>
      </c>
      <c r="AF47" s="273">
        <f t="shared" si="9"/>
        <v>2207.6257812499998</v>
      </c>
      <c r="AG47" s="273"/>
      <c r="AH47" s="273"/>
    </row>
    <row r="48" spans="3:34" x14ac:dyDescent="0.25">
      <c r="C48" s="37" t="s">
        <v>106</v>
      </c>
      <c r="D48" s="227"/>
      <c r="E48" s="268"/>
      <c r="F48" s="215"/>
      <c r="G48" s="242">
        <v>3000</v>
      </c>
      <c r="H48" s="277">
        <f t="shared" si="11"/>
        <v>3074.9999999999995</v>
      </c>
      <c r="I48" s="277">
        <f t="shared" si="11"/>
        <v>3151.8749999999991</v>
      </c>
      <c r="J48" s="277">
        <f t="shared" si="11"/>
        <v>3230.6718749999986</v>
      </c>
      <c r="K48" s="277">
        <f t="shared" si="11"/>
        <v>3311.4386718749984</v>
      </c>
      <c r="L48" s="217"/>
      <c r="M48" s="43" t="s">
        <v>365</v>
      </c>
      <c r="AA48" s="257" t="str">
        <f t="shared" si="8"/>
        <v>Student Recruitment / Marketing</v>
      </c>
      <c r="AB48" s="273">
        <f t="shared" si="10"/>
        <v>3000</v>
      </c>
      <c r="AC48" s="273">
        <f t="shared" si="9"/>
        <v>3074.9999999999995</v>
      </c>
      <c r="AD48" s="273">
        <f t="shared" si="9"/>
        <v>3151.8749999999991</v>
      </c>
      <c r="AE48" s="273">
        <f t="shared" si="9"/>
        <v>3230.6718749999986</v>
      </c>
      <c r="AF48" s="273">
        <f t="shared" si="9"/>
        <v>3311.4386718749984</v>
      </c>
      <c r="AG48" s="273"/>
      <c r="AH48" s="273"/>
    </row>
    <row r="49" spans="3:34" x14ac:dyDescent="0.25">
      <c r="C49" s="37" t="s">
        <v>108</v>
      </c>
      <c r="D49" s="227"/>
      <c r="E49" s="283">
        <v>832.95000000000016</v>
      </c>
      <c r="F49" s="215"/>
      <c r="G49" s="268"/>
      <c r="H49" s="268"/>
      <c r="I49" s="268"/>
      <c r="J49" s="268"/>
      <c r="K49" s="268"/>
      <c r="L49" s="217"/>
      <c r="M49" s="43"/>
      <c r="AA49" s="257" t="str">
        <f t="shared" si="8"/>
        <v>School Meals / Lunch</v>
      </c>
      <c r="AB49" s="273">
        <f t="shared" si="10"/>
        <v>832.95000000000016</v>
      </c>
      <c r="AC49" s="273">
        <f t="shared" si="9"/>
        <v>853.77375000000006</v>
      </c>
      <c r="AD49" s="273">
        <f t="shared" si="9"/>
        <v>875.11809374999996</v>
      </c>
      <c r="AE49" s="273">
        <f t="shared" si="9"/>
        <v>896.9960460937499</v>
      </c>
      <c r="AF49" s="273">
        <f t="shared" si="9"/>
        <v>919.42094724609353</v>
      </c>
      <c r="AG49" s="273"/>
      <c r="AH49" s="273"/>
    </row>
    <row r="50" spans="3:34" x14ac:dyDescent="0.25">
      <c r="C50" s="37" t="s">
        <v>109</v>
      </c>
      <c r="D50" s="227"/>
      <c r="E50" s="268"/>
      <c r="F50" s="215"/>
      <c r="G50" s="242">
        <v>2500</v>
      </c>
      <c r="H50" s="277">
        <f>+G50*(1+$N$1)</f>
        <v>2562.5</v>
      </c>
      <c r="I50" s="277">
        <f>+H50*(1+$N$1)</f>
        <v>2626.5624999999995</v>
      </c>
      <c r="J50" s="277">
        <f>+I50*(1+$N$1)</f>
        <v>2692.2265624999991</v>
      </c>
      <c r="K50" s="277">
        <f>+J50*(1+$N$1)</f>
        <v>2759.5322265624986</v>
      </c>
      <c r="L50" s="217"/>
      <c r="M50" s="43" t="s">
        <v>366</v>
      </c>
      <c r="AA50" s="257" t="str">
        <f t="shared" si="8"/>
        <v>Travel (Staff)</v>
      </c>
      <c r="AB50" s="273">
        <f t="shared" si="10"/>
        <v>2500</v>
      </c>
      <c r="AC50" s="273">
        <f t="shared" si="9"/>
        <v>2562.5</v>
      </c>
      <c r="AD50" s="273">
        <f t="shared" si="9"/>
        <v>2626.5624999999995</v>
      </c>
      <c r="AE50" s="273">
        <f t="shared" si="9"/>
        <v>2692.2265624999991</v>
      </c>
      <c r="AF50" s="273">
        <f t="shared" si="9"/>
        <v>2759.5322265624986</v>
      </c>
      <c r="AG50" s="273"/>
      <c r="AH50" s="273"/>
    </row>
    <row r="51" spans="3:34" x14ac:dyDescent="0.25">
      <c r="C51" s="37" t="s">
        <v>110</v>
      </c>
      <c r="D51" s="227"/>
      <c r="E51" s="268"/>
      <c r="F51" s="215"/>
      <c r="G51" s="242">
        <f>'Local &amp; Pvt Rev'!E6*0.25</f>
        <v>6250</v>
      </c>
      <c r="H51" s="242">
        <f>'Local &amp; Pvt Rev'!F6*0.25</f>
        <v>6250</v>
      </c>
      <c r="I51" s="242">
        <f>'Local &amp; Pvt Rev'!G6*0.25</f>
        <v>6250</v>
      </c>
      <c r="J51" s="242">
        <f>'Local &amp; Pvt Rev'!H6*0.25</f>
        <v>6250</v>
      </c>
      <c r="K51" s="242">
        <f>'Local &amp; Pvt Rev'!I6*0.25</f>
        <v>6250</v>
      </c>
      <c r="L51" s="217"/>
      <c r="M51" s="43" t="s">
        <v>367</v>
      </c>
      <c r="AA51" s="257" t="str">
        <f t="shared" si="8"/>
        <v>Fundraising</v>
      </c>
      <c r="AB51" s="273">
        <f t="shared" si="10"/>
        <v>6250</v>
      </c>
      <c r="AC51" s="273">
        <f t="shared" si="9"/>
        <v>6406.2499999999991</v>
      </c>
      <c r="AD51" s="273">
        <f t="shared" si="9"/>
        <v>6566.4062499999982</v>
      </c>
      <c r="AE51" s="273">
        <f t="shared" si="9"/>
        <v>6730.5664062499973</v>
      </c>
      <c r="AF51" s="273">
        <f t="shared" si="9"/>
        <v>6898.8305664062464</v>
      </c>
      <c r="AG51" s="273"/>
      <c r="AH51" s="273"/>
    </row>
    <row r="52" spans="3:34" x14ac:dyDescent="0.25">
      <c r="C52" s="276" t="s">
        <v>112</v>
      </c>
      <c r="D52" s="227"/>
      <c r="E52" s="268"/>
      <c r="F52" s="215"/>
      <c r="G52" s="242">
        <f>(5*'Enrollment and Demographics'!D19)+1000</f>
        <v>1480</v>
      </c>
      <c r="H52" s="242">
        <f>(5*'Enrollment and Demographics'!E19)+1000</f>
        <v>1720</v>
      </c>
      <c r="I52" s="242">
        <f>(5*'Enrollment and Demographics'!F19)+1000</f>
        <v>1960</v>
      </c>
      <c r="J52" s="242">
        <f>(5*'Enrollment and Demographics'!G19)+1000</f>
        <v>2120</v>
      </c>
      <c r="K52" s="242">
        <f>(5*'Enrollment and Demographics'!H19)+1000</f>
        <v>2260</v>
      </c>
      <c r="L52" s="217"/>
      <c r="M52" s="43" t="s">
        <v>368</v>
      </c>
      <c r="AA52" s="257" t="str">
        <f t="shared" si="8"/>
        <v>Dues &amp; Memberships</v>
      </c>
      <c r="AB52" s="273">
        <f t="shared" si="10"/>
        <v>1480</v>
      </c>
      <c r="AC52" s="273">
        <f t="shared" si="9"/>
        <v>1516.9999999999998</v>
      </c>
      <c r="AD52" s="273">
        <f t="shared" si="9"/>
        <v>1554.9249999999997</v>
      </c>
      <c r="AE52" s="273">
        <f t="shared" si="9"/>
        <v>1593.7981249999996</v>
      </c>
      <c r="AF52" s="273">
        <f t="shared" si="9"/>
        <v>1633.6430781249994</v>
      </c>
      <c r="AG52" s="273"/>
      <c r="AH52" s="273"/>
    </row>
    <row r="53" spans="3:34" x14ac:dyDescent="0.25">
      <c r="C53" s="276" t="s">
        <v>114</v>
      </c>
      <c r="D53" s="227"/>
      <c r="E53" s="268"/>
      <c r="F53" s="215"/>
      <c r="G53" s="242">
        <v>8000</v>
      </c>
      <c r="H53" s="277">
        <f>+G53*(1+$N$1)</f>
        <v>8200</v>
      </c>
      <c r="I53" s="277">
        <f>+H53*(1+$N$1)</f>
        <v>8405</v>
      </c>
      <c r="J53" s="277">
        <f>+I53*(1+$N$1)</f>
        <v>8615.125</v>
      </c>
      <c r="K53" s="277">
        <f>+J53*(1+$N$1)</f>
        <v>8830.5031249999993</v>
      </c>
      <c r="L53" s="217"/>
      <c r="M53" s="43" t="s">
        <v>369</v>
      </c>
      <c r="AA53" s="257" t="str">
        <f t="shared" si="8"/>
        <v>Printer</v>
      </c>
      <c r="AB53" s="273">
        <f t="shared" si="10"/>
        <v>8000</v>
      </c>
      <c r="AC53" s="273">
        <f t="shared" si="9"/>
        <v>8200</v>
      </c>
      <c r="AD53" s="273">
        <f t="shared" si="9"/>
        <v>8405</v>
      </c>
      <c r="AE53" s="273">
        <f t="shared" si="9"/>
        <v>8615.125</v>
      </c>
      <c r="AF53" s="273">
        <f t="shared" si="9"/>
        <v>8830.5031249999993</v>
      </c>
      <c r="AG53" s="273"/>
      <c r="AH53" s="273"/>
    </row>
    <row r="54" spans="3:34" x14ac:dyDescent="0.25">
      <c r="C54" s="231" t="str">
        <f>"TOTAL "&amp;C32</f>
        <v>TOTAL SCHOOL OPERATIONS</v>
      </c>
      <c r="D54" s="227"/>
      <c r="E54" s="227"/>
      <c r="F54" s="227"/>
      <c r="G54" s="227"/>
      <c r="H54" s="227"/>
      <c r="I54" s="227"/>
      <c r="J54" s="227"/>
      <c r="K54" s="227"/>
      <c r="L54" s="217"/>
      <c r="M54" s="43"/>
      <c r="AA54" s="257" t="str">
        <f t="shared" si="8"/>
        <v>TOTAL SCHOOL OPERATIONS</v>
      </c>
    </row>
    <row r="55" spans="3:34" x14ac:dyDescent="0.25">
      <c r="C55" s="227"/>
      <c r="D55" s="227"/>
      <c r="E55" s="227"/>
      <c r="F55" s="227"/>
      <c r="G55" s="227"/>
      <c r="H55" s="227"/>
      <c r="I55" s="227"/>
      <c r="J55" s="227"/>
      <c r="K55" s="227"/>
      <c r="L55" s="284"/>
      <c r="M55" s="248"/>
      <c r="AA55" s="257">
        <f t="shared" si="8"/>
        <v>0</v>
      </c>
    </row>
    <row r="56" spans="3:34" x14ac:dyDescent="0.25">
      <c r="C56" s="21" t="s">
        <v>116</v>
      </c>
      <c r="D56" s="227"/>
      <c r="E56" s="227"/>
      <c r="F56" s="215"/>
      <c r="G56" s="227"/>
      <c r="H56" s="227"/>
      <c r="I56" s="227"/>
      <c r="J56" s="227"/>
      <c r="K56" s="227"/>
      <c r="L56" s="217"/>
      <c r="M56" s="43"/>
      <c r="AA56" s="257" t="str">
        <f t="shared" si="8"/>
        <v>FACILITY OPERATION &amp; MAINTENANCE</v>
      </c>
    </row>
    <row r="57" spans="3:34" x14ac:dyDescent="0.25">
      <c r="C57" s="264" t="s">
        <v>117</v>
      </c>
      <c r="D57" s="227"/>
      <c r="E57" s="268"/>
      <c r="F57" s="215"/>
      <c r="G57" s="285">
        <v>12500</v>
      </c>
      <c r="H57" s="277">
        <f>+G57*(1+$N$1)</f>
        <v>12812.499999999998</v>
      </c>
      <c r="I57" s="277">
        <f>+H57*(1+$N$1)</f>
        <v>13132.812499999996</v>
      </c>
      <c r="J57" s="277">
        <f>+I57*(1+$N$1)</f>
        <v>13461.132812499995</v>
      </c>
      <c r="K57" s="277">
        <f>+J57*(1+$N$1)</f>
        <v>13797.661132812493</v>
      </c>
      <c r="L57" s="217"/>
      <c r="M57" s="43" t="s">
        <v>370</v>
      </c>
      <c r="AA57" s="257" t="str">
        <f t="shared" si="8"/>
        <v>Insurance</v>
      </c>
      <c r="AB57" s="273">
        <f t="shared" ref="AB57:AB63" si="12">+IF(E57="",G57,E57)</f>
        <v>12500</v>
      </c>
      <c r="AC57" s="273">
        <f t="shared" ref="AC57:AF63" si="13">+AB57*(1+$N$1)</f>
        <v>12812.499999999998</v>
      </c>
      <c r="AD57" s="273">
        <f t="shared" si="13"/>
        <v>13132.812499999996</v>
      </c>
      <c r="AE57" s="273">
        <f t="shared" si="13"/>
        <v>13461.132812499995</v>
      </c>
      <c r="AF57" s="273">
        <f t="shared" si="13"/>
        <v>13797.661132812493</v>
      </c>
      <c r="AG57" s="273"/>
      <c r="AH57" s="273"/>
    </row>
    <row r="58" spans="3:34" x14ac:dyDescent="0.25">
      <c r="C58" s="264" t="s">
        <v>119</v>
      </c>
      <c r="D58" s="227"/>
      <c r="E58" s="242">
        <v>125</v>
      </c>
      <c r="F58" s="215"/>
      <c r="G58" s="286"/>
      <c r="H58" s="286"/>
      <c r="I58" s="286"/>
      <c r="J58" s="286"/>
      <c r="K58" s="286"/>
      <c r="L58" s="217"/>
      <c r="M58" s="43" t="s">
        <v>371</v>
      </c>
      <c r="O58" s="287"/>
      <c r="AA58" s="257" t="str">
        <f t="shared" si="8"/>
        <v>Janitorial Services</v>
      </c>
      <c r="AB58" s="273">
        <f t="shared" si="12"/>
        <v>125</v>
      </c>
      <c r="AC58" s="273">
        <f t="shared" si="13"/>
        <v>128.125</v>
      </c>
      <c r="AD58" s="273">
        <f t="shared" si="13"/>
        <v>131.328125</v>
      </c>
      <c r="AE58" s="273">
        <f t="shared" si="13"/>
        <v>134.611328125</v>
      </c>
      <c r="AF58" s="273">
        <f t="shared" si="13"/>
        <v>137.97661132812499</v>
      </c>
      <c r="AG58" s="273"/>
      <c r="AH58" s="273"/>
    </row>
    <row r="59" spans="3:34" x14ac:dyDescent="0.25">
      <c r="C59" s="264" t="s">
        <v>120</v>
      </c>
      <c r="D59" s="227"/>
      <c r="E59" s="268"/>
      <c r="F59" s="215"/>
      <c r="G59" s="242">
        <v>154992.94</v>
      </c>
      <c r="H59" s="242">
        <v>232237.14168</v>
      </c>
      <c r="I59" s="242">
        <v>302111.95000320004</v>
      </c>
      <c r="J59" s="242">
        <v>334785.02619488252</v>
      </c>
      <c r="K59" s="242">
        <v>380484.66711706144</v>
      </c>
      <c r="L59" s="217"/>
      <c r="M59" s="43"/>
      <c r="AA59" s="257" t="str">
        <f t="shared" si="8"/>
        <v>Building and Land Rent / Lease</v>
      </c>
      <c r="AB59" s="273">
        <f t="shared" si="12"/>
        <v>154992.94</v>
      </c>
      <c r="AC59" s="273">
        <f t="shared" si="13"/>
        <v>158867.7635</v>
      </c>
      <c r="AD59" s="273">
        <f t="shared" si="13"/>
        <v>162839.45758749999</v>
      </c>
      <c r="AE59" s="273">
        <f t="shared" si="13"/>
        <v>166910.44402718748</v>
      </c>
      <c r="AF59" s="273">
        <f t="shared" si="13"/>
        <v>171083.20512786714</v>
      </c>
      <c r="AG59" s="273"/>
      <c r="AH59" s="273"/>
    </row>
    <row r="60" spans="3:34" x14ac:dyDescent="0.25">
      <c r="C60" s="264" t="s">
        <v>122</v>
      </c>
      <c r="D60" s="227"/>
      <c r="E60" s="268"/>
      <c r="F60" s="215"/>
      <c r="G60" s="242">
        <v>0</v>
      </c>
      <c r="H60" s="242">
        <v>72000</v>
      </c>
      <c r="I60" s="242">
        <v>36000</v>
      </c>
      <c r="J60" s="242">
        <v>54000</v>
      </c>
      <c r="K60" s="242">
        <v>18000</v>
      </c>
      <c r="L60" s="217"/>
      <c r="M60" s="249" t="s">
        <v>372</v>
      </c>
      <c r="AA60" s="257" t="str">
        <f t="shared" si="8"/>
        <v xml:space="preserve">Repairs &amp; Maintenance </v>
      </c>
      <c r="AB60" s="273">
        <f t="shared" si="12"/>
        <v>0</v>
      </c>
      <c r="AC60" s="273">
        <f t="shared" si="13"/>
        <v>0</v>
      </c>
      <c r="AD60" s="273">
        <f t="shared" si="13"/>
        <v>0</v>
      </c>
      <c r="AE60" s="273">
        <f t="shared" si="13"/>
        <v>0</v>
      </c>
      <c r="AF60" s="273">
        <f t="shared" si="13"/>
        <v>0</v>
      </c>
      <c r="AG60" s="273"/>
      <c r="AH60" s="273"/>
    </row>
    <row r="61" spans="3:34" x14ac:dyDescent="0.25">
      <c r="C61" s="264" t="s">
        <v>123</v>
      </c>
      <c r="D61" s="227"/>
      <c r="E61" s="268"/>
      <c r="F61" s="215"/>
      <c r="G61" s="242">
        <v>2500</v>
      </c>
      <c r="H61" s="277">
        <f>+G61*(1+$N$1)</f>
        <v>2562.5</v>
      </c>
      <c r="I61" s="277">
        <f>+H61*(1+$N$1)</f>
        <v>2626.5624999999995</v>
      </c>
      <c r="J61" s="277">
        <f>+I61*(1+$N$1)</f>
        <v>2692.2265624999991</v>
      </c>
      <c r="K61" s="277">
        <f>+J61*(1+$N$1)</f>
        <v>2759.5322265624986</v>
      </c>
      <c r="L61" s="217"/>
      <c r="M61" s="249" t="s">
        <v>373</v>
      </c>
      <c r="AA61" s="257" t="str">
        <f t="shared" si="8"/>
        <v>Security Services</v>
      </c>
      <c r="AB61" s="273">
        <f t="shared" si="12"/>
        <v>2500</v>
      </c>
      <c r="AC61" s="273">
        <f t="shared" si="13"/>
        <v>2562.5</v>
      </c>
      <c r="AD61" s="273">
        <f t="shared" si="13"/>
        <v>2626.5624999999995</v>
      </c>
      <c r="AE61" s="273">
        <f t="shared" si="13"/>
        <v>2692.2265624999991</v>
      </c>
      <c r="AF61" s="273">
        <f t="shared" si="13"/>
        <v>2759.5322265624986</v>
      </c>
      <c r="AG61" s="273"/>
      <c r="AH61" s="273"/>
    </row>
    <row r="62" spans="3:34" x14ac:dyDescent="0.25">
      <c r="C62" s="264" t="s">
        <v>124</v>
      </c>
      <c r="D62" s="227"/>
      <c r="E62" s="268"/>
      <c r="F62" s="215"/>
      <c r="G62" s="242">
        <v>0</v>
      </c>
      <c r="H62" s="242">
        <v>0</v>
      </c>
      <c r="I62" s="242">
        <v>0</v>
      </c>
      <c r="J62" s="242">
        <v>0</v>
      </c>
      <c r="K62" s="242">
        <v>0</v>
      </c>
      <c r="L62" s="217"/>
      <c r="M62" s="249" t="s">
        <v>374</v>
      </c>
      <c r="AA62" s="257" t="str">
        <f t="shared" si="8"/>
        <v>Utilities</v>
      </c>
      <c r="AB62" s="273">
        <f t="shared" si="12"/>
        <v>0</v>
      </c>
      <c r="AC62" s="273">
        <f t="shared" si="13"/>
        <v>0</v>
      </c>
      <c r="AD62" s="273">
        <f t="shared" si="13"/>
        <v>0</v>
      </c>
      <c r="AE62" s="273">
        <f t="shared" si="13"/>
        <v>0</v>
      </c>
      <c r="AF62" s="273">
        <f t="shared" si="13"/>
        <v>0</v>
      </c>
      <c r="AG62" s="273"/>
      <c r="AH62" s="273"/>
    </row>
    <row r="63" spans="3:34" x14ac:dyDescent="0.25">
      <c r="C63" s="264" t="s">
        <v>125</v>
      </c>
      <c r="D63" s="227"/>
      <c r="E63" s="268"/>
      <c r="F63" s="215"/>
      <c r="G63" s="278">
        <v>0</v>
      </c>
      <c r="H63" s="278">
        <v>22562.959156640409</v>
      </c>
      <c r="I63" s="278">
        <v>37502.185491431046</v>
      </c>
      <c r="J63" s="278">
        <v>37502.185491431046</v>
      </c>
      <c r="K63" s="278">
        <v>37502.185491431046</v>
      </c>
      <c r="L63" s="217"/>
      <c r="M63" s="43"/>
      <c r="AA63" s="257" t="str">
        <f t="shared" si="8"/>
        <v>Building Updates (Financing)</v>
      </c>
      <c r="AB63" s="273">
        <f t="shared" si="12"/>
        <v>0</v>
      </c>
      <c r="AC63" s="273">
        <f t="shared" si="13"/>
        <v>0</v>
      </c>
      <c r="AD63" s="273">
        <f t="shared" si="13"/>
        <v>0</v>
      </c>
      <c r="AE63" s="273">
        <f t="shared" si="13"/>
        <v>0</v>
      </c>
      <c r="AF63" s="273">
        <f t="shared" si="13"/>
        <v>0</v>
      </c>
      <c r="AG63" s="273"/>
      <c r="AH63" s="273"/>
    </row>
    <row r="64" spans="3:34" x14ac:dyDescent="0.25">
      <c r="C64" s="231" t="str">
        <f>"TOTAL "&amp;C56</f>
        <v>TOTAL FACILITY OPERATION &amp; MAINTENANCE</v>
      </c>
      <c r="D64" s="227"/>
      <c r="E64" s="227"/>
      <c r="F64" s="215"/>
      <c r="G64" s="227"/>
      <c r="H64" s="227"/>
      <c r="I64" s="227"/>
      <c r="J64" s="227"/>
      <c r="K64" s="227"/>
      <c r="L64" s="217"/>
      <c r="M64" s="281"/>
      <c r="AA64" s="257" t="str">
        <f t="shared" si="8"/>
        <v>TOTAL FACILITY OPERATION &amp; MAINTENANCE</v>
      </c>
    </row>
    <row r="65" spans="3:27" x14ac:dyDescent="0.25">
      <c r="C65" s="231"/>
      <c r="D65" s="227"/>
      <c r="E65" s="227"/>
      <c r="F65" s="215"/>
      <c r="G65" s="227"/>
      <c r="H65" s="227"/>
      <c r="I65" s="227"/>
      <c r="J65" s="227"/>
      <c r="K65" s="227"/>
      <c r="L65" s="217"/>
      <c r="M65" s="248"/>
      <c r="AA65" s="257">
        <f t="shared" ref="AA65:AA67" si="14">+C65</f>
        <v>0</v>
      </c>
    </row>
    <row r="66" spans="3:27" x14ac:dyDescent="0.25">
      <c r="C66" s="21" t="s">
        <v>127</v>
      </c>
      <c r="D66" s="227"/>
      <c r="E66" s="268"/>
      <c r="F66" s="215"/>
      <c r="G66" s="242">
        <f>0.03*('5 YR Budget'!D43+'5 YR Budget'!D40+'5 YR Budget'!D33+'5 YR Budget'!D24+'5 YR Budget'!D19)</f>
        <v>41739.986690590449</v>
      </c>
      <c r="H66" s="242">
        <f>0.03*('5 YR Budget'!E43+'5 YR Budget'!E40+'5 YR Budget'!E33+'5 YR Budget'!E24+'5 YR Budget'!E19)</f>
        <v>61152.524441207417</v>
      </c>
      <c r="I66" s="242">
        <f>0.03*('5 YR Budget'!F43+'5 YR Budget'!F40+'5 YR Budget'!F33+'5 YR Budget'!F24+'5 YR Budget'!F19)</f>
        <v>75526.03393331384</v>
      </c>
      <c r="J66" s="242">
        <f>0.03*('5 YR Budget'!G43+'5 YR Budget'!G40+'5 YR Budget'!G33+'5 YR Budget'!G24+'5 YR Budget'!G19)</f>
        <v>87794.219325457001</v>
      </c>
      <c r="K66" s="242">
        <f>0.03*('5 YR Budget'!H43+'5 YR Budget'!H40+'5 YR Budget'!H33+'5 YR Budget'!H24+'5 YR Budget'!H19)</f>
        <v>137224.39524575876</v>
      </c>
      <c r="L66" s="217"/>
      <c r="M66" s="43" t="s">
        <v>375</v>
      </c>
      <c r="AA66" s="257" t="str">
        <f t="shared" si="14"/>
        <v>RESERVES / CONTIGENCY</v>
      </c>
    </row>
    <row r="67" spans="3:27" s="250" customFormat="1" x14ac:dyDescent="0.25">
      <c r="C67" s="21" t="s">
        <v>129</v>
      </c>
      <c r="E67" s="268"/>
      <c r="F67" s="215"/>
      <c r="G67" s="278">
        <v>0</v>
      </c>
      <c r="H67" s="278">
        <v>0</v>
      </c>
      <c r="I67" s="278">
        <v>0</v>
      </c>
      <c r="J67" s="278">
        <v>0</v>
      </c>
      <c r="K67" s="278">
        <v>0</v>
      </c>
      <c r="M67" s="43"/>
      <c r="AA67" s="257" t="str">
        <f t="shared" si="14"/>
        <v>DEPRECIATION / AMORTIZATION</v>
      </c>
    </row>
    <row r="68" spans="3:27" s="250" customFormat="1" x14ac:dyDescent="0.25"/>
    <row r="73" spans="3:27" x14ac:dyDescent="0.25">
      <c r="C73" s="288"/>
    </row>
  </sheetData>
  <mergeCells count="4">
    <mergeCell ref="G1:K1"/>
    <mergeCell ref="G5:K6"/>
    <mergeCell ref="G19:K19"/>
    <mergeCell ref="G20:K20"/>
  </mergeCells>
  <conditionalFormatting sqref="E13 E35:E36 E42 E44 E46 E49">
    <cfRule type="expression" dxfId="83" priority="100">
      <formula>#REF!=1</formula>
    </cfRule>
    <cfRule type="expression" dxfId="82" priority="101">
      <formula>#REF!=2</formula>
    </cfRule>
    <cfRule type="expression" dxfId="81" priority="102">
      <formula>#REF!=3</formula>
    </cfRule>
  </conditionalFormatting>
  <conditionalFormatting sqref="G38">
    <cfRule type="expression" dxfId="80" priority="97">
      <formula>#REF!=1</formula>
    </cfRule>
    <cfRule type="expression" dxfId="79" priority="98">
      <formula>#REF!=2</formula>
    </cfRule>
    <cfRule type="expression" dxfId="78" priority="99">
      <formula>#REF!=3</formula>
    </cfRule>
  </conditionalFormatting>
  <conditionalFormatting sqref="G51:K51">
    <cfRule type="expression" dxfId="77" priority="82">
      <formula>#REF!=1</formula>
    </cfRule>
    <cfRule type="expression" dxfId="76" priority="83">
      <formula>#REF!=2</formula>
    </cfRule>
    <cfRule type="expression" dxfId="75" priority="84">
      <formula>#REF!=3</formula>
    </cfRule>
  </conditionalFormatting>
  <conditionalFormatting sqref="G45">
    <cfRule type="expression" dxfId="74" priority="94">
      <formula>#REF!=1</formula>
    </cfRule>
    <cfRule type="expression" dxfId="73" priority="95">
      <formula>#REF!=2</formula>
    </cfRule>
    <cfRule type="expression" dxfId="72" priority="96">
      <formula>#REF!=3</formula>
    </cfRule>
  </conditionalFormatting>
  <conditionalFormatting sqref="G47">
    <cfRule type="expression" dxfId="71" priority="91">
      <formula>#REF!=1</formula>
    </cfRule>
    <cfRule type="expression" dxfId="70" priority="92">
      <formula>#REF!=2</formula>
    </cfRule>
    <cfRule type="expression" dxfId="69" priority="93">
      <formula>#REF!=3</formula>
    </cfRule>
  </conditionalFormatting>
  <conditionalFormatting sqref="G48">
    <cfRule type="expression" dxfId="68" priority="88">
      <formula>#REF!=1</formula>
    </cfRule>
    <cfRule type="expression" dxfId="67" priority="89">
      <formula>#REF!=2</formula>
    </cfRule>
    <cfRule type="expression" dxfId="66" priority="90">
      <formula>#REF!=3</formula>
    </cfRule>
  </conditionalFormatting>
  <conditionalFormatting sqref="G50">
    <cfRule type="expression" dxfId="65" priority="85">
      <formula>#REF!=1</formula>
    </cfRule>
    <cfRule type="expression" dxfId="64" priority="86">
      <formula>#REF!=2</formula>
    </cfRule>
    <cfRule type="expression" dxfId="63" priority="87">
      <formula>#REF!=3</formula>
    </cfRule>
  </conditionalFormatting>
  <conditionalFormatting sqref="G57">
    <cfRule type="expression" dxfId="62" priority="73">
      <formula>#REF!=1</formula>
    </cfRule>
    <cfRule type="expression" dxfId="61" priority="74">
      <formula>#REF!=2</formula>
    </cfRule>
    <cfRule type="expression" dxfId="60" priority="75">
      <formula>#REF!=3</formula>
    </cfRule>
  </conditionalFormatting>
  <conditionalFormatting sqref="G53">
    <cfRule type="expression" dxfId="59" priority="79">
      <formula>#REF!=1</formula>
    </cfRule>
    <cfRule type="expression" dxfId="58" priority="80">
      <formula>#REF!=2</formula>
    </cfRule>
    <cfRule type="expression" dxfId="57" priority="81">
      <formula>#REF!=3</formula>
    </cfRule>
  </conditionalFormatting>
  <conditionalFormatting sqref="G52">
    <cfRule type="expression" dxfId="56" priority="76">
      <formula>#REF!=1</formula>
    </cfRule>
    <cfRule type="expression" dxfId="55" priority="77">
      <formula>#REF!=2</formula>
    </cfRule>
    <cfRule type="expression" dxfId="54" priority="78">
      <formula>#REF!=3</formula>
    </cfRule>
  </conditionalFormatting>
  <conditionalFormatting sqref="G59">
    <cfRule type="expression" dxfId="53" priority="67">
      <formula>#REF!=1</formula>
    </cfRule>
    <cfRule type="expression" dxfId="52" priority="68">
      <formula>#REF!=2</formula>
    </cfRule>
    <cfRule type="expression" dxfId="51" priority="69">
      <formula>#REF!=3</formula>
    </cfRule>
  </conditionalFormatting>
  <conditionalFormatting sqref="E58">
    <cfRule type="expression" dxfId="50" priority="70">
      <formula>#REF!=1</formula>
    </cfRule>
    <cfRule type="expression" dxfId="49" priority="71">
      <formula>#REF!=2</formula>
    </cfRule>
    <cfRule type="expression" dxfId="48" priority="72">
      <formula>#REF!=3</formula>
    </cfRule>
  </conditionalFormatting>
  <conditionalFormatting sqref="G60:K60">
    <cfRule type="expression" dxfId="47" priority="64">
      <formula>#REF!=1</formula>
    </cfRule>
    <cfRule type="expression" dxfId="46" priority="65">
      <formula>#REF!=2</formula>
    </cfRule>
    <cfRule type="expression" dxfId="45" priority="66">
      <formula>#REF!=3</formula>
    </cfRule>
  </conditionalFormatting>
  <conditionalFormatting sqref="G61">
    <cfRule type="expression" dxfId="44" priority="61">
      <formula>#REF!=1</formula>
    </cfRule>
    <cfRule type="expression" dxfId="43" priority="62">
      <formula>#REF!=2</formula>
    </cfRule>
    <cfRule type="expression" dxfId="42" priority="63">
      <formula>#REF!=3</formula>
    </cfRule>
  </conditionalFormatting>
  <conditionalFormatting sqref="G62:K62">
    <cfRule type="expression" dxfId="41" priority="58">
      <formula>#REF!=1</formula>
    </cfRule>
    <cfRule type="expression" dxfId="40" priority="59">
      <formula>#REF!=2</formula>
    </cfRule>
    <cfRule type="expression" dxfId="39" priority="60">
      <formula>#REF!=3</formula>
    </cfRule>
  </conditionalFormatting>
  <conditionalFormatting sqref="H52">
    <cfRule type="expression" dxfId="38" priority="55">
      <formula>#REF!=1</formula>
    </cfRule>
    <cfRule type="expression" dxfId="37" priority="56">
      <formula>#REF!=2</formula>
    </cfRule>
    <cfRule type="expression" dxfId="36" priority="57">
      <formula>#REF!=3</formula>
    </cfRule>
  </conditionalFormatting>
  <conditionalFormatting sqref="I52">
    <cfRule type="expression" dxfId="35" priority="52">
      <formula>#REF!=1</formula>
    </cfRule>
    <cfRule type="expression" dxfId="34" priority="53">
      <formula>#REF!=2</formula>
    </cfRule>
    <cfRule type="expression" dxfId="33" priority="54">
      <formula>#REF!=3</formula>
    </cfRule>
  </conditionalFormatting>
  <conditionalFormatting sqref="J52">
    <cfRule type="expression" dxfId="32" priority="49">
      <formula>#REF!=1</formula>
    </cfRule>
    <cfRule type="expression" dxfId="31" priority="50">
      <formula>#REF!=2</formula>
    </cfRule>
    <cfRule type="expression" dxfId="30" priority="51">
      <formula>#REF!=3</formula>
    </cfRule>
  </conditionalFormatting>
  <conditionalFormatting sqref="K52">
    <cfRule type="expression" dxfId="29" priority="46">
      <formula>#REF!=1</formula>
    </cfRule>
    <cfRule type="expression" dxfId="28" priority="47">
      <formula>#REF!=2</formula>
    </cfRule>
    <cfRule type="expression" dxfId="27" priority="48">
      <formula>#REF!=3</formula>
    </cfRule>
  </conditionalFormatting>
  <conditionalFormatting sqref="G66">
    <cfRule type="expression" dxfId="26" priority="43">
      <formula>#REF!=1</formula>
    </cfRule>
    <cfRule type="expression" dxfId="25" priority="44">
      <formula>#REF!=2</formula>
    </cfRule>
    <cfRule type="expression" dxfId="24" priority="45">
      <formula>#REF!=3</formula>
    </cfRule>
  </conditionalFormatting>
  <conditionalFormatting sqref="H66">
    <cfRule type="expression" dxfId="23" priority="40">
      <formula>#REF!=1</formula>
    </cfRule>
    <cfRule type="expression" dxfId="22" priority="41">
      <formula>#REF!=2</formula>
    </cfRule>
    <cfRule type="expression" dxfId="21" priority="42">
      <formula>#REF!=3</formula>
    </cfRule>
  </conditionalFormatting>
  <conditionalFormatting sqref="I66">
    <cfRule type="expression" dxfId="20" priority="37">
      <formula>#REF!=1</formula>
    </cfRule>
    <cfRule type="expression" dxfId="19" priority="38">
      <formula>#REF!=2</formula>
    </cfRule>
    <cfRule type="expression" dxfId="18" priority="39">
      <formula>#REF!=3</formula>
    </cfRule>
  </conditionalFormatting>
  <conditionalFormatting sqref="J66">
    <cfRule type="expression" dxfId="17" priority="34">
      <formula>#REF!=1</formula>
    </cfRule>
    <cfRule type="expression" dxfId="16" priority="35">
      <formula>#REF!=2</formula>
    </cfRule>
    <cfRule type="expression" dxfId="15" priority="36">
      <formula>#REF!=3</formula>
    </cfRule>
  </conditionalFormatting>
  <conditionalFormatting sqref="K66">
    <cfRule type="expression" dxfId="14" priority="31">
      <formula>#REF!=1</formula>
    </cfRule>
    <cfRule type="expression" dxfId="13" priority="32">
      <formula>#REF!=2</formula>
    </cfRule>
    <cfRule type="expression" dxfId="12" priority="33">
      <formula>#REF!=3</formula>
    </cfRule>
  </conditionalFormatting>
  <conditionalFormatting sqref="H59">
    <cfRule type="expression" dxfId="11" priority="28">
      <formula>#REF!=1</formula>
    </cfRule>
    <cfRule type="expression" dxfId="10" priority="29">
      <formula>#REF!=2</formula>
    </cfRule>
    <cfRule type="expression" dxfId="9" priority="30">
      <formula>#REF!=3</formula>
    </cfRule>
  </conditionalFormatting>
  <conditionalFormatting sqref="I59">
    <cfRule type="expression" dxfId="8" priority="25">
      <formula>#REF!=1</formula>
    </cfRule>
    <cfRule type="expression" dxfId="7" priority="26">
      <formula>#REF!=2</formula>
    </cfRule>
    <cfRule type="expression" dxfId="6" priority="27">
      <formula>#REF!=3</formula>
    </cfRule>
  </conditionalFormatting>
  <conditionalFormatting sqref="J59">
    <cfRule type="expression" dxfId="5" priority="22">
      <formula>#REF!=1</formula>
    </cfRule>
    <cfRule type="expression" dxfId="4" priority="23">
      <formula>#REF!=2</formula>
    </cfRule>
    <cfRule type="expression" dxfId="3" priority="24">
      <formula>#REF!=3</formula>
    </cfRule>
  </conditionalFormatting>
  <conditionalFormatting sqref="K59">
    <cfRule type="expression" dxfId="2" priority="19">
      <formula>#REF!=1</formula>
    </cfRule>
    <cfRule type="expression" dxfId="1" priority="20">
      <formula>#REF!=2</formula>
    </cfRule>
    <cfRule type="expression" dxfId="0" priority="21">
      <formula>#REF!=3</formula>
    </cfRule>
  </conditionalFormatting>
  <hyperlinks>
    <hyperlink ref="M14" r:id="rId1" xr:uid="{FCE234EF-D69F-4E9A-B1C9-233C6B64A102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32</vt:i4>
      </vt:variant>
    </vt:vector>
  </HeadingPairs>
  <TitlesOfParts>
    <vt:vector size="39" baseType="lpstr">
      <vt:lpstr>Start-Up Budget - Actual</vt:lpstr>
      <vt:lpstr>5 YR Budget</vt:lpstr>
      <vt:lpstr>Enrollment and Demographics</vt:lpstr>
      <vt:lpstr>Position Control (Staffing)</vt:lpstr>
      <vt:lpstr>State &amp; Fed Rev</vt:lpstr>
      <vt:lpstr>Local &amp; Pvt Rev</vt:lpstr>
      <vt:lpstr>Expense Assumptions</vt:lpstr>
      <vt:lpstr>Expense_Assump</vt:lpstr>
      <vt:lpstr>Expense_Assumpo</vt:lpstr>
      <vt:lpstr>'5 YR Budget'!Print_Area</vt:lpstr>
      <vt:lpstr>'Enrollment and Demographics'!Print_Area</vt:lpstr>
      <vt:lpstr>'Position Control (Staffing)'!Print_Area</vt:lpstr>
      <vt:lpstr>'Start-Up Budget - Actual'!Print_Area</vt:lpstr>
      <vt:lpstr>'State &amp; Fed Rev'!Print_Area</vt:lpstr>
      <vt:lpstr>'5 YR Budget'!Print_Titles</vt:lpstr>
      <vt:lpstr>'Position Control (Staffing)'!Print_Titles</vt:lpstr>
      <vt:lpstr>'Start-Up Budget - Actual'!Print_Titles</vt:lpstr>
      <vt:lpstr>X_Apportionment_Apr</vt:lpstr>
      <vt:lpstr>X_Apportionment_Aug</vt:lpstr>
      <vt:lpstr>X_Apportionment_Dec</vt:lpstr>
      <vt:lpstr>X_Apportionment_Feb</vt:lpstr>
      <vt:lpstr>X_Apportionment_Jan</vt:lpstr>
      <vt:lpstr>X_Apportionment_JuL</vt:lpstr>
      <vt:lpstr>X_Apportionment_Jun</vt:lpstr>
      <vt:lpstr>X_Apportionment_Mar</vt:lpstr>
      <vt:lpstr>X_Apportionment_May</vt:lpstr>
      <vt:lpstr>X_Apportionment_Nov</vt:lpstr>
      <vt:lpstr>X_Apportionment_Oct</vt:lpstr>
      <vt:lpstr>X_Apportionment_Sep</vt:lpstr>
      <vt:lpstr>X_Assumptions</vt:lpstr>
      <vt:lpstr>X_Enrollment</vt:lpstr>
      <vt:lpstr>X_Staffing_YR1_FTE</vt:lpstr>
      <vt:lpstr>X_Staffing_YR2_FTE</vt:lpstr>
      <vt:lpstr>X_Staffing_YR3_FTE</vt:lpstr>
      <vt:lpstr>X_Staffing_YR4_FTE</vt:lpstr>
      <vt:lpstr>X_Staffing_YR5_FTE</vt:lpstr>
      <vt:lpstr>X_StaffingCategories</vt:lpstr>
      <vt:lpstr>X_StaffingRaises</vt:lpstr>
      <vt:lpstr>X_Years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2021-02-11T16:28:31Z</dcterms:created>
  <dcterms:modified xsi:type="dcterms:W3CDTF">2021-03-12T18:23:49Z</dcterms:modified>
</cp:coreProperties>
</file>