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13_ncr:1_{382A6CF1-4BEA-4B62-A34B-C4300D8F7E64}" xr6:coauthVersionLast="47" xr6:coauthVersionMax="47" xr10:uidLastSave="{00000000-0000-0000-0000-000000000000}"/>
  <bookViews>
    <workbookView xWindow="-98" yWindow="-98" windowWidth="22695" windowHeight="14595" activeTab="2" xr2:uid="{00000000-000D-0000-FFFF-FFFF00000000}"/>
  </bookViews>
  <sheets>
    <sheet name="Balance Sheet" sheetId="2" r:id="rId1"/>
    <sheet name="Profit and Loss" sheetId="3" r:id="rId2"/>
    <sheet name="Budget vs. Actuals" sheetId="1" r:id="rId3"/>
    <sheet name="Statement of Cash Flows" sheetId="4" r:id="rId4"/>
    <sheet name="Check Detai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C7" i="4"/>
  <c r="D7" i="4"/>
  <c r="D8" i="4"/>
  <c r="C9" i="4"/>
  <c r="D9" i="4"/>
  <c r="B10" i="4"/>
  <c r="D10" i="4" s="1"/>
  <c r="C10" i="4"/>
  <c r="C11" i="4"/>
  <c r="D11" i="4"/>
  <c r="C12" i="4"/>
  <c r="D12" i="4" s="1"/>
  <c r="B13" i="4"/>
  <c r="C13" i="4"/>
  <c r="D13" i="4"/>
  <c r="B14" i="4"/>
  <c r="C14" i="4"/>
  <c r="D14" i="4"/>
  <c r="B15" i="4"/>
  <c r="D15" i="4" s="1"/>
  <c r="C15" i="4"/>
  <c r="B16" i="4"/>
  <c r="D16" i="4" s="1"/>
  <c r="C16" i="4"/>
  <c r="B17" i="4"/>
  <c r="C17" i="4"/>
  <c r="D17" i="4"/>
  <c r="B18" i="4"/>
  <c r="C18" i="4"/>
  <c r="D18" i="4"/>
  <c r="B19" i="4"/>
  <c r="D19" i="4" s="1"/>
  <c r="C19" i="4"/>
  <c r="B20" i="4"/>
  <c r="D20" i="4" s="1"/>
  <c r="C20" i="4"/>
  <c r="B21" i="4"/>
  <c r="D21" i="4"/>
  <c r="B22" i="4"/>
  <c r="D22" i="4" s="1"/>
  <c r="C22" i="4"/>
  <c r="C23" i="4"/>
  <c r="C24" i="4" s="1"/>
  <c r="C28" i="4" s="1"/>
  <c r="B26" i="4"/>
  <c r="C26" i="4"/>
  <c r="C27" i="4" s="1"/>
  <c r="D26" i="4"/>
  <c r="B27" i="4"/>
  <c r="D27" i="4" s="1"/>
  <c r="D7" i="3"/>
  <c r="B8" i="3"/>
  <c r="C8" i="3"/>
  <c r="D8" i="3"/>
  <c r="B9" i="3"/>
  <c r="D9" i="3" s="1"/>
  <c r="C9" i="3"/>
  <c r="C10" i="3"/>
  <c r="D10" i="3" s="1"/>
  <c r="B11" i="3"/>
  <c r="C11" i="3"/>
  <c r="D11" i="3"/>
  <c r="C12" i="3"/>
  <c r="D12" i="3" s="1"/>
  <c r="B13" i="3"/>
  <c r="C13" i="3"/>
  <c r="D13" i="3" s="1"/>
  <c r="B14" i="3"/>
  <c r="C14" i="3"/>
  <c r="D14" i="3"/>
  <c r="B15" i="3"/>
  <c r="B16" i="3"/>
  <c r="D19" i="3"/>
  <c r="B20" i="3"/>
  <c r="C20" i="3"/>
  <c r="D20" i="3" s="1"/>
  <c r="C21" i="3"/>
  <c r="D21" i="3"/>
  <c r="B22" i="3"/>
  <c r="B33" i="3" s="1"/>
  <c r="C22" i="3"/>
  <c r="B23" i="3"/>
  <c r="C23" i="3"/>
  <c r="D23" i="3" s="1"/>
  <c r="B24" i="3"/>
  <c r="C24" i="3"/>
  <c r="D24" i="3"/>
  <c r="B25" i="3"/>
  <c r="D25" i="3" s="1"/>
  <c r="C25" i="3"/>
  <c r="B26" i="3"/>
  <c r="D26" i="3" s="1"/>
  <c r="C26" i="3"/>
  <c r="C27" i="3"/>
  <c r="D27" i="3"/>
  <c r="B28" i="3"/>
  <c r="D28" i="3" s="1"/>
  <c r="B29" i="3"/>
  <c r="C29" i="3"/>
  <c r="D29" i="3" s="1"/>
  <c r="C30" i="3"/>
  <c r="D30" i="3"/>
  <c r="B31" i="3"/>
  <c r="D31" i="3" s="1"/>
  <c r="C31" i="3"/>
  <c r="C32" i="3"/>
  <c r="D32" i="3"/>
  <c r="D34" i="3"/>
  <c r="B35" i="3"/>
  <c r="D35" i="3" s="1"/>
  <c r="C35" i="3"/>
  <c r="B36" i="3"/>
  <c r="B42" i="3" s="1"/>
  <c r="C36" i="3"/>
  <c r="B37" i="3"/>
  <c r="C37" i="3"/>
  <c r="D37" i="3" s="1"/>
  <c r="B38" i="3"/>
  <c r="C38" i="3"/>
  <c r="D38" i="3"/>
  <c r="B39" i="3"/>
  <c r="D39" i="3" s="1"/>
  <c r="C39" i="3"/>
  <c r="B40" i="3"/>
  <c r="D40" i="3" s="1"/>
  <c r="C40" i="3"/>
  <c r="B41" i="3"/>
  <c r="D41" i="3"/>
  <c r="D43" i="3"/>
  <c r="C44" i="3"/>
  <c r="D44" i="3"/>
  <c r="B45" i="3"/>
  <c r="C45" i="3"/>
  <c r="D45" i="3" s="1"/>
  <c r="D46" i="3"/>
  <c r="B47" i="3"/>
  <c r="C47" i="3"/>
  <c r="D47" i="3" s="1"/>
  <c r="B48" i="3"/>
  <c r="B51" i="3" s="1"/>
  <c r="D51" i="3" s="1"/>
  <c r="C48" i="3"/>
  <c r="D48" i="3"/>
  <c r="B49" i="3"/>
  <c r="D49" i="3" s="1"/>
  <c r="C49" i="3"/>
  <c r="B50" i="3"/>
  <c r="D50" i="3" s="1"/>
  <c r="C50" i="3"/>
  <c r="C51" i="3"/>
  <c r="D52" i="3"/>
  <c r="B53" i="3"/>
  <c r="C53" i="3"/>
  <c r="D53" i="3" s="1"/>
  <c r="B54" i="3"/>
  <c r="C54" i="3"/>
  <c r="D54" i="3"/>
  <c r="B55" i="3"/>
  <c r="D55" i="3" s="1"/>
  <c r="C55" i="3"/>
  <c r="B56" i="3"/>
  <c r="D56" i="3" s="1"/>
  <c r="C56" i="3"/>
  <c r="B57" i="3"/>
  <c r="C57" i="3"/>
  <c r="D57" i="3" s="1"/>
  <c r="B58" i="3"/>
  <c r="C58" i="3"/>
  <c r="D58" i="3"/>
  <c r="B59" i="3"/>
  <c r="D59" i="3" s="1"/>
  <c r="C59" i="3"/>
  <c r="B60" i="3"/>
  <c r="D60" i="3" s="1"/>
  <c r="C60" i="3"/>
  <c r="B61" i="3"/>
  <c r="D61" i="3"/>
  <c r="B62" i="3"/>
  <c r="D62" i="3"/>
  <c r="B63" i="3"/>
  <c r="C63" i="3"/>
  <c r="D63" i="3" s="1"/>
  <c r="D65" i="3"/>
  <c r="B66" i="3"/>
  <c r="C66" i="3"/>
  <c r="D66" i="3"/>
  <c r="B67" i="3"/>
  <c r="D67" i="3" s="1"/>
  <c r="C67" i="3"/>
  <c r="C76" i="3" s="1"/>
  <c r="B68" i="3"/>
  <c r="D68" i="3" s="1"/>
  <c r="C68" i="3"/>
  <c r="B69" i="3"/>
  <c r="D69" i="3"/>
  <c r="B70" i="3"/>
  <c r="D70" i="3" s="1"/>
  <c r="C70" i="3"/>
  <c r="B71" i="3"/>
  <c r="D71" i="3" s="1"/>
  <c r="C71" i="3"/>
  <c r="B72" i="3"/>
  <c r="C72" i="3"/>
  <c r="D72" i="3" s="1"/>
  <c r="B73" i="3"/>
  <c r="C73" i="3"/>
  <c r="D73" i="3"/>
  <c r="B74" i="3"/>
  <c r="D74" i="3"/>
  <c r="B75" i="3"/>
  <c r="C75" i="3"/>
  <c r="D75" i="3" s="1"/>
  <c r="D77" i="3"/>
  <c r="B78" i="3"/>
  <c r="B85" i="3" s="1"/>
  <c r="D85" i="3" s="1"/>
  <c r="C78" i="3"/>
  <c r="D78" i="3"/>
  <c r="B79" i="3"/>
  <c r="D79" i="3" s="1"/>
  <c r="C79" i="3"/>
  <c r="B80" i="3"/>
  <c r="D80" i="3" s="1"/>
  <c r="C80" i="3"/>
  <c r="B81" i="3"/>
  <c r="C81" i="3"/>
  <c r="D81" i="3" s="1"/>
  <c r="B82" i="3"/>
  <c r="C82" i="3"/>
  <c r="D82" i="3"/>
  <c r="B83" i="3"/>
  <c r="D83" i="3" s="1"/>
  <c r="C83" i="3"/>
  <c r="B84" i="3"/>
  <c r="D84" i="3" s="1"/>
  <c r="C84" i="3"/>
  <c r="C85" i="3"/>
  <c r="D86" i="3"/>
  <c r="B87" i="3"/>
  <c r="C87" i="3"/>
  <c r="D87" i="3" s="1"/>
  <c r="B88" i="3"/>
  <c r="B105" i="3" s="1"/>
  <c r="D105" i="3" s="1"/>
  <c r="C88" i="3"/>
  <c r="D88" i="3"/>
  <c r="B89" i="3"/>
  <c r="D89" i="3" s="1"/>
  <c r="C89" i="3"/>
  <c r="B90" i="3"/>
  <c r="D90" i="3" s="1"/>
  <c r="C90" i="3"/>
  <c r="B91" i="3"/>
  <c r="C91" i="3"/>
  <c r="D91" i="3" s="1"/>
  <c r="B92" i="3"/>
  <c r="C92" i="3"/>
  <c r="D92" i="3"/>
  <c r="B93" i="3"/>
  <c r="D93" i="3" s="1"/>
  <c r="C93" i="3"/>
  <c r="B94" i="3"/>
  <c r="D94" i="3" s="1"/>
  <c r="C94" i="3"/>
  <c r="B95" i="3"/>
  <c r="C95" i="3"/>
  <c r="D95" i="3" s="1"/>
  <c r="B96" i="3"/>
  <c r="C96" i="3"/>
  <c r="D96" i="3"/>
  <c r="B97" i="3"/>
  <c r="D97" i="3" s="1"/>
  <c r="C97" i="3"/>
  <c r="B98" i="3"/>
  <c r="D98" i="3" s="1"/>
  <c r="C98" i="3"/>
  <c r="B99" i="3"/>
  <c r="D99" i="3"/>
  <c r="B100" i="3"/>
  <c r="D100" i="3" s="1"/>
  <c r="C100" i="3"/>
  <c r="B101" i="3"/>
  <c r="D101" i="3" s="1"/>
  <c r="C101" i="3"/>
  <c r="B102" i="3"/>
  <c r="C102" i="3"/>
  <c r="D102" i="3" s="1"/>
  <c r="C103" i="3"/>
  <c r="D103" i="3" s="1"/>
  <c r="B104" i="3"/>
  <c r="D104" i="3" s="1"/>
  <c r="C104" i="3"/>
  <c r="C105" i="3"/>
  <c r="D106" i="3"/>
  <c r="B107" i="3"/>
  <c r="D107" i="3"/>
  <c r="B108" i="3"/>
  <c r="D108" i="3" s="1"/>
  <c r="C108" i="3"/>
  <c r="D109" i="3"/>
  <c r="B110" i="3"/>
  <c r="D110" i="3" s="1"/>
  <c r="C110" i="3"/>
  <c r="B111" i="3"/>
  <c r="D111" i="3" s="1"/>
  <c r="C111" i="3"/>
  <c r="C112" i="3"/>
  <c r="D112" i="3"/>
  <c r="C113" i="3"/>
  <c r="D113" i="3"/>
  <c r="C114" i="3"/>
  <c r="D115" i="3"/>
  <c r="B116" i="3"/>
  <c r="C116" i="3"/>
  <c r="D116" i="3" s="1"/>
  <c r="B117" i="3"/>
  <c r="C117" i="3"/>
  <c r="D117" i="3"/>
  <c r="B118" i="3"/>
  <c r="D118" i="3" s="1"/>
  <c r="C118" i="3"/>
  <c r="B119" i="3"/>
  <c r="D119" i="3" s="1"/>
  <c r="C119" i="3"/>
  <c r="B120" i="3"/>
  <c r="C120" i="3"/>
  <c r="D120" i="3" s="1"/>
  <c r="C121" i="3"/>
  <c r="D121" i="3" s="1"/>
  <c r="B122" i="3"/>
  <c r="D122" i="3" s="1"/>
  <c r="C122" i="3"/>
  <c r="B123" i="3"/>
  <c r="C123" i="3"/>
  <c r="D123" i="3" s="1"/>
  <c r="B124" i="3"/>
  <c r="C124" i="3"/>
  <c r="D124" i="3"/>
  <c r="B125" i="3"/>
  <c r="D125" i="3" s="1"/>
  <c r="C125" i="3"/>
  <c r="B126" i="3"/>
  <c r="D127" i="3"/>
  <c r="B128" i="3"/>
  <c r="D128" i="3" s="1"/>
  <c r="C128" i="3"/>
  <c r="C129" i="3"/>
  <c r="B9" i="2"/>
  <c r="B10" i="2"/>
  <c r="B11" i="2"/>
  <c r="B12" i="2"/>
  <c r="B13" i="2"/>
  <c r="B14" i="2"/>
  <c r="B15" i="2"/>
  <c r="B16" i="2"/>
  <c r="B18" i="2"/>
  <c r="B19" i="2"/>
  <c r="B21" i="2"/>
  <c r="B22" i="2"/>
  <c r="B24" i="2" s="1"/>
  <c r="B23" i="2"/>
  <c r="B27" i="2"/>
  <c r="B39" i="2" s="1"/>
  <c r="B28" i="2"/>
  <c r="B29" i="2"/>
  <c r="B30" i="2"/>
  <c r="B31" i="2"/>
  <c r="B32" i="2"/>
  <c r="B34" i="2"/>
  <c r="B35" i="2"/>
  <c r="B36" i="2"/>
  <c r="B37" i="2"/>
  <c r="B38" i="2"/>
  <c r="B41" i="2"/>
  <c r="B44" i="2" s="1"/>
  <c r="B42" i="2"/>
  <c r="B43" i="2"/>
  <c r="B50" i="2"/>
  <c r="B51" i="2"/>
  <c r="B52" i="2"/>
  <c r="B53" i="2"/>
  <c r="B60" i="2" s="1"/>
  <c r="B67" i="2" s="1"/>
  <c r="B72" i="2" s="1"/>
  <c r="B80" i="2" s="1"/>
  <c r="B54" i="2"/>
  <c r="B55" i="2"/>
  <c r="B56" i="2"/>
  <c r="B57" i="2"/>
  <c r="B58" i="2"/>
  <c r="B59" i="2"/>
  <c r="B62" i="2"/>
  <c r="B63" i="2" s="1"/>
  <c r="B65" i="2"/>
  <c r="B66" i="2"/>
  <c r="B69" i="2"/>
  <c r="B70" i="2"/>
  <c r="B71" i="2"/>
  <c r="B74" i="2"/>
  <c r="B75" i="2"/>
  <c r="B76" i="2"/>
  <c r="B79" i="2" s="1"/>
  <c r="B77" i="2"/>
  <c r="B78" i="2"/>
  <c r="F40" i="1"/>
  <c r="F41" i="1" s="1"/>
  <c r="C40" i="1"/>
  <c r="E40" i="1" s="1"/>
  <c r="B40" i="1"/>
  <c r="J40" i="1" s="1"/>
  <c r="J39" i="1"/>
  <c r="G39" i="1"/>
  <c r="I39" i="1" s="1"/>
  <c r="E39" i="1"/>
  <c r="C39" i="1"/>
  <c r="D39" i="1" s="1"/>
  <c r="I35" i="1"/>
  <c r="H35" i="1"/>
  <c r="G35" i="1"/>
  <c r="F35" i="1"/>
  <c r="E35" i="1"/>
  <c r="D35" i="1"/>
  <c r="C35" i="1"/>
  <c r="K35" i="1" s="1"/>
  <c r="B35" i="1"/>
  <c r="J35" i="1" s="1"/>
  <c r="L35" i="1" s="1"/>
  <c r="I34" i="1"/>
  <c r="H34" i="1"/>
  <c r="G34" i="1"/>
  <c r="F34" i="1"/>
  <c r="E34" i="1"/>
  <c r="D34" i="1"/>
  <c r="C34" i="1"/>
  <c r="K34" i="1" s="1"/>
  <c r="B34" i="1"/>
  <c r="J34" i="1" s="1"/>
  <c r="L34" i="1" s="1"/>
  <c r="I33" i="1"/>
  <c r="H33" i="1"/>
  <c r="G33" i="1"/>
  <c r="F33" i="1"/>
  <c r="E33" i="1"/>
  <c r="D33" i="1"/>
  <c r="C33" i="1"/>
  <c r="K33" i="1" s="1"/>
  <c r="B33" i="1"/>
  <c r="J33" i="1" s="1"/>
  <c r="L33" i="1" s="1"/>
  <c r="I32" i="1"/>
  <c r="H32" i="1"/>
  <c r="G32" i="1"/>
  <c r="C32" i="1"/>
  <c r="K32" i="1" s="1"/>
  <c r="B32" i="1"/>
  <c r="J32" i="1" s="1"/>
  <c r="L32" i="1" s="1"/>
  <c r="G31" i="1"/>
  <c r="H31" i="1" s="1"/>
  <c r="F31" i="1"/>
  <c r="C31" i="1"/>
  <c r="E31" i="1" s="1"/>
  <c r="B31" i="1"/>
  <c r="J31" i="1" s="1"/>
  <c r="G30" i="1"/>
  <c r="H30" i="1" s="1"/>
  <c r="F30" i="1"/>
  <c r="C30" i="1"/>
  <c r="K30" i="1" s="1"/>
  <c r="B30" i="1"/>
  <c r="J30" i="1" s="1"/>
  <c r="L30" i="1" s="1"/>
  <c r="G29" i="1"/>
  <c r="I29" i="1" s="1"/>
  <c r="F29" i="1"/>
  <c r="C29" i="1"/>
  <c r="D29" i="1" s="1"/>
  <c r="B29" i="1"/>
  <c r="J29" i="1" s="1"/>
  <c r="G28" i="1"/>
  <c r="H28" i="1" s="1"/>
  <c r="F28" i="1"/>
  <c r="C28" i="1"/>
  <c r="E28" i="1" s="1"/>
  <c r="B28" i="1"/>
  <c r="J28" i="1" s="1"/>
  <c r="G27" i="1"/>
  <c r="I27" i="1" s="1"/>
  <c r="F27" i="1"/>
  <c r="C27" i="1"/>
  <c r="D27" i="1" s="1"/>
  <c r="B27" i="1"/>
  <c r="J27" i="1" s="1"/>
  <c r="G26" i="1"/>
  <c r="H26" i="1" s="1"/>
  <c r="F26" i="1"/>
  <c r="J26" i="1" s="1"/>
  <c r="C26" i="1"/>
  <c r="E26" i="1" s="1"/>
  <c r="J25" i="1"/>
  <c r="G25" i="1"/>
  <c r="I25" i="1" s="1"/>
  <c r="E25" i="1"/>
  <c r="D25" i="1"/>
  <c r="C25" i="1"/>
  <c r="I24" i="1"/>
  <c r="H24" i="1"/>
  <c r="G24" i="1"/>
  <c r="F24" i="1"/>
  <c r="E24" i="1"/>
  <c r="D24" i="1"/>
  <c r="C24" i="1"/>
  <c r="K24" i="1" s="1"/>
  <c r="B24" i="1"/>
  <c r="J24" i="1" s="1"/>
  <c r="L24" i="1" s="1"/>
  <c r="I23" i="1"/>
  <c r="H23" i="1"/>
  <c r="G23" i="1"/>
  <c r="G36" i="1" s="1"/>
  <c r="F23" i="1"/>
  <c r="F36" i="1" s="1"/>
  <c r="E23" i="1"/>
  <c r="D23" i="1"/>
  <c r="C23" i="1"/>
  <c r="C36" i="1" s="1"/>
  <c r="B23" i="1"/>
  <c r="B36" i="1" s="1"/>
  <c r="J18" i="1"/>
  <c r="G18" i="1"/>
  <c r="C18" i="1"/>
  <c r="E18" i="1" s="1"/>
  <c r="I17" i="1"/>
  <c r="G17" i="1"/>
  <c r="F17" i="1"/>
  <c r="H17" i="1" s="1"/>
  <c r="C17" i="1"/>
  <c r="K17" i="1" s="1"/>
  <c r="M17" i="1" s="1"/>
  <c r="B17" i="1"/>
  <c r="I16" i="1"/>
  <c r="G16" i="1"/>
  <c r="F16" i="1"/>
  <c r="H16" i="1" s="1"/>
  <c r="C16" i="1"/>
  <c r="K16" i="1" s="1"/>
  <c r="B16" i="1"/>
  <c r="G15" i="1"/>
  <c r="F15" i="1"/>
  <c r="H15" i="1" s="1"/>
  <c r="D15" i="1"/>
  <c r="C15" i="1"/>
  <c r="K15" i="1" s="1"/>
  <c r="M14" i="1"/>
  <c r="K14" i="1"/>
  <c r="I14" i="1"/>
  <c r="F14" i="1"/>
  <c r="H14" i="1" s="1"/>
  <c r="E14" i="1"/>
  <c r="B14" i="1"/>
  <c r="K13" i="1"/>
  <c r="M13" i="1" s="1"/>
  <c r="J13" i="1"/>
  <c r="L13" i="1" s="1"/>
  <c r="I13" i="1"/>
  <c r="F13" i="1"/>
  <c r="H13" i="1" s="1"/>
  <c r="E13" i="1"/>
  <c r="D13" i="1"/>
  <c r="G12" i="1"/>
  <c r="F12" i="1"/>
  <c r="C12" i="1"/>
  <c r="B12" i="1"/>
  <c r="J12" i="1" s="1"/>
  <c r="G11" i="1"/>
  <c r="F11" i="1"/>
  <c r="C11" i="1"/>
  <c r="K11" i="1" s="1"/>
  <c r="B11" i="1"/>
  <c r="J10" i="1"/>
  <c r="G10" i="1"/>
  <c r="C10" i="1"/>
  <c r="E10" i="1" s="1"/>
  <c r="J9" i="1"/>
  <c r="G9" i="1"/>
  <c r="I9" i="1" s="1"/>
  <c r="E9" i="1"/>
  <c r="C9" i="1"/>
  <c r="K8" i="1"/>
  <c r="J8" i="1"/>
  <c r="I8" i="1"/>
  <c r="H8" i="1"/>
  <c r="E8" i="1"/>
  <c r="D8" i="1"/>
  <c r="B23" i="4" l="1"/>
  <c r="D126" i="3"/>
  <c r="B129" i="3"/>
  <c r="D129" i="3" s="1"/>
  <c r="B114" i="3"/>
  <c r="D114" i="3" s="1"/>
  <c r="C64" i="3"/>
  <c r="B17" i="3"/>
  <c r="B76" i="3"/>
  <c r="D76" i="3" s="1"/>
  <c r="B64" i="3"/>
  <c r="D64" i="3" s="1"/>
  <c r="C42" i="3"/>
  <c r="D42" i="3" s="1"/>
  <c r="D36" i="3"/>
  <c r="C33" i="3"/>
  <c r="C130" i="3" s="1"/>
  <c r="D22" i="3"/>
  <c r="C15" i="3"/>
  <c r="C16" i="3" s="1"/>
  <c r="C17" i="3" s="1"/>
  <c r="C126" i="3"/>
  <c r="B25" i="2"/>
  <c r="B45" i="2" s="1"/>
  <c r="F37" i="1"/>
  <c r="H36" i="1"/>
  <c r="M24" i="1"/>
  <c r="M30" i="1"/>
  <c r="M32" i="1"/>
  <c r="C37" i="1"/>
  <c r="K36" i="1"/>
  <c r="M36" i="1" s="1"/>
  <c r="E36" i="1"/>
  <c r="M33" i="1"/>
  <c r="M34" i="1"/>
  <c r="M35" i="1"/>
  <c r="B37" i="1"/>
  <c r="J36" i="1"/>
  <c r="D36" i="1"/>
  <c r="G37" i="1"/>
  <c r="I36" i="1"/>
  <c r="K26" i="1"/>
  <c r="M26" i="1" s="1"/>
  <c r="K28" i="1"/>
  <c r="M28" i="1" s="1"/>
  <c r="K29" i="1"/>
  <c r="M29" i="1" s="1"/>
  <c r="K31" i="1"/>
  <c r="M31" i="1" s="1"/>
  <c r="B41" i="1"/>
  <c r="D26" i="1"/>
  <c r="H27" i="1"/>
  <c r="D28" i="1"/>
  <c r="H29" i="1"/>
  <c r="D30" i="1"/>
  <c r="D31" i="1"/>
  <c r="J23" i="1"/>
  <c r="H25" i="1"/>
  <c r="I26" i="1"/>
  <c r="E27" i="1"/>
  <c r="I28" i="1"/>
  <c r="E29" i="1"/>
  <c r="E30" i="1"/>
  <c r="I30" i="1"/>
  <c r="I31" i="1"/>
  <c r="E32" i="1"/>
  <c r="H39" i="1"/>
  <c r="D40" i="1"/>
  <c r="K27" i="1"/>
  <c r="M27" i="1" s="1"/>
  <c r="K25" i="1"/>
  <c r="M25" i="1" s="1"/>
  <c r="D32" i="1"/>
  <c r="K39" i="1"/>
  <c r="M39" i="1" s="1"/>
  <c r="G40" i="1"/>
  <c r="C41" i="1"/>
  <c r="K23" i="1"/>
  <c r="M23" i="1" s="1"/>
  <c r="K9" i="1"/>
  <c r="M9" i="1" s="1"/>
  <c r="H9" i="1"/>
  <c r="F19" i="1"/>
  <c r="K12" i="1"/>
  <c r="M12" i="1" s="1"/>
  <c r="E16" i="1"/>
  <c r="D17" i="1"/>
  <c r="D9" i="1"/>
  <c r="I15" i="1"/>
  <c r="B19" i="1"/>
  <c r="E15" i="1"/>
  <c r="D16" i="1"/>
  <c r="E17" i="1"/>
  <c r="K18" i="1"/>
  <c r="I12" i="1"/>
  <c r="H12" i="1"/>
  <c r="I10" i="1"/>
  <c r="H10" i="1"/>
  <c r="E11" i="1"/>
  <c r="D11" i="1"/>
  <c r="L12" i="1"/>
  <c r="C19" i="1"/>
  <c r="B20" i="1"/>
  <c r="J19" i="1"/>
  <c r="D19" i="1"/>
  <c r="J14" i="1"/>
  <c r="L14" i="1" s="1"/>
  <c r="D14" i="1"/>
  <c r="F20" i="1"/>
  <c r="E12" i="1"/>
  <c r="D12" i="1"/>
  <c r="G19" i="1"/>
  <c r="M18" i="1"/>
  <c r="L18" i="1"/>
  <c r="L9" i="1"/>
  <c r="I18" i="1"/>
  <c r="H18" i="1"/>
  <c r="M8" i="1"/>
  <c r="L8" i="1"/>
  <c r="K10" i="1"/>
  <c r="I11" i="1"/>
  <c r="H11" i="1"/>
  <c r="J15" i="1"/>
  <c r="L15" i="1" s="1"/>
  <c r="J16" i="1"/>
  <c r="L16" i="1" s="1"/>
  <c r="J17" i="1"/>
  <c r="L17" i="1" s="1"/>
  <c r="D10" i="1"/>
  <c r="D18" i="1"/>
  <c r="J11" i="1"/>
  <c r="L11" i="1" s="1"/>
  <c r="D23" i="4" l="1"/>
  <c r="B24" i="4"/>
  <c r="D16" i="3"/>
  <c r="D17" i="3"/>
  <c r="D15" i="3"/>
  <c r="D33" i="3"/>
  <c r="C131" i="3"/>
  <c r="C132" i="3" s="1"/>
  <c r="B130" i="3"/>
  <c r="D130" i="3" s="1"/>
  <c r="E41" i="1"/>
  <c r="I40" i="1"/>
  <c r="G41" i="1"/>
  <c r="I37" i="1"/>
  <c r="L36" i="1"/>
  <c r="K37" i="1"/>
  <c r="M37" i="1" s="1"/>
  <c r="E37" i="1"/>
  <c r="C42" i="1"/>
  <c r="L29" i="1"/>
  <c r="H40" i="1"/>
  <c r="L23" i="1"/>
  <c r="D41" i="1"/>
  <c r="J41" i="1"/>
  <c r="L28" i="1"/>
  <c r="B42" i="1"/>
  <c r="J37" i="1"/>
  <c r="D37" i="1"/>
  <c r="L26" i="1"/>
  <c r="L39" i="1"/>
  <c r="L25" i="1"/>
  <c r="K40" i="1"/>
  <c r="L27" i="1"/>
  <c r="L31" i="1"/>
  <c r="F42" i="1"/>
  <c r="H37" i="1"/>
  <c r="M11" i="1"/>
  <c r="M10" i="1"/>
  <c r="L10" i="1"/>
  <c r="I19" i="1"/>
  <c r="G20" i="1"/>
  <c r="B21" i="1"/>
  <c r="J20" i="1"/>
  <c r="D20" i="1"/>
  <c r="M15" i="1"/>
  <c r="F21" i="1"/>
  <c r="H20" i="1"/>
  <c r="H19" i="1"/>
  <c r="E19" i="1"/>
  <c r="K19" i="1"/>
  <c r="M19" i="1" s="1"/>
  <c r="C20" i="1"/>
  <c r="M16" i="1"/>
  <c r="B28" i="4" l="1"/>
  <c r="D28" i="4" s="1"/>
  <c r="D24" i="4"/>
  <c r="B131" i="3"/>
  <c r="M40" i="1"/>
  <c r="L40" i="1"/>
  <c r="I41" i="1"/>
  <c r="H41" i="1"/>
  <c r="L37" i="1"/>
  <c r="E42" i="1"/>
  <c r="K41" i="1"/>
  <c r="M41" i="1" s="1"/>
  <c r="D42" i="1"/>
  <c r="J42" i="1"/>
  <c r="G42" i="1"/>
  <c r="I42" i="1" s="1"/>
  <c r="K20" i="1"/>
  <c r="M20" i="1" s="1"/>
  <c r="C21" i="1"/>
  <c r="E20" i="1"/>
  <c r="J21" i="1"/>
  <c r="I20" i="1"/>
  <c r="G21" i="1"/>
  <c r="L19" i="1"/>
  <c r="D131" i="3" l="1"/>
  <c r="B132" i="3"/>
  <c r="D132" i="3" s="1"/>
  <c r="L41" i="1"/>
  <c r="H42" i="1"/>
  <c r="K42" i="1"/>
  <c r="M42" i="1" s="1"/>
  <c r="I21" i="1"/>
  <c r="E21" i="1"/>
  <c r="K21" i="1"/>
  <c r="M21" i="1" s="1"/>
  <c r="H21" i="1"/>
  <c r="D21" i="1"/>
  <c r="L20" i="1"/>
  <c r="L42" i="1" l="1"/>
  <c r="L21" i="1"/>
</calcChain>
</file>

<file path=xl/sharedStrings.xml><?xml version="1.0" encoding="utf-8"?>
<sst xmlns="http://schemas.openxmlformats.org/spreadsheetml/2006/main" count="935" uniqueCount="428">
  <si>
    <t>Jul 2021</t>
  </si>
  <si>
    <t>Aug 2021</t>
  </si>
  <si>
    <t>Total</t>
  </si>
  <si>
    <t>Actual</t>
  </si>
  <si>
    <t>Budget</t>
  </si>
  <si>
    <t>over Budget</t>
  </si>
  <si>
    <t>% of Budget</t>
  </si>
  <si>
    <t>Income</t>
  </si>
  <si>
    <t xml:space="preserve">   10-000 Revenues</t>
  </si>
  <si>
    <t xml:space="preserve">      1215 Club Dues</t>
  </si>
  <si>
    <t xml:space="preserve">      1220 Donations</t>
  </si>
  <si>
    <t xml:space="preserve">      1225 Fund raising/Misc. Sales</t>
  </si>
  <si>
    <t xml:space="preserve">      1340 After School Program Revenue</t>
  </si>
  <si>
    <t xml:space="preserve">      1611 Lunch Payments</t>
  </si>
  <si>
    <t xml:space="preserve">      1700 Student Activities</t>
  </si>
  <si>
    <t xml:space="preserve">      1701 Field Trip</t>
  </si>
  <si>
    <t xml:space="preserve">      3120 Total Quality Basic Education F</t>
  </si>
  <si>
    <t xml:space="preserve">      4300 Categorical Grants - Direct from Federal Government</t>
  </si>
  <si>
    <t xml:space="preserve">      4520 DOE Grant Income</t>
  </si>
  <si>
    <t xml:space="preserve">   Total 10-000 Revenues</t>
  </si>
  <si>
    <t>Total Income</t>
  </si>
  <si>
    <t>Gross Profit</t>
  </si>
  <si>
    <t>Expenses</t>
  </si>
  <si>
    <t xml:space="preserve">   10-1000 Instruction</t>
  </si>
  <si>
    <t xml:space="preserve">      100-110 Inst-Teachers</t>
  </si>
  <si>
    <t xml:space="preserve">      100-114 Inst-Subs (Non-Certified)</t>
  </si>
  <si>
    <t xml:space="preserve">      100-140 Inst-Aids and Parapro</t>
  </si>
  <si>
    <t xml:space="preserve">      100-200 Inst- Emp Ins Benefits</t>
  </si>
  <si>
    <t xml:space="preserve">      100-220 Inst-Payroll Tax</t>
  </si>
  <si>
    <t xml:space="preserve">      100-230 Inst-TRS</t>
  </si>
  <si>
    <t xml:space="preserve">      100-250 Inst-Unemployment</t>
  </si>
  <si>
    <t xml:space="preserve">      100-300 INS - Purchased Professional &amp; Tech Service</t>
  </si>
  <si>
    <t xml:space="preserve">      100-609 Inst-Curriculum Material</t>
  </si>
  <si>
    <t xml:space="preserve">      100-610 Inst-Supplies</t>
  </si>
  <si>
    <t xml:space="preserve">      100-611 Supplies Technology</t>
  </si>
  <si>
    <t xml:space="preserve">      100-612 Inst-Software</t>
  </si>
  <si>
    <t xml:space="preserve">      100-615 Inst-Expendable Equip</t>
  </si>
  <si>
    <t xml:space="preserve">   Total 10-1000 Instruction</t>
  </si>
  <si>
    <t xml:space="preserve">   10-2100 Pupil Services</t>
  </si>
  <si>
    <t xml:space="preserve">      210-163 Pupil Services - Nurse</t>
  </si>
  <si>
    <t xml:space="preserve">      210-172 PS-Counselor</t>
  </si>
  <si>
    <t xml:space="preserve">      210-173 PS - Counselor Middle Grades</t>
  </si>
  <si>
    <t xml:space="preserve">      210-200 PS - Employee Benefits</t>
  </si>
  <si>
    <t xml:space="preserve">      210-220 Pupil Services - Payroll Tax</t>
  </si>
  <si>
    <t xml:space="preserve">      210-230 Pupil Services - TRS</t>
  </si>
  <si>
    <t xml:space="preserve">      210-610 PS-Supplies</t>
  </si>
  <si>
    <t xml:space="preserve">   Total 10-2100 Pupil Services</t>
  </si>
  <si>
    <t xml:space="preserve">   10-2210 Improvement of Instruct Service</t>
  </si>
  <si>
    <t xml:space="preserve">   10-2213 Instructional Staff Training</t>
  </si>
  <si>
    <t xml:space="preserve">      213-610 Supplies</t>
  </si>
  <si>
    <t xml:space="preserve">   Total 10-2213 Instructional Staff Training</t>
  </si>
  <si>
    <t xml:space="preserve">   10-2220 Educational Media Services</t>
  </si>
  <si>
    <t xml:space="preserve">      222-165 EMS-Media Specialist</t>
  </si>
  <si>
    <t xml:space="preserve">      222-200 EMS-Employee Benefits</t>
  </si>
  <si>
    <t xml:space="preserve">      222-220 EMS-FICA</t>
  </si>
  <si>
    <t xml:space="preserve">      222-230 EMS Media - TRS</t>
  </si>
  <si>
    <t xml:space="preserve">   Total 10-2220 Educational Media Services</t>
  </si>
  <si>
    <t xml:space="preserve">   10-2300 General Administration</t>
  </si>
  <si>
    <t xml:space="preserve">      230-120 GA - Executive Director</t>
  </si>
  <si>
    <t xml:space="preserve">      230-200 GA - Employee Benefits</t>
  </si>
  <si>
    <t xml:space="preserve">      230-220 GA - Payroll Tax</t>
  </si>
  <si>
    <t xml:space="preserve">      230-230 GA - TRS</t>
  </si>
  <si>
    <t xml:space="preserve">      230-300 GA-Purchased Professional &amp; Tech Services</t>
  </si>
  <si>
    <t xml:space="preserve">      230-332 GA-Background Check &amp; Drug Test</t>
  </si>
  <si>
    <t xml:space="preserve">      230-520 GA-Insurance (Other than benefits)</t>
  </si>
  <si>
    <t xml:space="preserve">      230-532 GA-Commu-Internet</t>
  </si>
  <si>
    <t xml:space="preserve">      230-561 GA - Tuition to Other Georgia LUAs</t>
  </si>
  <si>
    <t xml:space="preserve">      230-810 GA-Dues &amp; Fees</t>
  </si>
  <si>
    <t xml:space="preserve">      230-890 OTHER EXPENDITURES</t>
  </si>
  <si>
    <t xml:space="preserve">   Total 10-2300 General Administration</t>
  </si>
  <si>
    <t xml:space="preserve">   10-2400 School Administration</t>
  </si>
  <si>
    <t xml:space="preserve">      240-130 SA-Director</t>
  </si>
  <si>
    <t xml:space="preserve">      240-131 SA-Assistant Principal</t>
  </si>
  <si>
    <t xml:space="preserve">      240-141 SA - Front Office</t>
  </si>
  <si>
    <t xml:space="preserve">      240-142 SA-Clerical</t>
  </si>
  <si>
    <t xml:space="preserve">      240-200 SA-Employee Benefits</t>
  </si>
  <si>
    <t xml:space="preserve">      240-220 SA-FICA</t>
  </si>
  <si>
    <t xml:space="preserve">      240-230 SA-TRS</t>
  </si>
  <si>
    <t xml:space="preserve">      240-250 SA - ER UI Benefits</t>
  </si>
  <si>
    <t xml:space="preserve">      240-300 SA-Purchases Prof. &amp; Tech Svcs.</t>
  </si>
  <si>
    <t xml:space="preserve">      240-610 SA-Supplies</t>
  </si>
  <si>
    <t xml:space="preserve">   Total 10-2400 School Administration</t>
  </si>
  <si>
    <t xml:space="preserve">   10-2500 Support Services-Business</t>
  </si>
  <si>
    <t xml:space="preserve">      250-142 Support Services - Clerical</t>
  </si>
  <si>
    <t xml:space="preserve">      250-148 SSB-Accountant</t>
  </si>
  <si>
    <t xml:space="preserve">      250-200 SSB-Employee Benefits</t>
  </si>
  <si>
    <t xml:space="preserve">      250-220 Support Services - Payroll Tax</t>
  </si>
  <si>
    <t xml:space="preserve">      250-230 Support Services - TRS</t>
  </si>
  <si>
    <t xml:space="preserve">      250-610 Support Services - Business - Supplies</t>
  </si>
  <si>
    <t xml:space="preserve">      250-810 Support Services - Dues and Fees</t>
  </si>
  <si>
    <t xml:space="preserve">   Total 10-2500 Support Services-Business</t>
  </si>
  <si>
    <t xml:space="preserve">   10-2600 Maint &amp; Oper-Plant Services</t>
  </si>
  <si>
    <t xml:space="preserve">      260-186 MOPS-Custodial</t>
  </si>
  <si>
    <t xml:space="preserve">      260-199 MOPS - Security</t>
  </si>
  <si>
    <t xml:space="preserve">      260-200 MOPS-Employee Benefits</t>
  </si>
  <si>
    <t xml:space="preserve">      260-220 MOPS - Payroll Tax</t>
  </si>
  <si>
    <t xml:space="preserve">      260-230 MOPS - TRS</t>
  </si>
  <si>
    <t xml:space="preserve">      260-250 MOPS - ER UI Benefits</t>
  </si>
  <si>
    <t xml:space="preserve">      260-300 MOPS-Purch. Prof. &amp; Tech Svcs</t>
  </si>
  <si>
    <t xml:space="preserve">      260-410 MOPS-Water, Sewer, Cleaning</t>
  </si>
  <si>
    <t xml:space="preserve">      260-430 MOPS-Repair and Maint. SVcs</t>
  </si>
  <si>
    <t xml:space="preserve">      260-431 MOPS-R&amp;M-Ground</t>
  </si>
  <si>
    <t xml:space="preserve">      260-432 MOPS-R&amp;M-Technology</t>
  </si>
  <si>
    <t xml:space="preserve">      260-441 MOPS - Rental Expense</t>
  </si>
  <si>
    <t xml:space="preserve">      260-490 MOPS-Other Purchased Property Services</t>
  </si>
  <si>
    <t xml:space="preserve">      260-530 MOPS-Communications</t>
  </si>
  <si>
    <t xml:space="preserve">      260-610 MOPS-Supplies</t>
  </si>
  <si>
    <t xml:space="preserve">      260-620 MOPS-Energy</t>
  </si>
  <si>
    <t xml:space="preserve">      260-810 MOPS-Dues and Fees</t>
  </si>
  <si>
    <t xml:space="preserve">      260-990 MOPs Allocation to ECP</t>
  </si>
  <si>
    <t xml:space="preserve">   Total 10-2600 Maint &amp; Oper-Plant Services</t>
  </si>
  <si>
    <t xml:space="preserve">   10-2900 Fundraising Activities-</t>
  </si>
  <si>
    <t xml:space="preserve">      290-610 FD - Supplies</t>
  </si>
  <si>
    <t xml:space="preserve">   Total 10-2900 Fundraising Activities-</t>
  </si>
  <si>
    <t xml:space="preserve">   10-3100 School Nutrition Program</t>
  </si>
  <si>
    <t xml:space="preserve">      310-190 SNP - School Nutrition Director</t>
  </si>
  <si>
    <t xml:space="preserve">      310-220 SNP - Payroll Tax</t>
  </si>
  <si>
    <t xml:space="preserve">      310-300 SNP - Purchased Professional &amp; Technical Services</t>
  </si>
  <si>
    <t xml:space="preserve">      310-630 Purchased Food</t>
  </si>
  <si>
    <t xml:space="preserve">   Total 10-3100 School Nutrition Program</t>
  </si>
  <si>
    <t xml:space="preserve">   10-3300 After School Program</t>
  </si>
  <si>
    <t xml:space="preserve">      330-190 ECP - Manager/Admin</t>
  </si>
  <si>
    <t xml:space="preserve">      330-191 ECP - PT Staff</t>
  </si>
  <si>
    <t xml:space="preserve">      330-200 ASP-ER Ins Benefits</t>
  </si>
  <si>
    <t xml:space="preserve">      330-220 ASP - FICA</t>
  </si>
  <si>
    <t xml:space="preserve">      330-250 ECP - ER UI Benefits</t>
  </si>
  <si>
    <t xml:space="preserve">      330-300 Enrichments</t>
  </si>
  <si>
    <t xml:space="preserve">      330-301 ASP - Other Purchased Services</t>
  </si>
  <si>
    <t xml:space="preserve">      330-610 ASP - Supplies</t>
  </si>
  <si>
    <t xml:space="preserve">      330-810 Community Services Operations - Dues and Fees</t>
  </si>
  <si>
    <t xml:space="preserve">      330-990 ASP Operations-Other</t>
  </si>
  <si>
    <t xml:space="preserve">   Total 10-3300 After School Program</t>
  </si>
  <si>
    <t xml:space="preserve">   10-5100 Debt Services</t>
  </si>
  <si>
    <t xml:space="preserve">      510-830 DS-Interest</t>
  </si>
  <si>
    <t xml:space="preserve">   Total 10-5100 Debt Services</t>
  </si>
  <si>
    <t>Total Expenses</t>
  </si>
  <si>
    <t>Net Operating Income</t>
  </si>
  <si>
    <t>Other Expenses</t>
  </si>
  <si>
    <t xml:space="preserve">   Reconciliation Discrepancies</t>
  </si>
  <si>
    <t>Total Other Expenses</t>
  </si>
  <si>
    <t>Net Other Income</t>
  </si>
  <si>
    <t>Net Income</t>
  </si>
  <si>
    <t>The GLOBE Academy</t>
  </si>
  <si>
    <t xml:space="preserve">Budget vs. Actuals: GLOBE Budget FY22 - FY22 P&amp;L </t>
  </si>
  <si>
    <t>July - August, 2021</t>
  </si>
  <si>
    <t>Tuesday, Sep 21, 2021 06:23:44 PM GMT-7 - Accrual Basis</t>
  </si>
  <si>
    <t>Tuesday, Sep 21, 2021 06:25:18 PM GMT-7 - Accrual Basis</t>
  </si>
  <si>
    <t>TOTAL LIABILITIES AND EQUITY</t>
  </si>
  <si>
    <t xml:space="preserve">   Total Equity</t>
  </si>
  <si>
    <t xml:space="preserve">      Net Income</t>
  </si>
  <si>
    <t xml:space="preserve">      10-740 Unrestricted Net Assets</t>
  </si>
  <si>
    <t xml:space="preserve">      10-711 Invested in Capital Assets, net of related debt</t>
  </si>
  <si>
    <t xml:space="preserve">      10-700 Opening Balance Equity</t>
  </si>
  <si>
    <t xml:space="preserve">      10-0717 NET POSITION - Net Pension/OPEB Liability (Obligation)</t>
  </si>
  <si>
    <t xml:space="preserve">   Equity</t>
  </si>
  <si>
    <t xml:space="preserve">   Total Liabilities</t>
  </si>
  <si>
    <t xml:space="preserve">      Total Long-Term Liabilities</t>
  </si>
  <si>
    <t xml:space="preserve">         10-5211 Charter Loan 4105</t>
  </si>
  <si>
    <t xml:space="preserve">         10-0592 PROPORTIONATE SHARE OF NET PENSION/OPEB LIABILITY</t>
  </si>
  <si>
    <t xml:space="preserve">      Long-Term Liabilities</t>
  </si>
  <si>
    <t xml:space="preserve">      Total Current Liabilities</t>
  </si>
  <si>
    <t xml:space="preserve">         Total Other Current Liabilities</t>
  </si>
  <si>
    <t xml:space="preserve">            10-423 Compensated Absences</t>
  </si>
  <si>
    <t xml:space="preserve">         Other Current Liabilities</t>
  </si>
  <si>
    <t xml:space="preserve">         Total Credit Cards</t>
  </si>
  <si>
    <t xml:space="preserve">            10-1013 American Express</t>
  </si>
  <si>
    <t xml:space="preserve">         Credit Cards</t>
  </si>
  <si>
    <t xml:space="preserve">         Total Accounts Payable</t>
  </si>
  <si>
    <t xml:space="preserve">            10-479 OTHER PAYROLL WITHHOLDINGS PAYABLE</t>
  </si>
  <si>
    <t xml:space="preserve">            10-479 Other Payroll Whlds</t>
  </si>
  <si>
    <t xml:space="preserve">            10-477 FICA Payable</t>
  </si>
  <si>
    <t xml:space="preserve">            10-476 Other Group Insurance Payable</t>
  </si>
  <si>
    <t xml:space="preserve">            10-475 Group Health Ins Payable</t>
  </si>
  <si>
    <t xml:space="preserve">            10-474 PSERS Payable</t>
  </si>
  <si>
    <t xml:space="preserve">            10-473 TRS Payable</t>
  </si>
  <si>
    <t xml:space="preserve">            10-455 Interest Payable</t>
  </si>
  <si>
    <t xml:space="preserve">            10-4220 Salaries Payable - Net</t>
  </si>
  <si>
    <t xml:space="preserve">            10-421 Accounts Payable</t>
  </si>
  <si>
    <t xml:space="preserve">         Accounts Payable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</si>
  <si>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</si>
  <si>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</si>
  <si>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</si>
  <si>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</si>
  <si>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Other Assets</t>
  </si>
  <si>
    <t xml:space="preserve">      10-182 Security Deposits</t>
  </si>
  <si>
    <t xml:space="preserve">      10-0317 DEFERRED OUTFLOW OF RESOURCES - Pension/OPEB Plan</t>
  </si>
  <si>
    <t xml:space="preserve">      10-0315 Deferred Outflow of Resources - District Contributions</t>
  </si>
  <si>
    <t xml:space="preserve">   Other Assets</t>
  </si>
  <si>
    <t xml:space="preserve">   Total Fixed Assets</t>
  </si>
  <si>
    <t xml:space="preserve">      10-242 Accumulated Depreciation-Equipment</t>
  </si>
  <si>
    <t xml:space="preserve">      10-241 Furniture and Equipment</t>
  </si>
  <si>
    <t xml:space="preserve">      10-232 ACCUMULATED DEPRECIATION - BUILDINGS (CREDIT)</t>
  </si>
  <si>
    <t xml:space="preserve">      Total 10-231 Buildings Owned</t>
  </si>
  <si>
    <t xml:space="preserve">         10-2312 4105 &amp; 4106 Briarcliff Road</t>
  </si>
  <si>
    <t xml:space="preserve">      10-231 Buildings Owned</t>
  </si>
  <si>
    <t xml:space="preserve">      10-222 Accumulated Depreciation</t>
  </si>
  <si>
    <t xml:space="preserve">      Total 10-221 Leasehold Improvement</t>
  </si>
  <si>
    <t xml:space="preserve">         10-2212 Leasehold Improvements - BUMC</t>
  </si>
  <si>
    <t xml:space="preserve">         10-2211 Winter Construction</t>
  </si>
  <si>
    <t xml:space="preserve">      10-221 Leasehold Improvement</t>
  </si>
  <si>
    <t xml:space="preserve">      10-211 Land</t>
  </si>
  <si>
    <t xml:space="preserve">   Fixed Assets</t>
  </si>
  <si>
    <t xml:space="preserve">   Total Current Assets</t>
  </si>
  <si>
    <t xml:space="preserve">      Total Other Current Assets</t>
  </si>
  <si>
    <t xml:space="preserve">         10-181 Prepaid Expense</t>
  </si>
  <si>
    <t xml:space="preserve">         10-143 Intergovernmental Accounts Receivable - Local</t>
  </si>
  <si>
    <t xml:space="preserve">         10-142 Federal Grant Receivable</t>
  </si>
  <si>
    <t xml:space="preserve">      Other Current Assets</t>
  </si>
  <si>
    <t xml:space="preserve">      Total Accounts Receivable</t>
  </si>
  <si>
    <t xml:space="preserve">         10-153 Accounts Receivable</t>
  </si>
  <si>
    <t xml:space="preserve">      Accounts Receivable</t>
  </si>
  <si>
    <t xml:space="preserve">      Total Bank Accounts</t>
  </si>
  <si>
    <t xml:space="preserve">         10-1008 Paypal</t>
  </si>
  <si>
    <t xml:space="preserve">         10-1007 Clubs 3027459</t>
  </si>
  <si>
    <t xml:space="preserve">         10-1005 Field Trip Account - 733019163</t>
  </si>
  <si>
    <t xml:space="preserve">         10-1004 Aftercare Account - 198809279</t>
  </si>
  <si>
    <t xml:space="preserve">         10-1003 Fundraising - 198809238</t>
  </si>
  <si>
    <t xml:space="preserve">         10-1002 Nutrition - 25325895</t>
  </si>
  <si>
    <t xml:space="preserve">         10-1001 Operations - 198809196</t>
  </si>
  <si>
    <t xml:space="preserve">      Bank Accounts</t>
  </si>
  <si>
    <t xml:space="preserve">   Current Assets</t>
  </si>
  <si>
    <t>ASSETS</t>
  </si>
  <si>
    <t>As of August 31, 2021</t>
  </si>
  <si>
    <t>Balance Sheet</t>
  </si>
  <si>
    <t>Tuesday, Sep 21, 2021 06:26:39 PM GMT-7 - Accrual Basis</t>
  </si>
  <si>
    <t>Profit and Loss</t>
  </si>
  <si>
    <t>Tuesday, Sep 21, 2021 06:27:33 PM GMT-7</t>
  </si>
  <si>
    <t>Net cash increase for period</t>
  </si>
  <si>
    <t>Net cash provided by financing activities</t>
  </si>
  <si>
    <t xml:space="preserve">   10-5211 Charter Loan 4105</t>
  </si>
  <si>
    <t>FINANCING ACTIVITIES</t>
  </si>
  <si>
    <t>Net cash provided by operating activities</t>
  </si>
  <si>
    <t xml:space="preserve">   Total Adjustments to reconcile Net Income to Net Cash provided by operations:</t>
  </si>
  <si>
    <t xml:space="preserve">      10-1013 American Express</t>
  </si>
  <si>
    <t xml:space="preserve">      10-479 OTHER PAYROLL WITHHOLDINGS PAYABLE</t>
  </si>
  <si>
    <t xml:space="preserve">      10-479 Other Payroll Whlds</t>
  </si>
  <si>
    <t xml:space="preserve">      10-477 FICA Payable</t>
  </si>
  <si>
    <t xml:space="preserve">      10-476 Other Group Insurance Payable</t>
  </si>
  <si>
    <t xml:space="preserve">      10-475 Group Health Ins Payable</t>
  </si>
  <si>
    <t xml:space="preserve">      10-474 PSERS Payable</t>
  </si>
  <si>
    <t xml:space="preserve">      10-473 TRS Payable</t>
  </si>
  <si>
    <t xml:space="preserve">      10-4220 Salaries Payable - Net</t>
  </si>
  <si>
    <t xml:space="preserve">      10-421 Accounts Payable</t>
  </si>
  <si>
    <t xml:space="preserve">      10-181 Prepaid Expense</t>
  </si>
  <si>
    <t xml:space="preserve">      10-143 Intergovernmental Accounts Receivable - Local</t>
  </si>
  <si>
    <t xml:space="preserve">      10-142 Federal Grant Receivable</t>
  </si>
  <si>
    <t xml:space="preserve">      10-153 Accounts Receivable</t>
  </si>
  <si>
    <t xml:space="preserve">   Adjustments to reconcile Net Income to Net Cash provided by operations:</t>
  </si>
  <si>
    <t xml:space="preserve">   Net Income</t>
  </si>
  <si>
    <t>OPERATING ACTIVITIES</t>
  </si>
  <si>
    <t>Statement of Cash Flows</t>
  </si>
  <si>
    <t>Tuesday, Sep 21, 2021 06:26:14 PM GMT-7</t>
  </si>
  <si>
    <t>R</t>
  </si>
  <si>
    <t>Amazon Capital Services, Inc</t>
  </si>
  <si>
    <t>Bill Payment (Check)</t>
  </si>
  <si>
    <t>08/31/2021</t>
  </si>
  <si>
    <t>ECP Supplies</t>
  </si>
  <si>
    <t>Sam's Club</t>
  </si>
  <si>
    <t>Expense</t>
  </si>
  <si>
    <t>08/30/2021</t>
  </si>
  <si>
    <t>Safe Save WebPayment</t>
  </si>
  <si>
    <t>SAFESA</t>
  </si>
  <si>
    <t>08/27/2021</t>
  </si>
  <si>
    <t>Refund</t>
  </si>
  <si>
    <t>Mercury Pmt Payables</t>
  </si>
  <si>
    <t>08/26/2021</t>
  </si>
  <si>
    <t>08/25/2021</t>
  </si>
  <si>
    <t>08/24/2021</t>
  </si>
  <si>
    <t>08/23/2021</t>
  </si>
  <si>
    <t>08/19/2021</t>
  </si>
  <si>
    <t>08/17/2021</t>
  </si>
  <si>
    <t>08/16/2021</t>
  </si>
  <si>
    <t>08/13/2021</t>
  </si>
  <si>
    <t>08/12/2021</t>
  </si>
  <si>
    <t>worldpay/Vantiv July 2021</t>
  </si>
  <si>
    <t>Vantiv Integrated Payments</t>
  </si>
  <si>
    <t>08/09/2021</t>
  </si>
  <si>
    <t>08/06/2021</t>
  </si>
  <si>
    <t>Discount Amount</t>
  </si>
  <si>
    <t>American Express - ECP</t>
  </si>
  <si>
    <t>08/05/2021</t>
  </si>
  <si>
    <t>08/04/2021</t>
  </si>
  <si>
    <t>Monthly fee for Jackrabbit software</t>
  </si>
  <si>
    <t>Jackrabbit Technology</t>
  </si>
  <si>
    <t>10-1004 Aftercare Account - 198809279</t>
  </si>
  <si>
    <t>Check from Baby Love for Spirit Night accidentally deposited into Fundraising - sending to GLOBE Academy Foundation</t>
  </si>
  <si>
    <t>The GLOBE Academy PTCC</t>
  </si>
  <si>
    <t>Check</t>
  </si>
  <si>
    <t>08/10/2021</t>
  </si>
  <si>
    <t>10-1003 Fundraising - 198809238</t>
  </si>
  <si>
    <t>BancorpPSV Admin America  FSA Wex Health</t>
  </si>
  <si>
    <t>Bancorp</t>
  </si>
  <si>
    <t>ADP*</t>
  </si>
  <si>
    <t>PD20210831Garn</t>
  </si>
  <si>
    <t>PD20210831Tax</t>
  </si>
  <si>
    <t>PD20210831Sal</t>
  </si>
  <si>
    <t>Reimbursement - Volunteer Background check</t>
  </si>
  <si>
    <t>Reimbursement - Volunteer Background Check</t>
  </si>
  <si>
    <t>Justin Hart</t>
  </si>
  <si>
    <t>Reimbursement - Background and Ethics</t>
  </si>
  <si>
    <t>Xiaoye Dong</t>
  </si>
  <si>
    <t>New Hire - background and Ethics</t>
  </si>
  <si>
    <t>Kedamawit Atsbeha</t>
  </si>
  <si>
    <t>Reimbursement - New Hire Ethics Assessment</t>
  </si>
  <si>
    <t>Kiara Rauda</t>
  </si>
  <si>
    <t>CenterState</t>
  </si>
  <si>
    <t>AUTODRAFT</t>
  </si>
  <si>
    <t>Georgia Power</t>
  </si>
  <si>
    <t>Government Finance Officers Association</t>
  </si>
  <si>
    <t>Target PTCC</t>
  </si>
  <si>
    <t>CVSPTCC Reimbursement</t>
  </si>
  <si>
    <t>Helga - PTCC Reimbursement</t>
  </si>
  <si>
    <t>Huanxiaoge Wang</t>
  </si>
  <si>
    <t>Logicspeak</t>
  </si>
  <si>
    <t>Summit Lighting Solutions</t>
  </si>
  <si>
    <t>Scholastic Testing Service</t>
  </si>
  <si>
    <t>Scholastic Inc.</t>
  </si>
  <si>
    <t>Office Depot</t>
  </si>
  <si>
    <t>NWEA</t>
  </si>
  <si>
    <t>McGUIREWOODS LLP</t>
  </si>
  <si>
    <t>Liberty Door Repair</t>
  </si>
  <si>
    <t>Gallopade</t>
  </si>
  <si>
    <t>Delta Telecom, LLC</t>
  </si>
  <si>
    <t>Bravo Fence LLC</t>
  </si>
  <si>
    <t>REimbursement for Pre=Planning Lunch</t>
  </si>
  <si>
    <t>Judy Limor</t>
  </si>
  <si>
    <t>Microsoft -7/25-/8/24</t>
  </si>
  <si>
    <t>Microsoft</t>
  </si>
  <si>
    <t>E0400FJKLJ</t>
  </si>
  <si>
    <t>DeKalb County Government</t>
  </si>
  <si>
    <t>A&amp;F Painting LLC</t>
  </si>
  <si>
    <t>School Device Coverage</t>
  </si>
  <si>
    <t>Voided - VOIDED- PRINTING ERROR</t>
  </si>
  <si>
    <t>ASAP SYSTEMS</t>
  </si>
  <si>
    <t>Dekalb County Tax Commissioner</t>
  </si>
  <si>
    <t>C. Douglas Erwin Jr., CPA</t>
  </si>
  <si>
    <t>August 2021 Membership Dues</t>
  </si>
  <si>
    <t>Association of American Educators</t>
  </si>
  <si>
    <t>Comcast Heritage 0415209</t>
  </si>
  <si>
    <t>Monthly Fee for Board and Admin Constant Contact Account</t>
  </si>
  <si>
    <t>Aria (Constant Contact)</t>
  </si>
  <si>
    <t>Arrow Exterminators</t>
  </si>
  <si>
    <t>Caliber Pest Solutions</t>
  </si>
  <si>
    <t>Premier Scapes, Inc</t>
  </si>
  <si>
    <t>Mobile Modular Mgt. Corp</t>
  </si>
  <si>
    <t>Janilink Janitorial Supplies</t>
  </si>
  <si>
    <t>ATLANTA SILVERBACKS PARK</t>
  </si>
  <si>
    <t>Horizon Software International, LLC</t>
  </si>
  <si>
    <t>Kami</t>
  </si>
  <si>
    <t>Downs Security Solutions  Inc</t>
  </si>
  <si>
    <t>Patricia's Spiritwear</t>
  </si>
  <si>
    <t>Zearn, Inc.</t>
  </si>
  <si>
    <t>Flinn Scientific Inc</t>
  </si>
  <si>
    <t>Admin America</t>
  </si>
  <si>
    <t>08/20/2021</t>
  </si>
  <si>
    <t>Powersource Electric Corp.</t>
  </si>
  <si>
    <t>Voided - PRINTED UPSIDE DOWN - VOID</t>
  </si>
  <si>
    <t>Scana Energy</t>
  </si>
  <si>
    <t>AT&amp;T - Fiber LC &amp; UC</t>
  </si>
  <si>
    <t>08/18/2021</t>
  </si>
  <si>
    <t>AdmAmerica CLAIM Reimbursement</t>
  </si>
  <si>
    <t>Comcast Briarcliff 0766205</t>
  </si>
  <si>
    <t>Reimbursement - Background Check</t>
  </si>
  <si>
    <t>Victoria Thompson</t>
  </si>
  <si>
    <t>Background Check - Reimbursement</t>
  </si>
  <si>
    <t>Kelsey Pirrotta</t>
  </si>
  <si>
    <t>Justin Stubbs</t>
  </si>
  <si>
    <t>Danielle Patterson</t>
  </si>
  <si>
    <t>Pay Advance for New Hire - $125 for 8/31, 9/15, 9/30, and 10/15</t>
  </si>
  <si>
    <t>Ariana Garcia*</t>
  </si>
  <si>
    <t>Background Check reimbursement</t>
  </si>
  <si>
    <t>Susan Rembert</t>
  </si>
  <si>
    <t>Background Check Reimbursement</t>
  </si>
  <si>
    <t>Datta Baishali</t>
  </si>
  <si>
    <t>Background and Ethics Reimbursement</t>
  </si>
  <si>
    <t>Anita Holland</t>
  </si>
  <si>
    <t>Background and Ethics Assessment</t>
  </si>
  <si>
    <t>Kate Tsao</t>
  </si>
  <si>
    <t>Quizlet- Yuning Ye</t>
  </si>
  <si>
    <t>Quizlet Teacher</t>
  </si>
  <si>
    <t>TIAA Bank</t>
  </si>
  <si>
    <t>PD20210815Garn</t>
  </si>
  <si>
    <t>08/15/2021</t>
  </si>
  <si>
    <t>PD20210815Tax</t>
  </si>
  <si>
    <t>PD20210815Sal</t>
  </si>
  <si>
    <t>AT&amp;T - BUMC - Fire and Police</t>
  </si>
  <si>
    <t>729MYW9J03LJCX</t>
  </si>
  <si>
    <t>ONLINE</t>
  </si>
  <si>
    <t>CINTAS Corp</t>
  </si>
  <si>
    <t>Atlanta Office Technologies In</t>
  </si>
  <si>
    <t>BGGBK2002311115</t>
  </si>
  <si>
    <t>*Remaining Credit Memo balance of $128.86 applied by Aqueelah Gray on 7/29/2021</t>
  </si>
  <si>
    <t>Plumbers 4 Real</t>
  </si>
  <si>
    <t>Mountain Graphics</t>
  </si>
  <si>
    <t>Knine All Systems, Inc.</t>
  </si>
  <si>
    <t>EMCOR Services Aircond</t>
  </si>
  <si>
    <t>Atlanta Office Technologies</t>
  </si>
  <si>
    <t>GACE Ethics</t>
  </si>
  <si>
    <t>Baakground Check</t>
  </si>
  <si>
    <t>Karin Bra-Rodriguez</t>
  </si>
  <si>
    <t>08/11/2021</t>
  </si>
  <si>
    <t>Instant Imprints</t>
  </si>
  <si>
    <t>Staples</t>
  </si>
  <si>
    <t>Adobe Export</t>
  </si>
  <si>
    <t>Selective Insurance Co. of America</t>
  </si>
  <si>
    <t>TRSGA</t>
  </si>
  <si>
    <t>202107_TRS</t>
  </si>
  <si>
    <t>Reimbursement for Staff Brekfast</t>
  </si>
  <si>
    <t>Voided
-PRINTER ERROR - upside down</t>
  </si>
  <si>
    <t>Malka Schwarzmer</t>
  </si>
  <si>
    <t>Marsha A Huitt</t>
  </si>
  <si>
    <t>Workforce Payroll ending 6/15/2021</t>
  </si>
  <si>
    <t>Dekalb County Watershed Management</t>
  </si>
  <si>
    <t>08/03/2021</t>
  </si>
  <si>
    <t>Guardian</t>
  </si>
  <si>
    <t>08/02/2021</t>
  </si>
  <si>
    <t>Aetna</t>
  </si>
  <si>
    <t>H9296677</t>
  </si>
  <si>
    <t>10-1001 Operations - 198809196</t>
  </si>
  <si>
    <t>Amount</t>
  </si>
  <si>
    <t>Clr</t>
  </si>
  <si>
    <t>Memo/Description</t>
  </si>
  <si>
    <t>Name</t>
  </si>
  <si>
    <t>Num</t>
  </si>
  <si>
    <t>Transaction Type</t>
  </si>
  <si>
    <t>Date</t>
  </si>
  <si>
    <t>August 2021</t>
  </si>
  <si>
    <t>Check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</si>
</sst>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&quot;$&quot;* #,##0.00\ _€"/>
    <numFmt numFmtId="166" formatCode="#,##0\ _€"/>
    <numFmt numFmtId="167" formatCode="&quot;$&quot;* #,##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wrapText="1"/>
    </xf>
    <xf numFmtId="167" fontId="2" fillId="0" borderId="3" xfId="0" applyNumberFormat="1" applyFont="1" applyBorder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DA3F-8316-43F5-81E7-D16F1E314A8B}">
  <dimension ref="A1:B84"/>
  <sheetViews>
    <sheetView workbookViewId="0">
      <selection sqref="A1:B1"/>
    </sheetView>
  </sheetViews>
  <sheetFormatPr defaultRowHeight="14.25" x14ac:dyDescent="0.45"/>
  <cols>
    <col min="1" max="1" width="59.265625" customWidth="1"/>
    <col min="2" max="2" width="15.46484375" customWidth="1"/>
  </cols>
  <sheetData>
    <row r="1" spans="1:2" ht="17.649999999999999" x14ac:dyDescent="0.5">
      <c r="A1" s="22" t="s">
        <v>142</v>
      </c>
      <c r="B1" s="14"/>
    </row>
    <row r="2" spans="1:2" ht="17.649999999999999" x14ac:dyDescent="0.5">
      <c r="A2" s="22" t="s">
        <v>223</v>
      </c>
      <c r="B2" s="14"/>
    </row>
    <row r="3" spans="1:2" x14ac:dyDescent="0.45">
      <c r="A3" s="21" t="s">
        <v>222</v>
      </c>
      <c r="B3" s="14"/>
    </row>
    <row r="5" spans="1:2" x14ac:dyDescent="0.45">
      <c r="A5" s="1"/>
      <c r="B5" s="2" t="s">
        <v>2</v>
      </c>
    </row>
    <row r="6" spans="1:2" x14ac:dyDescent="0.45">
      <c r="A6" s="3" t="s">
        <v>221</v>
      </c>
      <c r="B6" s="18"/>
    </row>
    <row r="7" spans="1:2" x14ac:dyDescent="0.45">
      <c r="A7" s="3" t="s">
        <v>220</v>
      </c>
      <c r="B7" s="18"/>
    </row>
    <row r="8" spans="1:2" x14ac:dyDescent="0.45">
      <c r="A8" s="3" t="s">
        <v>219</v>
      </c>
      <c r="B8" s="18"/>
    </row>
    <row r="9" spans="1:2" x14ac:dyDescent="0.45">
      <c r="A9" s="3" t="s">
        <v>218</v>
      </c>
      <c r="B9" s="20">
        <f>4485836.3</f>
        <v>4485836.3</v>
      </c>
    </row>
    <row r="10" spans="1:2" x14ac:dyDescent="0.45">
      <c r="A10" s="3" t="s">
        <v>217</v>
      </c>
      <c r="B10" s="20">
        <f>966.3</f>
        <v>966.3</v>
      </c>
    </row>
    <row r="11" spans="1:2" x14ac:dyDescent="0.45">
      <c r="A11" s="3" t="s">
        <v>216</v>
      </c>
      <c r="B11" s="20">
        <f>971297.02</f>
        <v>971297.02</v>
      </c>
    </row>
    <row r="12" spans="1:2" x14ac:dyDescent="0.45">
      <c r="A12" s="3" t="s">
        <v>215</v>
      </c>
      <c r="B12" s="20">
        <f>1407754.86</f>
        <v>1407754.86</v>
      </c>
    </row>
    <row r="13" spans="1:2" x14ac:dyDescent="0.45">
      <c r="A13" s="3" t="s">
        <v>214</v>
      </c>
      <c r="B13" s="20">
        <f>50314.92</f>
        <v>50314.92</v>
      </c>
    </row>
    <row r="14" spans="1:2" x14ac:dyDescent="0.45">
      <c r="A14" s="3" t="s">
        <v>213</v>
      </c>
      <c r="B14" s="20">
        <f>10488.38</f>
        <v>10488.38</v>
      </c>
    </row>
    <row r="15" spans="1:2" x14ac:dyDescent="0.45">
      <c r="A15" s="3" t="s">
        <v>212</v>
      </c>
      <c r="B15" s="20">
        <f>7139.8</f>
        <v>7139.8</v>
      </c>
    </row>
    <row r="16" spans="1:2" x14ac:dyDescent="0.45">
      <c r="A16" s="3" t="s">
        <v>211</v>
      </c>
      <c r="B16" s="19">
        <f>((((((B9)+(B10))+(B11))+(B12))+(B13))+(B14))+(B15)</f>
        <v>6933797.5799999991</v>
      </c>
    </row>
    <row r="17" spans="1:2" x14ac:dyDescent="0.45">
      <c r="A17" s="3" t="s">
        <v>210</v>
      </c>
      <c r="B17" s="18"/>
    </row>
    <row r="18" spans="1:2" x14ac:dyDescent="0.45">
      <c r="A18" s="3" t="s">
        <v>209</v>
      </c>
      <c r="B18" s="20">
        <f>4421.49</f>
        <v>4421.49</v>
      </c>
    </row>
    <row r="19" spans="1:2" x14ac:dyDescent="0.45">
      <c r="A19" s="3" t="s">
        <v>208</v>
      </c>
      <c r="B19" s="19">
        <f>B18</f>
        <v>4421.49</v>
      </c>
    </row>
    <row r="20" spans="1:2" x14ac:dyDescent="0.45">
      <c r="A20" s="3" t="s">
        <v>207</v>
      </c>
      <c r="B20" s="18"/>
    </row>
    <row r="21" spans="1:2" x14ac:dyDescent="0.45">
      <c r="A21" s="3" t="s">
        <v>206</v>
      </c>
      <c r="B21" s="20">
        <f>2770.3</f>
        <v>2770.3</v>
      </c>
    </row>
    <row r="22" spans="1:2" x14ac:dyDescent="0.45">
      <c r="A22" s="3" t="s">
        <v>205</v>
      </c>
      <c r="B22" s="20">
        <f>337321.18</f>
        <v>337321.18</v>
      </c>
    </row>
    <row r="23" spans="1:2" x14ac:dyDescent="0.45">
      <c r="A23" s="3" t="s">
        <v>204</v>
      </c>
      <c r="B23" s="20">
        <f>18790</f>
        <v>18790</v>
      </c>
    </row>
    <row r="24" spans="1:2" x14ac:dyDescent="0.45">
      <c r="A24" s="3" t="s">
        <v>203</v>
      </c>
      <c r="B24" s="19">
        <f>((B21)+(B22))+(B23)</f>
        <v>358881.48</v>
      </c>
    </row>
    <row r="25" spans="1:2" x14ac:dyDescent="0.45">
      <c r="A25" s="3" t="s">
        <v>202</v>
      </c>
      <c r="B25" s="19">
        <f>((B16)+(B19))+(B24)</f>
        <v>7297100.5499999989</v>
      </c>
    </row>
    <row r="26" spans="1:2" x14ac:dyDescent="0.45">
      <c r="A26" s="3" t="s">
        <v>201</v>
      </c>
      <c r="B26" s="18"/>
    </row>
    <row r="27" spans="1:2" x14ac:dyDescent="0.45">
      <c r="A27" s="3" t="s">
        <v>200</v>
      </c>
      <c r="B27" s="20">
        <f>788200</f>
        <v>788200</v>
      </c>
    </row>
    <row r="28" spans="1:2" x14ac:dyDescent="0.45">
      <c r="A28" s="3" t="s">
        <v>199</v>
      </c>
      <c r="B28" s="20">
        <f>402069</f>
        <v>402069</v>
      </c>
    </row>
    <row r="29" spans="1:2" x14ac:dyDescent="0.45">
      <c r="A29" s="3" t="s">
        <v>198</v>
      </c>
      <c r="B29" s="20">
        <f>337559</f>
        <v>337559</v>
      </c>
    </row>
    <row r="30" spans="1:2" x14ac:dyDescent="0.45">
      <c r="A30" s="3" t="s">
        <v>197</v>
      </c>
      <c r="B30" s="20">
        <f>378238.27</f>
        <v>378238.27</v>
      </c>
    </row>
    <row r="31" spans="1:2" x14ac:dyDescent="0.45">
      <c r="A31" s="3" t="s">
        <v>196</v>
      </c>
      <c r="B31" s="19">
        <f>((B28)+(B29))+(B30)</f>
        <v>1117866.27</v>
      </c>
    </row>
    <row r="32" spans="1:2" x14ac:dyDescent="0.45">
      <c r="A32" s="3" t="s">
        <v>195</v>
      </c>
      <c r="B32" s="20">
        <f>-397596</f>
        <v>-397596</v>
      </c>
    </row>
    <row r="33" spans="1:2" x14ac:dyDescent="0.45">
      <c r="A33" s="3" t="s">
        <v>194</v>
      </c>
      <c r="B33" s="18"/>
    </row>
    <row r="34" spans="1:2" x14ac:dyDescent="0.45">
      <c r="A34" s="3" t="s">
        <v>193</v>
      </c>
      <c r="B34" s="20">
        <f>4057129.69</f>
        <v>4057129.69</v>
      </c>
    </row>
    <row r="35" spans="1:2" x14ac:dyDescent="0.45">
      <c r="A35" s="3" t="s">
        <v>192</v>
      </c>
      <c r="B35" s="19">
        <f>(B33)+(B34)</f>
        <v>4057129.69</v>
      </c>
    </row>
    <row r="36" spans="1:2" x14ac:dyDescent="0.45">
      <c r="A36" s="3" t="s">
        <v>191</v>
      </c>
      <c r="B36" s="20">
        <f>-271232.45</f>
        <v>-271232.45</v>
      </c>
    </row>
    <row r="37" spans="1:2" x14ac:dyDescent="0.45">
      <c r="A37" s="3" t="s">
        <v>190</v>
      </c>
      <c r="B37" s="20">
        <f>129243.73</f>
        <v>129243.73</v>
      </c>
    </row>
    <row r="38" spans="1:2" x14ac:dyDescent="0.45">
      <c r="A38" s="3" t="s">
        <v>189</v>
      </c>
      <c r="B38" s="20">
        <f>-19909.08</f>
        <v>-19909.080000000002</v>
      </c>
    </row>
    <row r="39" spans="1:2" x14ac:dyDescent="0.45">
      <c r="A39" s="3" t="s">
        <v>188</v>
      </c>
      <c r="B39" s="19">
        <f>((((((B27)+(B31))+(B32))+(B35))+(B36))+(B37))+(B38)</f>
        <v>5403702.1600000001</v>
      </c>
    </row>
    <row r="40" spans="1:2" x14ac:dyDescent="0.45">
      <c r="A40" s="3" t="s">
        <v>187</v>
      </c>
      <c r="B40" s="18"/>
    </row>
    <row r="41" spans="1:2" x14ac:dyDescent="0.45">
      <c r="A41" s="3" t="s">
        <v>186</v>
      </c>
      <c r="B41" s="20">
        <f>1175119.2</f>
        <v>1175119.2</v>
      </c>
    </row>
    <row r="42" spans="1:2" x14ac:dyDescent="0.45">
      <c r="A42" s="3" t="s">
        <v>185</v>
      </c>
      <c r="B42" s="20">
        <f>3862796</f>
        <v>3862796</v>
      </c>
    </row>
    <row r="43" spans="1:2" x14ac:dyDescent="0.45">
      <c r="A43" s="3" t="s">
        <v>184</v>
      </c>
      <c r="B43" s="20">
        <f>12300</f>
        <v>12300</v>
      </c>
    </row>
    <row r="44" spans="1:2" x14ac:dyDescent="0.45">
      <c r="A44" s="3" t="s">
        <v>183</v>
      </c>
      <c r="B44" s="19">
        <f>((B41)+(B42))+(B43)</f>
        <v>5050215.2</v>
      </c>
    </row>
    <row r="45" spans="1:2" x14ac:dyDescent="0.45">
      <c r="A45" s="3" t="s">
        <v>182</v>
      </c>
      <c r="B45" s="19">
        <f>((B25)+(B39))+(B44)</f>
        <v>17751017.91</v>
      </c>
    </row>
    <row r="46" spans="1:2" x14ac:dyDescent="0.45">
      <c r="A46" s="3" t="s">
        <v>181</v>
      </c>
      <c r="B46" s="18"/>
    </row>
    <row r="47" spans="1:2" x14ac:dyDescent="0.45">
      <c r="A47" s="3" t="s">
        <v>180</v>
      </c>
      <c r="B47" s="18"/>
    </row>
    <row r="48" spans="1:2" x14ac:dyDescent="0.45">
      <c r="A48" s="3" t="s">
        <v>179</v>
      </c>
      <c r="B48" s="18"/>
    </row>
    <row r="49" spans="1:2" x14ac:dyDescent="0.45">
      <c r="A49" s="3" t="s">
        <v>178</v>
      </c>
      <c r="B49" s="18"/>
    </row>
    <row r="50" spans="1:2" x14ac:dyDescent="0.45">
      <c r="A50" s="3" t="s">
        <v>177</v>
      </c>
      <c r="B50" s="20">
        <f>278446.03</f>
        <v>278446.03000000003</v>
      </c>
    </row>
    <row r="51" spans="1:2" x14ac:dyDescent="0.45">
      <c r="A51" s="3" t="s">
        <v>176</v>
      </c>
      <c r="B51" s="20">
        <f>620738.38</f>
        <v>620738.38</v>
      </c>
    </row>
    <row r="52" spans="1:2" x14ac:dyDescent="0.45">
      <c r="A52" s="3" t="s">
        <v>175</v>
      </c>
      <c r="B52" s="20">
        <f>698.2</f>
        <v>698.2</v>
      </c>
    </row>
    <row r="53" spans="1:2" x14ac:dyDescent="0.45">
      <c r="A53" s="3" t="s">
        <v>174</v>
      </c>
      <c r="B53" s="20">
        <f>137417.68</f>
        <v>137417.68</v>
      </c>
    </row>
    <row r="54" spans="1:2" x14ac:dyDescent="0.45">
      <c r="A54" s="3" t="s">
        <v>173</v>
      </c>
      <c r="B54" s="20">
        <f>150</f>
        <v>150</v>
      </c>
    </row>
    <row r="55" spans="1:2" x14ac:dyDescent="0.45">
      <c r="A55" s="3" t="s">
        <v>172</v>
      </c>
      <c r="B55" s="20">
        <f>-37756.49</f>
        <v>-37756.49</v>
      </c>
    </row>
    <row r="56" spans="1:2" x14ac:dyDescent="0.45">
      <c r="A56" s="3" t="s">
        <v>171</v>
      </c>
      <c r="B56" s="20">
        <f>-101294.75</f>
        <v>-101294.75</v>
      </c>
    </row>
    <row r="57" spans="1:2" x14ac:dyDescent="0.45">
      <c r="A57" s="3" t="s">
        <v>170</v>
      </c>
      <c r="B57" s="20">
        <f>-0.02</f>
        <v>-0.02</v>
      </c>
    </row>
    <row r="58" spans="1:2" x14ac:dyDescent="0.45">
      <c r="A58" s="3" t="s">
        <v>169</v>
      </c>
      <c r="B58" s="20">
        <f>165.28</f>
        <v>165.28</v>
      </c>
    </row>
    <row r="59" spans="1:2" x14ac:dyDescent="0.45">
      <c r="A59" s="3" t="s">
        <v>168</v>
      </c>
      <c r="B59" s="20">
        <f>187.3</f>
        <v>187.3</v>
      </c>
    </row>
    <row r="60" spans="1:2" x14ac:dyDescent="0.45">
      <c r="A60" s="3" t="s">
        <v>167</v>
      </c>
      <c r="B60" s="19">
        <f>(((((((((B50)+(B51))+(B52))+(B53))+(B54))+(B55))+(B56))+(B57))+(B58))+(B59)</f>
        <v>898751.6100000001</v>
      </c>
    </row>
    <row r="61" spans="1:2" x14ac:dyDescent="0.45">
      <c r="A61" s="3" t="s">
        <v>166</v>
      </c>
      <c r="B61" s="18"/>
    </row>
    <row r="62" spans="1:2" x14ac:dyDescent="0.45">
      <c r="A62" s="3" t="s">
        <v>165</v>
      </c>
      <c r="B62" s="20">
        <f>-108.36</f>
        <v>-108.36</v>
      </c>
    </row>
    <row r="63" spans="1:2" x14ac:dyDescent="0.45">
      <c r="A63" s="3" t="s">
        <v>164</v>
      </c>
      <c r="B63" s="19">
        <f>B62</f>
        <v>-108.36</v>
      </c>
    </row>
    <row r="64" spans="1:2" x14ac:dyDescent="0.45">
      <c r="A64" s="3" t="s">
        <v>163</v>
      </c>
      <c r="B64" s="18"/>
    </row>
    <row r="65" spans="1:2" x14ac:dyDescent="0.45">
      <c r="A65" s="3" t="s">
        <v>162</v>
      </c>
      <c r="B65" s="20">
        <f>63494.15</f>
        <v>63494.15</v>
      </c>
    </row>
    <row r="66" spans="1:2" x14ac:dyDescent="0.45">
      <c r="A66" s="3" t="s">
        <v>161</v>
      </c>
      <c r="B66" s="19">
        <f>B65</f>
        <v>63494.15</v>
      </c>
    </row>
    <row r="67" spans="1:2" x14ac:dyDescent="0.45">
      <c r="A67" s="3" t="s">
        <v>160</v>
      </c>
      <c r="B67" s="19">
        <f>((B60)+(B63))+(B66)</f>
        <v>962137.40000000014</v>
      </c>
    </row>
    <row r="68" spans="1:2" x14ac:dyDescent="0.45">
      <c r="A68" s="3" t="s">
        <v>159</v>
      </c>
      <c r="B68" s="18"/>
    </row>
    <row r="69" spans="1:2" x14ac:dyDescent="0.45">
      <c r="A69" s="3" t="s">
        <v>158</v>
      </c>
      <c r="B69" s="20">
        <f>11057975</f>
        <v>11057975</v>
      </c>
    </row>
    <row r="70" spans="1:2" x14ac:dyDescent="0.45">
      <c r="A70" s="3" t="s">
        <v>157</v>
      </c>
      <c r="B70" s="20">
        <f>3287070.11</f>
        <v>3287070.11</v>
      </c>
    </row>
    <row r="71" spans="1:2" x14ac:dyDescent="0.45">
      <c r="A71" s="3" t="s">
        <v>156</v>
      </c>
      <c r="B71" s="19">
        <f>(B69)+(B70)</f>
        <v>14345045.109999999</v>
      </c>
    </row>
    <row r="72" spans="1:2" x14ac:dyDescent="0.45">
      <c r="A72" s="3" t="s">
        <v>155</v>
      </c>
      <c r="B72" s="19">
        <f>(B67)+(B71)</f>
        <v>15307182.51</v>
      </c>
    </row>
    <row r="73" spans="1:2" x14ac:dyDescent="0.45">
      <c r="A73" s="3" t="s">
        <v>154</v>
      </c>
      <c r="B73" s="18"/>
    </row>
    <row r="74" spans="1:2" x14ac:dyDescent="0.45">
      <c r="A74" s="3" t="s">
        <v>153</v>
      </c>
      <c r="B74" s="20">
        <f>187855</f>
        <v>187855</v>
      </c>
    </row>
    <row r="75" spans="1:2" x14ac:dyDescent="0.45">
      <c r="A75" s="3" t="s">
        <v>152</v>
      </c>
      <c r="B75" s="20">
        <f>-10</f>
        <v>-10</v>
      </c>
    </row>
    <row r="76" spans="1:2" x14ac:dyDescent="0.45">
      <c r="A76" s="3" t="s">
        <v>151</v>
      </c>
      <c r="B76" s="20">
        <f>298500.31</f>
        <v>298500.31</v>
      </c>
    </row>
    <row r="77" spans="1:2" x14ac:dyDescent="0.45">
      <c r="A77" s="3" t="s">
        <v>150</v>
      </c>
      <c r="B77" s="20">
        <f>1820300.99</f>
        <v>1820300.99</v>
      </c>
    </row>
    <row r="78" spans="1:2" x14ac:dyDescent="0.45">
      <c r="A78" s="3" t="s">
        <v>149</v>
      </c>
      <c r="B78" s="20">
        <f>137189.1</f>
        <v>137189.1</v>
      </c>
    </row>
    <row r="79" spans="1:2" x14ac:dyDescent="0.45">
      <c r="A79" s="3" t="s">
        <v>148</v>
      </c>
      <c r="B79" s="19">
        <f>((((B74)+(B75))+(B76))+(B77))+(B78)</f>
        <v>2443835.4</v>
      </c>
    </row>
    <row r="80" spans="1:2" x14ac:dyDescent="0.45">
      <c r="A80" s="3" t="s">
        <v>147</v>
      </c>
      <c r="B80" s="19">
        <f>(B72)+(B79)</f>
        <v>17751017.91</v>
      </c>
    </row>
    <row r="81" spans="1:2" x14ac:dyDescent="0.45">
      <c r="A81" s="3"/>
      <c r="B81" s="18"/>
    </row>
    <row r="84" spans="1:2" x14ac:dyDescent="0.45">
      <c r="A84" s="17" t="s">
        <v>146</v>
      </c>
      <c r="B84" s="14"/>
    </row>
  </sheetData>
  <mergeCells count="4">
    <mergeCell ref="A84:B84"/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5C1B-9DD1-4200-B70E-CB371418BC7F}">
  <dimension ref="A1:D136"/>
  <sheetViews>
    <sheetView workbookViewId="0">
      <selection sqref="A1:D1"/>
    </sheetView>
  </sheetViews>
  <sheetFormatPr defaultRowHeight="14.25" x14ac:dyDescent="0.45"/>
  <cols>
    <col min="1" max="1" width="55" customWidth="1"/>
    <col min="2" max="3" width="7.73046875" customWidth="1"/>
    <col min="4" max="4" width="9.46484375" customWidth="1"/>
  </cols>
  <sheetData>
    <row r="1" spans="1:4" ht="17.649999999999999" x14ac:dyDescent="0.5">
      <c r="A1" s="25" t="s">
        <v>142</v>
      </c>
      <c r="B1" s="14"/>
      <c r="C1" s="14"/>
      <c r="D1" s="14"/>
    </row>
    <row r="2" spans="1:4" ht="17.649999999999999" x14ac:dyDescent="0.5">
      <c r="A2" s="25" t="s">
        <v>225</v>
      </c>
      <c r="B2" s="14"/>
      <c r="C2" s="14"/>
      <c r="D2" s="14"/>
    </row>
    <row r="3" spans="1:4" x14ac:dyDescent="0.45">
      <c r="A3" s="24" t="s">
        <v>144</v>
      </c>
      <c r="B3" s="14"/>
      <c r="C3" s="14"/>
      <c r="D3" s="14"/>
    </row>
    <row r="5" spans="1:4" ht="24" x14ac:dyDescent="0.45">
      <c r="A5" s="1"/>
      <c r="B5" s="2" t="s">
        <v>0</v>
      </c>
      <c r="C5" s="2" t="s">
        <v>1</v>
      </c>
      <c r="D5" s="2" t="s">
        <v>2</v>
      </c>
    </row>
    <row r="6" spans="1:4" x14ac:dyDescent="0.45">
      <c r="A6" s="3" t="s">
        <v>7</v>
      </c>
      <c r="B6" s="18"/>
      <c r="C6" s="18"/>
      <c r="D6" s="18"/>
    </row>
    <row r="7" spans="1:4" x14ac:dyDescent="0.45">
      <c r="A7" s="3" t="s">
        <v>8</v>
      </c>
      <c r="B7" s="18"/>
      <c r="C7" s="18"/>
      <c r="D7" s="20">
        <f>(B7)+(C7)</f>
        <v>0</v>
      </c>
    </row>
    <row r="8" spans="1:4" x14ac:dyDescent="0.45">
      <c r="A8" s="3" t="s">
        <v>11</v>
      </c>
      <c r="B8" s="20">
        <f>7547.08</f>
        <v>7547.08</v>
      </c>
      <c r="C8" s="20">
        <f>82492.56</f>
        <v>82492.56</v>
      </c>
      <c r="D8" s="20">
        <f>(B8)+(C8)</f>
        <v>90039.64</v>
      </c>
    </row>
    <row r="9" spans="1:4" x14ac:dyDescent="0.45">
      <c r="A9" s="3" t="s">
        <v>12</v>
      </c>
      <c r="B9" s="20">
        <f>500</f>
        <v>500</v>
      </c>
      <c r="C9" s="20">
        <f>52376.25</f>
        <v>52376.25</v>
      </c>
      <c r="D9" s="20">
        <f>(B9)+(C9)</f>
        <v>52876.25</v>
      </c>
    </row>
    <row r="10" spans="1:4" x14ac:dyDescent="0.45">
      <c r="A10" s="3" t="s">
        <v>13</v>
      </c>
      <c r="B10" s="18"/>
      <c r="C10" s="20">
        <f>80</f>
        <v>80</v>
      </c>
      <c r="D10" s="20">
        <f>(B10)+(C10)</f>
        <v>80</v>
      </c>
    </row>
    <row r="11" spans="1:4" x14ac:dyDescent="0.45">
      <c r="A11" s="3" t="s">
        <v>14</v>
      </c>
      <c r="B11" s="20">
        <f>896.49</f>
        <v>896.49</v>
      </c>
      <c r="C11" s="20">
        <f>8176.69</f>
        <v>8176.69</v>
      </c>
      <c r="D11" s="20">
        <f>(B11)+(C11)</f>
        <v>9073.18</v>
      </c>
    </row>
    <row r="12" spans="1:4" x14ac:dyDescent="0.45">
      <c r="A12" s="3" t="s">
        <v>15</v>
      </c>
      <c r="B12" s="18"/>
      <c r="C12" s="20">
        <f>1440.79</f>
        <v>1440.79</v>
      </c>
      <c r="D12" s="20">
        <f>(B12)+(C12)</f>
        <v>1440.79</v>
      </c>
    </row>
    <row r="13" spans="1:4" x14ac:dyDescent="0.45">
      <c r="A13" s="3" t="s">
        <v>16</v>
      </c>
      <c r="B13" s="20">
        <f>852971.75</f>
        <v>852971.75</v>
      </c>
      <c r="C13" s="20">
        <f>852971.75</f>
        <v>852971.75</v>
      </c>
      <c r="D13" s="20">
        <f>(B13)+(C13)</f>
        <v>1705943.5</v>
      </c>
    </row>
    <row r="14" spans="1:4" x14ac:dyDescent="0.45">
      <c r="A14" s="3" t="s">
        <v>17</v>
      </c>
      <c r="B14" s="20">
        <f>1385.15</f>
        <v>1385.15</v>
      </c>
      <c r="C14" s="20">
        <f>1385.15</f>
        <v>1385.15</v>
      </c>
      <c r="D14" s="20">
        <f>(B14)+(C14)</f>
        <v>2770.3</v>
      </c>
    </row>
    <row r="15" spans="1:4" x14ac:dyDescent="0.45">
      <c r="A15" s="3" t="s">
        <v>19</v>
      </c>
      <c r="B15" s="19">
        <f>(((((((B7)+(B8))+(B9))+(B10))+(B11))+(B12))+(B13))+(B14)</f>
        <v>863300.47</v>
      </c>
      <c r="C15" s="19">
        <f>(((((((C7)+(C8))+(C9))+(C10))+(C11))+(C12))+(C13))+(C14)</f>
        <v>998923.19000000006</v>
      </c>
      <c r="D15" s="19">
        <f>(B15)+(C15)</f>
        <v>1862223.6600000001</v>
      </c>
    </row>
    <row r="16" spans="1:4" x14ac:dyDescent="0.45">
      <c r="A16" s="3" t="s">
        <v>20</v>
      </c>
      <c r="B16" s="19">
        <f>B15</f>
        <v>863300.47</v>
      </c>
      <c r="C16" s="19">
        <f>C15</f>
        <v>998923.19000000006</v>
      </c>
      <c r="D16" s="19">
        <f>(B16)+(C16)</f>
        <v>1862223.6600000001</v>
      </c>
    </row>
    <row r="17" spans="1:4" x14ac:dyDescent="0.45">
      <c r="A17" s="3" t="s">
        <v>21</v>
      </c>
      <c r="B17" s="19">
        <f>(B16)-(0)</f>
        <v>863300.47</v>
      </c>
      <c r="C17" s="19">
        <f>(C16)-(0)</f>
        <v>998923.19000000006</v>
      </c>
      <c r="D17" s="19">
        <f>(B17)+(C17)</f>
        <v>1862223.6600000001</v>
      </c>
    </row>
    <row r="18" spans="1:4" x14ac:dyDescent="0.45">
      <c r="A18" s="3" t="s">
        <v>22</v>
      </c>
      <c r="B18" s="18"/>
      <c r="C18" s="18"/>
      <c r="D18" s="18"/>
    </row>
    <row r="19" spans="1:4" x14ac:dyDescent="0.45">
      <c r="A19" s="3" t="s">
        <v>23</v>
      </c>
      <c r="B19" s="18"/>
      <c r="C19" s="18"/>
      <c r="D19" s="20">
        <f>(B19)+(C19)</f>
        <v>0</v>
      </c>
    </row>
    <row r="20" spans="1:4" x14ac:dyDescent="0.45">
      <c r="A20" s="3" t="s">
        <v>24</v>
      </c>
      <c r="B20" s="20">
        <f>323238.05</f>
        <v>323238.05</v>
      </c>
      <c r="C20" s="20">
        <f>357401.04</f>
        <v>357401.04</v>
      </c>
      <c r="D20" s="20">
        <f>(B20)+(C20)</f>
        <v>680639.09</v>
      </c>
    </row>
    <row r="21" spans="1:4" x14ac:dyDescent="0.45">
      <c r="A21" s="3" t="s">
        <v>25</v>
      </c>
      <c r="B21" s="18"/>
      <c r="C21" s="20">
        <f>6177.6</f>
        <v>6177.6</v>
      </c>
      <c r="D21" s="20">
        <f>(B21)+(C21)</f>
        <v>6177.6</v>
      </c>
    </row>
    <row r="22" spans="1:4" x14ac:dyDescent="0.45">
      <c r="A22" s="3" t="s">
        <v>26</v>
      </c>
      <c r="B22" s="20">
        <f>65691.48</f>
        <v>65691.48</v>
      </c>
      <c r="C22" s="20">
        <f>76055.83</f>
        <v>76055.83</v>
      </c>
      <c r="D22" s="20">
        <f>(B22)+(C22)</f>
        <v>141747.31</v>
      </c>
    </row>
    <row r="23" spans="1:4" x14ac:dyDescent="0.45">
      <c r="A23" s="3" t="s">
        <v>27</v>
      </c>
      <c r="B23" s="20">
        <f>26352.42</f>
        <v>26352.42</v>
      </c>
      <c r="C23" s="20">
        <f>21830.76</f>
        <v>21830.76</v>
      </c>
      <c r="D23" s="20">
        <f>(B23)+(C23)</f>
        <v>48183.179999999993</v>
      </c>
    </row>
    <row r="24" spans="1:4" x14ac:dyDescent="0.45">
      <c r="A24" s="3" t="s">
        <v>28</v>
      </c>
      <c r="B24" s="20">
        <f>5755.62</f>
        <v>5755.62</v>
      </c>
      <c r="C24" s="20">
        <f>7250.58</f>
        <v>7250.58</v>
      </c>
      <c r="D24" s="20">
        <f>(B24)+(C24)</f>
        <v>13006.2</v>
      </c>
    </row>
    <row r="25" spans="1:4" x14ac:dyDescent="0.45">
      <c r="A25" s="3" t="s">
        <v>29</v>
      </c>
      <c r="B25" s="20">
        <f>75646.27</f>
        <v>75646.27</v>
      </c>
      <c r="C25" s="20">
        <f>82511.01</f>
        <v>82511.009999999995</v>
      </c>
      <c r="D25" s="20">
        <f>(B25)+(C25)</f>
        <v>158157.28</v>
      </c>
    </row>
    <row r="26" spans="1:4" x14ac:dyDescent="0.45">
      <c r="A26" s="3" t="s">
        <v>30</v>
      </c>
      <c r="B26" s="20">
        <f>38.28</f>
        <v>38.28</v>
      </c>
      <c r="C26" s="20">
        <f>478.47</f>
        <v>478.47</v>
      </c>
      <c r="D26" s="20">
        <f>(B26)+(C26)</f>
        <v>516.75</v>
      </c>
    </row>
    <row r="27" spans="1:4" x14ac:dyDescent="0.45">
      <c r="A27" s="3" t="s">
        <v>31</v>
      </c>
      <c r="B27" s="18"/>
      <c r="C27" s="20">
        <f>7400</f>
        <v>7400</v>
      </c>
      <c r="D27" s="20">
        <f>(B27)+(C27)</f>
        <v>7400</v>
      </c>
    </row>
    <row r="28" spans="1:4" x14ac:dyDescent="0.45">
      <c r="A28" s="3" t="s">
        <v>32</v>
      </c>
      <c r="B28" s="20">
        <f>3249.86</f>
        <v>3249.86</v>
      </c>
      <c r="C28" s="18"/>
      <c r="D28" s="20">
        <f>(B28)+(C28)</f>
        <v>3249.86</v>
      </c>
    </row>
    <row r="29" spans="1:4" x14ac:dyDescent="0.45">
      <c r="A29" s="3" t="s">
        <v>33</v>
      </c>
      <c r="B29" s="20">
        <f>12767.36</f>
        <v>12767.36</v>
      </c>
      <c r="C29" s="20">
        <f>5880.88</f>
        <v>5880.88</v>
      </c>
      <c r="D29" s="20">
        <f>(B29)+(C29)</f>
        <v>18648.240000000002</v>
      </c>
    </row>
    <row r="30" spans="1:4" x14ac:dyDescent="0.45">
      <c r="A30" s="3" t="s">
        <v>34</v>
      </c>
      <c r="B30" s="18"/>
      <c r="C30" s="20">
        <f>404.75</f>
        <v>404.75</v>
      </c>
      <c r="D30" s="20">
        <f>(B30)+(C30)</f>
        <v>404.75</v>
      </c>
    </row>
    <row r="31" spans="1:4" x14ac:dyDescent="0.45">
      <c r="A31" s="3" t="s">
        <v>35</v>
      </c>
      <c r="B31" s="20">
        <f>665</f>
        <v>665</v>
      </c>
      <c r="C31" s="20">
        <f>3530.1</f>
        <v>3530.1</v>
      </c>
      <c r="D31" s="20">
        <f>(B31)+(C31)</f>
        <v>4195.1000000000004</v>
      </c>
    </row>
    <row r="32" spans="1:4" x14ac:dyDescent="0.45">
      <c r="A32" s="3" t="s">
        <v>36</v>
      </c>
      <c r="B32" s="18"/>
      <c r="C32" s="20">
        <f>205.63</f>
        <v>205.63</v>
      </c>
      <c r="D32" s="20">
        <f>(B32)+(C32)</f>
        <v>205.63</v>
      </c>
    </row>
    <row r="33" spans="1:4" x14ac:dyDescent="0.45">
      <c r="A33" s="3" t="s">
        <v>37</v>
      </c>
      <c r="B33" s="19">
        <f>(((((((((((((B19)+(B20))+(B21))+(B22))+(B23))+(B24))+(B25))+(B26))+(B27))+(B28))+(B29))+(B30))+(B31))+(B32)</f>
        <v>513404.33999999997</v>
      </c>
      <c r="C33" s="19">
        <f>(((((((((((((C19)+(C20))+(C21))+(C22))+(C23))+(C24))+(C25))+(C26))+(C27))+(C28))+(C29))+(C30))+(C31))+(C32)</f>
        <v>569126.64999999991</v>
      </c>
      <c r="D33" s="19">
        <f>(B33)+(C33)</f>
        <v>1082530.9899999998</v>
      </c>
    </row>
    <row r="34" spans="1:4" x14ac:dyDescent="0.45">
      <c r="A34" s="3" t="s">
        <v>38</v>
      </c>
      <c r="B34" s="18"/>
      <c r="C34" s="18"/>
      <c r="D34" s="20">
        <f>(B34)+(C34)</f>
        <v>0</v>
      </c>
    </row>
    <row r="35" spans="1:4" x14ac:dyDescent="0.45">
      <c r="A35" s="3" t="s">
        <v>39</v>
      </c>
      <c r="B35" s="20">
        <f>7209.16</f>
        <v>7209.16</v>
      </c>
      <c r="C35" s="20">
        <f>7425.42</f>
        <v>7425.42</v>
      </c>
      <c r="D35" s="20">
        <f>(B35)+(C35)</f>
        <v>14634.58</v>
      </c>
    </row>
    <row r="36" spans="1:4" x14ac:dyDescent="0.45">
      <c r="A36" s="3" t="s">
        <v>40</v>
      </c>
      <c r="B36" s="20">
        <f>7942</f>
        <v>7942</v>
      </c>
      <c r="C36" s="20">
        <f>8427.62</f>
        <v>8427.6200000000008</v>
      </c>
      <c r="D36" s="20">
        <f>(B36)+(C36)</f>
        <v>16369.62</v>
      </c>
    </row>
    <row r="37" spans="1:4" x14ac:dyDescent="0.45">
      <c r="A37" s="3" t="s">
        <v>41</v>
      </c>
      <c r="B37" s="20">
        <f>4456.12</f>
        <v>4456.12</v>
      </c>
      <c r="C37" s="20">
        <f>5287.08</f>
        <v>5287.08</v>
      </c>
      <c r="D37" s="20">
        <f>(B37)+(C37)</f>
        <v>9743.2000000000007</v>
      </c>
    </row>
    <row r="38" spans="1:4" x14ac:dyDescent="0.45">
      <c r="A38" s="3" t="s">
        <v>42</v>
      </c>
      <c r="B38" s="20">
        <f>1644.88</f>
        <v>1644.88</v>
      </c>
      <c r="C38" s="20">
        <f>1644.88</f>
        <v>1644.88</v>
      </c>
      <c r="D38" s="20">
        <f>(B38)+(C38)</f>
        <v>3289.76</v>
      </c>
    </row>
    <row r="39" spans="1:4" x14ac:dyDescent="0.45">
      <c r="A39" s="3" t="s">
        <v>43</v>
      </c>
      <c r="B39" s="20">
        <f>391.34</f>
        <v>391.34</v>
      </c>
      <c r="C39" s="20">
        <f>417.52</f>
        <v>417.52</v>
      </c>
      <c r="D39" s="20">
        <f>(B39)+(C39)</f>
        <v>808.8599999999999</v>
      </c>
    </row>
    <row r="40" spans="1:4" x14ac:dyDescent="0.45">
      <c r="A40" s="3" t="s">
        <v>44</v>
      </c>
      <c r="B40" s="20">
        <f>3330.74</f>
        <v>3330.74</v>
      </c>
      <c r="C40" s="20">
        <f>3752.8</f>
        <v>3752.8</v>
      </c>
      <c r="D40" s="20">
        <f>(B40)+(C40)</f>
        <v>7083.54</v>
      </c>
    </row>
    <row r="41" spans="1:4" x14ac:dyDescent="0.45">
      <c r="A41" s="3" t="s">
        <v>45</v>
      </c>
      <c r="B41" s="20">
        <f>237.4</f>
        <v>237.4</v>
      </c>
      <c r="C41" s="18"/>
      <c r="D41" s="20">
        <f>(B41)+(C41)</f>
        <v>237.4</v>
      </c>
    </row>
    <row r="42" spans="1:4" x14ac:dyDescent="0.45">
      <c r="A42" s="3" t="s">
        <v>46</v>
      </c>
      <c r="B42" s="19">
        <f>(((((((B34)+(B35))+(B36))+(B37))+(B38))+(B39))+(B40))+(B41)</f>
        <v>25211.64</v>
      </c>
      <c r="C42" s="19">
        <f>(((((((C34)+(C35))+(C36))+(C37))+(C38))+(C39))+(C40))+(C41)</f>
        <v>26955.320000000003</v>
      </c>
      <c r="D42" s="19">
        <f>(B42)+(C42)</f>
        <v>52166.960000000006</v>
      </c>
    </row>
    <row r="43" spans="1:4" x14ac:dyDescent="0.45">
      <c r="A43" s="3" t="s">
        <v>48</v>
      </c>
      <c r="B43" s="18"/>
      <c r="C43" s="18"/>
      <c r="D43" s="20">
        <f>(B43)+(C43)</f>
        <v>0</v>
      </c>
    </row>
    <row r="44" spans="1:4" x14ac:dyDescent="0.45">
      <c r="A44" s="3" t="s">
        <v>49</v>
      </c>
      <c r="B44" s="18"/>
      <c r="C44" s="20">
        <f>169.56</f>
        <v>169.56</v>
      </c>
      <c r="D44" s="20">
        <f>(B44)+(C44)</f>
        <v>169.56</v>
      </c>
    </row>
    <row r="45" spans="1:4" x14ac:dyDescent="0.45">
      <c r="A45" s="3" t="s">
        <v>50</v>
      </c>
      <c r="B45" s="19">
        <f>(B43)+(B44)</f>
        <v>0</v>
      </c>
      <c r="C45" s="19">
        <f>(C43)+(C44)</f>
        <v>169.56</v>
      </c>
      <c r="D45" s="19">
        <f>(B45)+(C45)</f>
        <v>169.56</v>
      </c>
    </row>
    <row r="46" spans="1:4" x14ac:dyDescent="0.45">
      <c r="A46" s="3" t="s">
        <v>51</v>
      </c>
      <c r="B46" s="18"/>
      <c r="C46" s="18"/>
      <c r="D46" s="20">
        <f>(B46)+(C46)</f>
        <v>0</v>
      </c>
    </row>
    <row r="47" spans="1:4" x14ac:dyDescent="0.45">
      <c r="A47" s="3" t="s">
        <v>52</v>
      </c>
      <c r="B47" s="20">
        <f>4647.26</f>
        <v>4647.26</v>
      </c>
      <c r="C47" s="20">
        <f>4933.9</f>
        <v>4933.8999999999996</v>
      </c>
      <c r="D47" s="20">
        <f>(B47)+(C47)</f>
        <v>9581.16</v>
      </c>
    </row>
    <row r="48" spans="1:4" x14ac:dyDescent="0.45">
      <c r="A48" s="3" t="s">
        <v>53</v>
      </c>
      <c r="B48" s="20">
        <f>504.74</f>
        <v>504.74</v>
      </c>
      <c r="C48" s="20">
        <f>504.74</f>
        <v>504.74</v>
      </c>
      <c r="D48" s="20">
        <f>(B48)+(C48)</f>
        <v>1009.48</v>
      </c>
    </row>
    <row r="49" spans="1:4" x14ac:dyDescent="0.45">
      <c r="A49" s="3" t="s">
        <v>54</v>
      </c>
      <c r="B49" s="20">
        <f>59.62</f>
        <v>59.62</v>
      </c>
      <c r="C49" s="20">
        <f>63.76</f>
        <v>63.76</v>
      </c>
      <c r="D49" s="20">
        <f>(B49)+(C49)</f>
        <v>123.38</v>
      </c>
    </row>
    <row r="50" spans="1:4" x14ac:dyDescent="0.45">
      <c r="A50" s="3" t="s">
        <v>55</v>
      </c>
      <c r="B50" s="20">
        <f>885.76</f>
        <v>885.76</v>
      </c>
      <c r="C50" s="20">
        <f>977.4</f>
        <v>977.4</v>
      </c>
      <c r="D50" s="20">
        <f>(B50)+(C50)</f>
        <v>1863.1599999999999</v>
      </c>
    </row>
    <row r="51" spans="1:4" x14ac:dyDescent="0.45">
      <c r="A51" s="3" t="s">
        <v>56</v>
      </c>
      <c r="B51" s="19">
        <f>((((B46)+(B47))+(B48))+(B49))+(B50)</f>
        <v>6097.38</v>
      </c>
      <c r="C51" s="19">
        <f>((((C46)+(C47))+(C48))+(C49))+(C50)</f>
        <v>6479.7999999999993</v>
      </c>
      <c r="D51" s="19">
        <f>(B51)+(C51)</f>
        <v>12577.18</v>
      </c>
    </row>
    <row r="52" spans="1:4" x14ac:dyDescent="0.45">
      <c r="A52" s="3" t="s">
        <v>57</v>
      </c>
      <c r="B52" s="18"/>
      <c r="C52" s="18"/>
      <c r="D52" s="20">
        <f>(B52)+(C52)</f>
        <v>0</v>
      </c>
    </row>
    <row r="53" spans="1:4" x14ac:dyDescent="0.45">
      <c r="A53" s="3" t="s">
        <v>58</v>
      </c>
      <c r="B53" s="20">
        <f>10729.16</f>
        <v>10729.16</v>
      </c>
      <c r="C53" s="20">
        <f>10729.16</f>
        <v>10729.16</v>
      </c>
      <c r="D53" s="20">
        <f>(B53)+(C53)</f>
        <v>21458.32</v>
      </c>
    </row>
    <row r="54" spans="1:4" x14ac:dyDescent="0.45">
      <c r="A54" s="3" t="s">
        <v>59</v>
      </c>
      <c r="B54" s="20">
        <f>4</f>
        <v>4</v>
      </c>
      <c r="C54" s="20">
        <f>4</f>
        <v>4</v>
      </c>
      <c r="D54" s="20">
        <f>(B54)+(C54)</f>
        <v>8</v>
      </c>
    </row>
    <row r="55" spans="1:4" x14ac:dyDescent="0.45">
      <c r="A55" s="3" t="s">
        <v>60</v>
      </c>
      <c r="B55" s="20">
        <f>153.44</f>
        <v>153.44</v>
      </c>
      <c r="C55" s="20">
        <f>153.44</f>
        <v>153.44</v>
      </c>
      <c r="D55" s="20">
        <f>(B55)+(C55)</f>
        <v>306.88</v>
      </c>
    </row>
    <row r="56" spans="1:4" x14ac:dyDescent="0.45">
      <c r="A56" s="3" t="s">
        <v>61</v>
      </c>
      <c r="B56" s="20">
        <f>2044.98</f>
        <v>2044.98</v>
      </c>
      <c r="C56" s="20">
        <f>2125.44</f>
        <v>2125.44</v>
      </c>
      <c r="D56" s="20">
        <f>(B56)+(C56)</f>
        <v>4170.42</v>
      </c>
    </row>
    <row r="57" spans="1:4" x14ac:dyDescent="0.45">
      <c r="A57" s="3" t="s">
        <v>62</v>
      </c>
      <c r="B57" s="20">
        <f>162.5</f>
        <v>162.5</v>
      </c>
      <c r="C57" s="20">
        <f>10900</f>
        <v>10900</v>
      </c>
      <c r="D57" s="20">
        <f>(B57)+(C57)</f>
        <v>11062.5</v>
      </c>
    </row>
    <row r="58" spans="1:4" x14ac:dyDescent="0.45">
      <c r="A58" s="3" t="s">
        <v>63</v>
      </c>
      <c r="B58" s="20">
        <f>51.5</f>
        <v>51.5</v>
      </c>
      <c r="C58" s="20">
        <f>794</f>
        <v>794</v>
      </c>
      <c r="D58" s="20">
        <f>(B58)+(C58)</f>
        <v>845.5</v>
      </c>
    </row>
    <row r="59" spans="1:4" x14ac:dyDescent="0.45">
      <c r="A59" s="3" t="s">
        <v>64</v>
      </c>
      <c r="B59" s="20">
        <f>4135.2</f>
        <v>4135.2</v>
      </c>
      <c r="C59" s="20">
        <f>257.5</f>
        <v>257.5</v>
      </c>
      <c r="D59" s="20">
        <f>(B59)+(C59)</f>
        <v>4392.7</v>
      </c>
    </row>
    <row r="60" spans="1:4" x14ac:dyDescent="0.45">
      <c r="A60" s="3" t="s">
        <v>65</v>
      </c>
      <c r="B60" s="20">
        <f>80</f>
        <v>80</v>
      </c>
      <c r="C60" s="20">
        <f>80</f>
        <v>80</v>
      </c>
      <c r="D60" s="20">
        <f>(B60)+(C60)</f>
        <v>160</v>
      </c>
    </row>
    <row r="61" spans="1:4" x14ac:dyDescent="0.45">
      <c r="A61" s="3" t="s">
        <v>66</v>
      </c>
      <c r="B61" s="20">
        <f>750</f>
        <v>750</v>
      </c>
      <c r="C61" s="18"/>
      <c r="D61" s="20">
        <f>(B61)+(C61)</f>
        <v>750</v>
      </c>
    </row>
    <row r="62" spans="1:4" x14ac:dyDescent="0.45">
      <c r="A62" s="3" t="s">
        <v>67</v>
      </c>
      <c r="B62" s="20">
        <f>110</f>
        <v>110</v>
      </c>
      <c r="C62" s="18"/>
      <c r="D62" s="20">
        <f>(B62)+(C62)</f>
        <v>110</v>
      </c>
    </row>
    <row r="63" spans="1:4" x14ac:dyDescent="0.45">
      <c r="A63" s="3" t="s">
        <v>68</v>
      </c>
      <c r="B63" s="20">
        <f>3008.84</f>
        <v>3008.84</v>
      </c>
      <c r="C63" s="20">
        <f>10.78</f>
        <v>10.78</v>
      </c>
      <c r="D63" s="20">
        <f>(B63)+(C63)</f>
        <v>3019.6200000000003</v>
      </c>
    </row>
    <row r="64" spans="1:4" x14ac:dyDescent="0.45">
      <c r="A64" s="3" t="s">
        <v>69</v>
      </c>
      <c r="B64" s="19">
        <f>(((((((((((B52)+(B53))+(B54))+(B55))+(B56))+(B57))+(B58))+(B59))+(B60))+(B61))+(B62))+(B63)</f>
        <v>21229.62</v>
      </c>
      <c r="C64" s="19">
        <f>(((((((((((C52)+(C53))+(C54))+(C55))+(C56))+(C57))+(C58))+(C59))+(C60))+(C61))+(C62))+(C63)</f>
        <v>25054.32</v>
      </c>
      <c r="D64" s="19">
        <f>(B64)+(C64)</f>
        <v>46283.94</v>
      </c>
    </row>
    <row r="65" spans="1:4" x14ac:dyDescent="0.45">
      <c r="A65" s="3" t="s">
        <v>70</v>
      </c>
      <c r="B65" s="18"/>
      <c r="C65" s="18"/>
      <c r="D65" s="20">
        <f>(B65)+(C65)</f>
        <v>0</v>
      </c>
    </row>
    <row r="66" spans="1:4" x14ac:dyDescent="0.45">
      <c r="A66" s="3" t="s">
        <v>71</v>
      </c>
      <c r="B66" s="20">
        <f>8919.72</f>
        <v>8919.7199999999993</v>
      </c>
      <c r="C66" s="20">
        <f>8919.72</f>
        <v>8919.7199999999993</v>
      </c>
      <c r="D66" s="20">
        <f>(B66)+(C66)</f>
        <v>17839.439999999999</v>
      </c>
    </row>
    <row r="67" spans="1:4" x14ac:dyDescent="0.45">
      <c r="A67" s="3" t="s">
        <v>72</v>
      </c>
      <c r="B67" s="20">
        <f>30431.24</f>
        <v>30431.24</v>
      </c>
      <c r="C67" s="20">
        <f>31344.2</f>
        <v>31344.2</v>
      </c>
      <c r="D67" s="20">
        <f>(B67)+(C67)</f>
        <v>61775.44</v>
      </c>
    </row>
    <row r="68" spans="1:4" x14ac:dyDescent="0.45">
      <c r="A68" s="3" t="s">
        <v>73</v>
      </c>
      <c r="B68" s="20">
        <f>21814.08</f>
        <v>21814.080000000002</v>
      </c>
      <c r="C68" s="20">
        <f>26777.31</f>
        <v>26777.31</v>
      </c>
      <c r="D68" s="20">
        <f>(B68)+(C68)</f>
        <v>48591.39</v>
      </c>
    </row>
    <row r="69" spans="1:4" x14ac:dyDescent="0.45">
      <c r="A69" s="3" t="s">
        <v>74</v>
      </c>
      <c r="B69" s="20">
        <f>288</f>
        <v>288</v>
      </c>
      <c r="C69" s="18"/>
      <c r="D69" s="20">
        <f>(B69)+(C69)</f>
        <v>288</v>
      </c>
    </row>
    <row r="70" spans="1:4" x14ac:dyDescent="0.45">
      <c r="A70" s="3" t="s">
        <v>75</v>
      </c>
      <c r="B70" s="20">
        <f>3377.2</f>
        <v>3377.2</v>
      </c>
      <c r="C70" s="20">
        <f>3377.2</f>
        <v>3377.2</v>
      </c>
      <c r="D70" s="20">
        <f>(B70)+(C70)</f>
        <v>6754.4</v>
      </c>
    </row>
    <row r="71" spans="1:4" x14ac:dyDescent="0.45">
      <c r="A71" s="3" t="s">
        <v>76</v>
      </c>
      <c r="B71" s="20">
        <f>1115.28</f>
        <v>1115.28</v>
      </c>
      <c r="C71" s="20">
        <f>1510.98</f>
        <v>1510.98</v>
      </c>
      <c r="D71" s="20">
        <f>(B71)+(C71)</f>
        <v>2626.26</v>
      </c>
    </row>
    <row r="72" spans="1:4" x14ac:dyDescent="0.45">
      <c r="A72" s="3" t="s">
        <v>77</v>
      </c>
      <c r="B72" s="20">
        <f>10744.6</f>
        <v>10744.6</v>
      </c>
      <c r="C72" s="20">
        <f>11348.24</f>
        <v>11348.24</v>
      </c>
      <c r="D72" s="20">
        <f>(B72)+(C72)</f>
        <v>22092.84</v>
      </c>
    </row>
    <row r="73" spans="1:4" x14ac:dyDescent="0.45">
      <c r="A73" s="3" t="s">
        <v>78</v>
      </c>
      <c r="B73" s="20">
        <f>24.1</f>
        <v>24.1</v>
      </c>
      <c r="C73" s="20">
        <f>24.1</f>
        <v>24.1</v>
      </c>
      <c r="D73" s="20">
        <f>(B73)+(C73)</f>
        <v>48.2</v>
      </c>
    </row>
    <row r="74" spans="1:4" x14ac:dyDescent="0.45">
      <c r="A74" s="3" t="s">
        <v>79</v>
      </c>
      <c r="B74" s="20">
        <f>7235.55</f>
        <v>7235.55</v>
      </c>
      <c r="C74" s="18"/>
      <c r="D74" s="20">
        <f>(B74)+(C74)</f>
        <v>7235.55</v>
      </c>
    </row>
    <row r="75" spans="1:4" x14ac:dyDescent="0.45">
      <c r="A75" s="3" t="s">
        <v>80</v>
      </c>
      <c r="B75" s="20">
        <f>3087.92</f>
        <v>3087.92</v>
      </c>
      <c r="C75" s="20">
        <f>124</f>
        <v>124</v>
      </c>
      <c r="D75" s="20">
        <f>(B75)+(C75)</f>
        <v>3211.92</v>
      </c>
    </row>
    <row r="76" spans="1:4" x14ac:dyDescent="0.45">
      <c r="A76" s="3" t="s">
        <v>81</v>
      </c>
      <c r="B76" s="19">
        <f>((((((((((B65)+(B66))+(B67))+(B68))+(B69))+(B70))+(B71))+(B72))+(B73))+(B74))+(B75)</f>
        <v>87037.690000000017</v>
      </c>
      <c r="C76" s="19">
        <f>((((((((((C65)+(C66))+(C67))+(C68))+(C69))+(C70))+(C71))+(C72))+(C73))+(C74))+(C75)</f>
        <v>83425.75</v>
      </c>
      <c r="D76" s="19">
        <f>(B76)+(C76)</f>
        <v>170463.44</v>
      </c>
    </row>
    <row r="77" spans="1:4" x14ac:dyDescent="0.45">
      <c r="A77" s="3" t="s">
        <v>82</v>
      </c>
      <c r="B77" s="18"/>
      <c r="C77" s="18"/>
      <c r="D77" s="20">
        <f>(B77)+(C77)</f>
        <v>0</v>
      </c>
    </row>
    <row r="78" spans="1:4" x14ac:dyDescent="0.45">
      <c r="A78" s="3" t="s">
        <v>83</v>
      </c>
      <c r="B78" s="20">
        <f>9575.9</f>
        <v>9575.9</v>
      </c>
      <c r="C78" s="20">
        <f>9575.9</f>
        <v>9575.9</v>
      </c>
      <c r="D78" s="20">
        <f>(B78)+(C78)</f>
        <v>19151.8</v>
      </c>
    </row>
    <row r="79" spans="1:4" x14ac:dyDescent="0.45">
      <c r="A79" s="3" t="s">
        <v>84</v>
      </c>
      <c r="B79" s="20">
        <f>9012.5</f>
        <v>9012.5</v>
      </c>
      <c r="C79" s="20">
        <f>9012.5</f>
        <v>9012.5</v>
      </c>
      <c r="D79" s="20">
        <f>(B79)+(C79)</f>
        <v>18025</v>
      </c>
    </row>
    <row r="80" spans="1:4" x14ac:dyDescent="0.45">
      <c r="A80" s="3" t="s">
        <v>85</v>
      </c>
      <c r="B80" s="20">
        <f>336.32</f>
        <v>336.32</v>
      </c>
      <c r="C80" s="20">
        <f>336.32</f>
        <v>336.32</v>
      </c>
      <c r="D80" s="20">
        <f>(B80)+(C80)</f>
        <v>672.64</v>
      </c>
    </row>
    <row r="81" spans="1:4" x14ac:dyDescent="0.45">
      <c r="A81" s="3" t="s">
        <v>86</v>
      </c>
      <c r="B81" s="20">
        <f>265.82</f>
        <v>265.82</v>
      </c>
      <c r="C81" s="20">
        <f>265.82</f>
        <v>265.82</v>
      </c>
      <c r="D81" s="20">
        <f>(B81)+(C81)</f>
        <v>531.64</v>
      </c>
    </row>
    <row r="82" spans="1:4" x14ac:dyDescent="0.45">
      <c r="A82" s="3" t="s">
        <v>87</v>
      </c>
      <c r="B82" s="20">
        <f>3542.96</f>
        <v>3542.96</v>
      </c>
      <c r="C82" s="20">
        <f>3682.36</f>
        <v>3682.36</v>
      </c>
      <c r="D82" s="20">
        <f>(B82)+(C82)</f>
        <v>7225.32</v>
      </c>
    </row>
    <row r="83" spans="1:4" x14ac:dyDescent="0.45">
      <c r="A83" s="3" t="s">
        <v>88</v>
      </c>
      <c r="B83" s="20">
        <f>60.26</f>
        <v>60.26</v>
      </c>
      <c r="C83" s="20">
        <f>51</f>
        <v>51</v>
      </c>
      <c r="D83" s="20">
        <f>(B83)+(C83)</f>
        <v>111.25999999999999</v>
      </c>
    </row>
    <row r="84" spans="1:4" x14ac:dyDescent="0.45">
      <c r="A84" s="3" t="s">
        <v>89</v>
      </c>
      <c r="B84" s="20">
        <f>408.83</f>
        <v>408.83</v>
      </c>
      <c r="C84" s="20">
        <f>769.08</f>
        <v>769.08</v>
      </c>
      <c r="D84" s="20">
        <f>(B84)+(C84)</f>
        <v>1177.9100000000001</v>
      </c>
    </row>
    <row r="85" spans="1:4" x14ac:dyDescent="0.45">
      <c r="A85" s="3" t="s">
        <v>90</v>
      </c>
      <c r="B85" s="19">
        <f>(((((((B77)+(B78))+(B79))+(B80))+(B81))+(B82))+(B83))+(B84)</f>
        <v>23202.59</v>
      </c>
      <c r="C85" s="19">
        <f>(((((((C77)+(C78))+(C79))+(C80))+(C81))+(C82))+(C83))+(C84)</f>
        <v>23692.980000000003</v>
      </c>
      <c r="D85" s="19">
        <f>(B85)+(C85)</f>
        <v>46895.570000000007</v>
      </c>
    </row>
    <row r="86" spans="1:4" x14ac:dyDescent="0.45">
      <c r="A86" s="3" t="s">
        <v>91</v>
      </c>
      <c r="B86" s="18"/>
      <c r="C86" s="18"/>
      <c r="D86" s="20">
        <f>(B86)+(C86)</f>
        <v>0</v>
      </c>
    </row>
    <row r="87" spans="1:4" x14ac:dyDescent="0.45">
      <c r="A87" s="3" t="s">
        <v>92</v>
      </c>
      <c r="B87" s="20">
        <f>17301.76</f>
        <v>17301.759999999998</v>
      </c>
      <c r="C87" s="20">
        <f>16872.61</f>
        <v>16872.61</v>
      </c>
      <c r="D87" s="20">
        <f>(B87)+(C87)</f>
        <v>34174.369999999995</v>
      </c>
    </row>
    <row r="88" spans="1:4" x14ac:dyDescent="0.45">
      <c r="A88" s="3" t="s">
        <v>93</v>
      </c>
      <c r="B88" s="20">
        <f>5215.5</f>
        <v>5215.5</v>
      </c>
      <c r="C88" s="20">
        <f>5215.5</f>
        <v>5215.5</v>
      </c>
      <c r="D88" s="20">
        <f>(B88)+(C88)</f>
        <v>10431</v>
      </c>
    </row>
    <row r="89" spans="1:4" x14ac:dyDescent="0.45">
      <c r="A89" s="3" t="s">
        <v>94</v>
      </c>
      <c r="B89" s="20">
        <f>632.36</f>
        <v>632.36</v>
      </c>
      <c r="C89" s="20">
        <f>632.36</f>
        <v>632.36</v>
      </c>
      <c r="D89" s="20">
        <f>(B89)+(C89)</f>
        <v>1264.72</v>
      </c>
    </row>
    <row r="90" spans="1:4" x14ac:dyDescent="0.45">
      <c r="A90" s="3" t="s">
        <v>95</v>
      </c>
      <c r="B90" s="20">
        <f>1382.04</f>
        <v>1382.04</v>
      </c>
      <c r="C90" s="20">
        <f>1335.4</f>
        <v>1335.4</v>
      </c>
      <c r="D90" s="20">
        <f>(B90)+(C90)</f>
        <v>2717.44</v>
      </c>
    </row>
    <row r="91" spans="1:4" x14ac:dyDescent="0.45">
      <c r="A91" s="3" t="s">
        <v>96</v>
      </c>
      <c r="B91" s="20">
        <f>2177.18</f>
        <v>2177.1799999999998</v>
      </c>
      <c r="C91" s="20">
        <f>2262.86</f>
        <v>2262.86</v>
      </c>
      <c r="D91" s="20">
        <f>(B91)+(C91)</f>
        <v>4440.04</v>
      </c>
    </row>
    <row r="92" spans="1:4" x14ac:dyDescent="0.45">
      <c r="A92" s="3" t="s">
        <v>97</v>
      </c>
      <c r="B92" s="20">
        <f>46.01</f>
        <v>46.01</v>
      </c>
      <c r="C92" s="20">
        <f>37.13</f>
        <v>37.130000000000003</v>
      </c>
      <c r="D92" s="20">
        <f>(B92)+(C92)</f>
        <v>83.14</v>
      </c>
    </row>
    <row r="93" spans="1:4" x14ac:dyDescent="0.45">
      <c r="A93" s="3" t="s">
        <v>98</v>
      </c>
      <c r="B93" s="20">
        <f>5170.27</f>
        <v>5170.2700000000004</v>
      </c>
      <c r="C93" s="20">
        <f>20447</f>
        <v>20447</v>
      </c>
      <c r="D93" s="20">
        <f>(B93)+(C93)</f>
        <v>25617.27</v>
      </c>
    </row>
    <row r="94" spans="1:4" x14ac:dyDescent="0.45">
      <c r="A94" s="3" t="s">
        <v>99</v>
      </c>
      <c r="B94" s="20">
        <f>1932.53</f>
        <v>1932.53</v>
      </c>
      <c r="C94" s="20">
        <f>584.16</f>
        <v>584.16</v>
      </c>
      <c r="D94" s="20">
        <f>(B94)+(C94)</f>
        <v>2516.69</v>
      </c>
    </row>
    <row r="95" spans="1:4" x14ac:dyDescent="0.45">
      <c r="A95" s="3" t="s">
        <v>100</v>
      </c>
      <c r="B95" s="20">
        <f>17788.1</f>
        <v>17788.099999999999</v>
      </c>
      <c r="C95" s="20">
        <f>19168.68</f>
        <v>19168.68</v>
      </c>
      <c r="D95" s="20">
        <f>(B95)+(C95)</f>
        <v>36956.78</v>
      </c>
    </row>
    <row r="96" spans="1:4" x14ac:dyDescent="0.45">
      <c r="A96" s="3" t="s">
        <v>101</v>
      </c>
      <c r="B96" s="20">
        <f>3200</f>
        <v>3200</v>
      </c>
      <c r="C96" s="20">
        <f>1625</f>
        <v>1625</v>
      </c>
      <c r="D96" s="20">
        <f>(B96)+(C96)</f>
        <v>4825</v>
      </c>
    </row>
    <row r="97" spans="1:4" x14ac:dyDescent="0.45">
      <c r="A97" s="3" t="s">
        <v>102</v>
      </c>
      <c r="B97" s="20">
        <f>5509.29</f>
        <v>5509.29</v>
      </c>
      <c r="C97" s="20">
        <f>5509.29</f>
        <v>5509.29</v>
      </c>
      <c r="D97" s="20">
        <f>(B97)+(C97)</f>
        <v>11018.58</v>
      </c>
    </row>
    <row r="98" spans="1:4" x14ac:dyDescent="0.45">
      <c r="A98" s="3" t="s">
        <v>103</v>
      </c>
      <c r="B98" s="20">
        <f>9349.5</f>
        <v>9349.5</v>
      </c>
      <c r="C98" s="20">
        <f>9349.5</f>
        <v>9349.5</v>
      </c>
      <c r="D98" s="20">
        <f>(B98)+(C98)</f>
        <v>18699</v>
      </c>
    </row>
    <row r="99" spans="1:4" x14ac:dyDescent="0.45">
      <c r="A99" s="3" t="s">
        <v>104</v>
      </c>
      <c r="B99" s="20">
        <f>2025</f>
        <v>2025</v>
      </c>
      <c r="C99" s="18"/>
      <c r="D99" s="20">
        <f>(B99)+(C99)</f>
        <v>2025</v>
      </c>
    </row>
    <row r="100" spans="1:4" x14ac:dyDescent="0.45">
      <c r="A100" s="3" t="s">
        <v>105</v>
      </c>
      <c r="B100" s="20">
        <f>4334.18</f>
        <v>4334.18</v>
      </c>
      <c r="C100" s="20">
        <f>3893.45</f>
        <v>3893.45</v>
      </c>
      <c r="D100" s="20">
        <f>(B100)+(C100)</f>
        <v>8227.630000000001</v>
      </c>
    </row>
    <row r="101" spans="1:4" x14ac:dyDescent="0.45">
      <c r="A101" s="3" t="s">
        <v>106</v>
      </c>
      <c r="B101" s="20">
        <f>4910.65</f>
        <v>4910.6499999999996</v>
      </c>
      <c r="C101" s="20">
        <f>6448.34</f>
        <v>6448.34</v>
      </c>
      <c r="D101" s="20">
        <f>(B101)+(C101)</f>
        <v>11358.99</v>
      </c>
    </row>
    <row r="102" spans="1:4" x14ac:dyDescent="0.45">
      <c r="A102" s="3" t="s">
        <v>107</v>
      </c>
      <c r="B102" s="20">
        <f>9278.69</f>
        <v>9278.69</v>
      </c>
      <c r="C102" s="20">
        <f>5982.69</f>
        <v>5982.69</v>
      </c>
      <c r="D102" s="20">
        <f>(B102)+(C102)</f>
        <v>15261.380000000001</v>
      </c>
    </row>
    <row r="103" spans="1:4" x14ac:dyDescent="0.45">
      <c r="A103" s="3" t="s">
        <v>108</v>
      </c>
      <c r="B103" s="18"/>
      <c r="C103" s="20">
        <f>1089.6</f>
        <v>1089.5999999999999</v>
      </c>
      <c r="D103" s="20">
        <f>(B103)+(C103)</f>
        <v>1089.5999999999999</v>
      </c>
    </row>
    <row r="104" spans="1:4" x14ac:dyDescent="0.45">
      <c r="A104" s="3" t="s">
        <v>109</v>
      </c>
      <c r="B104" s="20">
        <f>-5906</f>
        <v>-5906</v>
      </c>
      <c r="C104" s="20">
        <f>-5906</f>
        <v>-5906</v>
      </c>
      <c r="D104" s="20">
        <f>(B104)+(C104)</f>
        <v>-11812</v>
      </c>
    </row>
    <row r="105" spans="1:4" x14ac:dyDescent="0.45">
      <c r="A105" s="3" t="s">
        <v>110</v>
      </c>
      <c r="B105" s="19">
        <f>((((((((((((((((((B86)+(B87))+(B88))+(B89))+(B90))+(B91))+(B92))+(B93))+(B94))+(B95))+(B96))+(B97))+(B98))+(B99))+(B100))+(B101))+(B102))+(B103))+(B104)</f>
        <v>84347.06</v>
      </c>
      <c r="C105" s="19">
        <f>((((((((((((((((((C86)+(C87))+(C88))+(C89))+(C90))+(C91))+(C92))+(C93))+(C94))+(C95))+(C96))+(C97))+(C98))+(C99))+(C100))+(C101))+(C102))+(C103))+(C104)</f>
        <v>94547.57</v>
      </c>
      <c r="D105" s="19">
        <f>(B105)+(C105)</f>
        <v>178894.63</v>
      </c>
    </row>
    <row r="106" spans="1:4" x14ac:dyDescent="0.45">
      <c r="A106" s="3" t="s">
        <v>111</v>
      </c>
      <c r="B106" s="18"/>
      <c r="C106" s="18"/>
      <c r="D106" s="20">
        <f>(B106)+(C106)</f>
        <v>0</v>
      </c>
    </row>
    <row r="107" spans="1:4" x14ac:dyDescent="0.45">
      <c r="A107" s="3" t="s">
        <v>112</v>
      </c>
      <c r="B107" s="20">
        <f>1102.33</f>
        <v>1102.33</v>
      </c>
      <c r="C107" s="18"/>
      <c r="D107" s="20">
        <f>(B107)+(C107)</f>
        <v>1102.33</v>
      </c>
    </row>
    <row r="108" spans="1:4" x14ac:dyDescent="0.45">
      <c r="A108" s="3" t="s">
        <v>113</v>
      </c>
      <c r="B108" s="19">
        <f>(B106)+(B107)</f>
        <v>1102.33</v>
      </c>
      <c r="C108" s="19">
        <f>(C106)+(C107)</f>
        <v>0</v>
      </c>
      <c r="D108" s="19">
        <f>(B108)+(C108)</f>
        <v>1102.33</v>
      </c>
    </row>
    <row r="109" spans="1:4" x14ac:dyDescent="0.45">
      <c r="A109" s="3" t="s">
        <v>114</v>
      </c>
      <c r="B109" s="18"/>
      <c r="C109" s="18"/>
      <c r="D109" s="20">
        <f>(B109)+(C109)</f>
        <v>0</v>
      </c>
    </row>
    <row r="110" spans="1:4" x14ac:dyDescent="0.45">
      <c r="A110" s="3" t="s">
        <v>115</v>
      </c>
      <c r="B110" s="20">
        <f>2174.92</f>
        <v>2174.92</v>
      </c>
      <c r="C110" s="20">
        <f>2174.92</f>
        <v>2174.92</v>
      </c>
      <c r="D110" s="20">
        <f>(B110)+(C110)</f>
        <v>4349.84</v>
      </c>
    </row>
    <row r="111" spans="1:4" x14ac:dyDescent="0.45">
      <c r="A111" s="3" t="s">
        <v>116</v>
      </c>
      <c r="B111" s="20">
        <f>166.38</f>
        <v>166.38</v>
      </c>
      <c r="C111" s="20">
        <f>166.38</f>
        <v>166.38</v>
      </c>
      <c r="D111" s="20">
        <f>(B111)+(C111)</f>
        <v>332.76</v>
      </c>
    </row>
    <row r="112" spans="1:4" x14ac:dyDescent="0.45">
      <c r="A112" s="3" t="s">
        <v>117</v>
      </c>
      <c r="B112" s="18"/>
      <c r="C112" s="20">
        <f>949.51</f>
        <v>949.51</v>
      </c>
      <c r="D112" s="20">
        <f>(B112)+(C112)</f>
        <v>949.51</v>
      </c>
    </row>
    <row r="113" spans="1:4" x14ac:dyDescent="0.45">
      <c r="A113" s="3" t="s">
        <v>118</v>
      </c>
      <c r="B113" s="18"/>
      <c r="C113" s="20">
        <f>42826.15</f>
        <v>42826.15</v>
      </c>
      <c r="D113" s="20">
        <f>(B113)+(C113)</f>
        <v>42826.15</v>
      </c>
    </row>
    <row r="114" spans="1:4" x14ac:dyDescent="0.45">
      <c r="A114" s="3" t="s">
        <v>119</v>
      </c>
      <c r="B114" s="19">
        <f>((((B109)+(B110))+(B111))+(B112))+(B113)</f>
        <v>2341.3000000000002</v>
      </c>
      <c r="C114" s="19">
        <f>((((C109)+(C110))+(C111))+(C112))+(C113)</f>
        <v>46116.959999999999</v>
      </c>
      <c r="D114" s="19">
        <f>(B114)+(C114)</f>
        <v>48458.26</v>
      </c>
    </row>
    <row r="115" spans="1:4" x14ac:dyDescent="0.45">
      <c r="A115" s="3" t="s">
        <v>120</v>
      </c>
      <c r="B115" s="18"/>
      <c r="C115" s="18"/>
      <c r="D115" s="20">
        <f>(B115)+(C115)</f>
        <v>0</v>
      </c>
    </row>
    <row r="116" spans="1:4" x14ac:dyDescent="0.45">
      <c r="A116" s="3" t="s">
        <v>121</v>
      </c>
      <c r="B116" s="20">
        <f>3008.34</f>
        <v>3008.34</v>
      </c>
      <c r="C116" s="20">
        <f>3098.58</f>
        <v>3098.58</v>
      </c>
      <c r="D116" s="20">
        <f>(B116)+(C116)</f>
        <v>6106.92</v>
      </c>
    </row>
    <row r="117" spans="1:4" x14ac:dyDescent="0.45">
      <c r="A117" s="3" t="s">
        <v>122</v>
      </c>
      <c r="B117" s="20">
        <f>4779.16</f>
        <v>4779.16</v>
      </c>
      <c r="C117" s="20">
        <f>33378.75</f>
        <v>33378.75</v>
      </c>
      <c r="D117" s="20">
        <f>(B117)+(C117)</f>
        <v>38157.910000000003</v>
      </c>
    </row>
    <row r="118" spans="1:4" x14ac:dyDescent="0.45">
      <c r="A118" s="3" t="s">
        <v>123</v>
      </c>
      <c r="B118" s="20">
        <f>4</f>
        <v>4</v>
      </c>
      <c r="C118" s="20">
        <f>4</f>
        <v>4</v>
      </c>
      <c r="D118" s="20">
        <f>(B118)+(C118)</f>
        <v>8</v>
      </c>
    </row>
    <row r="119" spans="1:4" x14ac:dyDescent="0.45">
      <c r="A119" s="3" t="s">
        <v>124</v>
      </c>
      <c r="B119" s="20">
        <f>594.5</f>
        <v>594.5</v>
      </c>
      <c r="C119" s="20">
        <f>2789.27</f>
        <v>2789.27</v>
      </c>
      <c r="D119" s="20">
        <f>(B119)+(C119)</f>
        <v>3383.77</v>
      </c>
    </row>
    <row r="120" spans="1:4" x14ac:dyDescent="0.45">
      <c r="A120" s="3" t="s">
        <v>125</v>
      </c>
      <c r="B120" s="20">
        <f>29.37</f>
        <v>29.37</v>
      </c>
      <c r="C120" s="20">
        <f>180.27</f>
        <v>180.27</v>
      </c>
      <c r="D120" s="20">
        <f>(B120)+(C120)</f>
        <v>209.64000000000001</v>
      </c>
    </row>
    <row r="121" spans="1:4" x14ac:dyDescent="0.45">
      <c r="A121" s="3" t="s">
        <v>126</v>
      </c>
      <c r="B121" s="18"/>
      <c r="C121" s="20">
        <f>300</f>
        <v>300</v>
      </c>
      <c r="D121" s="20">
        <f>(B121)+(C121)</f>
        <v>300</v>
      </c>
    </row>
    <row r="122" spans="1:4" x14ac:dyDescent="0.45">
      <c r="A122" s="3" t="s">
        <v>127</v>
      </c>
      <c r="B122" s="20">
        <f>367.38</f>
        <v>367.38</v>
      </c>
      <c r="C122" s="20">
        <f>425</f>
        <v>425</v>
      </c>
      <c r="D122" s="20">
        <f>(B122)+(C122)</f>
        <v>792.38</v>
      </c>
    </row>
    <row r="123" spans="1:4" x14ac:dyDescent="0.45">
      <c r="A123" s="3" t="s">
        <v>128</v>
      </c>
      <c r="B123" s="20">
        <f>737.68</f>
        <v>737.68</v>
      </c>
      <c r="C123" s="20">
        <f>2576.88</f>
        <v>2576.88</v>
      </c>
      <c r="D123" s="20">
        <f>(B123)+(C123)</f>
        <v>3314.56</v>
      </c>
    </row>
    <row r="124" spans="1:4" x14ac:dyDescent="0.45">
      <c r="A124" s="3" t="s">
        <v>129</v>
      </c>
      <c r="B124" s="20">
        <f>72.48</f>
        <v>72.48</v>
      </c>
      <c r="C124" s="20">
        <f>72.45</f>
        <v>72.45</v>
      </c>
      <c r="D124" s="20">
        <f>(B124)+(C124)</f>
        <v>144.93</v>
      </c>
    </row>
    <row r="125" spans="1:4" x14ac:dyDescent="0.45">
      <c r="A125" s="3" t="s">
        <v>130</v>
      </c>
      <c r="B125" s="20">
        <f>5906</f>
        <v>5906</v>
      </c>
      <c r="C125" s="20">
        <f>5906</f>
        <v>5906</v>
      </c>
      <c r="D125" s="20">
        <f>(B125)+(C125)</f>
        <v>11812</v>
      </c>
    </row>
    <row r="126" spans="1:4" x14ac:dyDescent="0.45">
      <c r="A126" s="3" t="s">
        <v>131</v>
      </c>
      <c r="B126" s="19">
        <f>((((((((((B115)+(B116))+(B117))+(B118))+(B119))+(B120))+(B121))+(B122))+(B123))+(B124))+(B125)</f>
        <v>15498.91</v>
      </c>
      <c r="C126" s="19">
        <f>((((((((((C115)+(C116))+(C117))+(C118))+(C119))+(C120))+(C121))+(C122))+(C123))+(C124))+(C125)</f>
        <v>48731.19999999999</v>
      </c>
      <c r="D126" s="19">
        <f>(B126)+(C126)</f>
        <v>64230.109999999986</v>
      </c>
    </row>
    <row r="127" spans="1:4" x14ac:dyDescent="0.45">
      <c r="A127" s="3" t="s">
        <v>132</v>
      </c>
      <c r="B127" s="18"/>
      <c r="C127" s="18"/>
      <c r="D127" s="20">
        <f>(B127)+(C127)</f>
        <v>0</v>
      </c>
    </row>
    <row r="128" spans="1:4" x14ac:dyDescent="0.45">
      <c r="A128" s="3" t="s">
        <v>133</v>
      </c>
      <c r="B128" s="20">
        <f>10473.03</f>
        <v>10473.030000000001</v>
      </c>
      <c r="C128" s="20">
        <f>10788.56</f>
        <v>10788.56</v>
      </c>
      <c r="D128" s="20">
        <f>(B128)+(C128)</f>
        <v>21261.59</v>
      </c>
    </row>
    <row r="129" spans="1:4" x14ac:dyDescent="0.45">
      <c r="A129" s="3" t="s">
        <v>134</v>
      </c>
      <c r="B129" s="19">
        <f>(B127)+(B128)</f>
        <v>10473.030000000001</v>
      </c>
      <c r="C129" s="19">
        <f>(C127)+(C128)</f>
        <v>10788.56</v>
      </c>
      <c r="D129" s="19">
        <f>(B129)+(C129)</f>
        <v>21261.59</v>
      </c>
    </row>
    <row r="130" spans="1:4" x14ac:dyDescent="0.45">
      <c r="A130" s="3" t="s">
        <v>135</v>
      </c>
      <c r="B130" s="19">
        <f>(((((((((((B33)+(B42))+(B45))+(B51))+(B64))+(B76))+(B85))+(B105))+(B108))+(B114))+(B126))+(B129)</f>
        <v>789945.89000000013</v>
      </c>
      <c r="C130" s="19">
        <f>(((((((((((C33)+(C42))+(C45))+(C51))+(C64))+(C76))+(C85))+(C105))+(C108))+(C114))+(C126))+(C129)</f>
        <v>935088.66999999993</v>
      </c>
      <c r="D130" s="19">
        <f>(B130)+(C130)</f>
        <v>1725034.56</v>
      </c>
    </row>
    <row r="131" spans="1:4" x14ac:dyDescent="0.45">
      <c r="A131" s="3" t="s">
        <v>136</v>
      </c>
      <c r="B131" s="19">
        <f>(B17)-(B130)</f>
        <v>73354.579999999842</v>
      </c>
      <c r="C131" s="19">
        <f>(C17)-(C130)</f>
        <v>63834.520000000135</v>
      </c>
      <c r="D131" s="19">
        <f>(B131)+(C131)</f>
        <v>137189.09999999998</v>
      </c>
    </row>
    <row r="132" spans="1:4" x14ac:dyDescent="0.45">
      <c r="A132" s="3" t="s">
        <v>141</v>
      </c>
      <c r="B132" s="19">
        <f>(B131)+(0)</f>
        <v>73354.579999999842</v>
      </c>
      <c r="C132" s="19">
        <f>(C131)+(0)</f>
        <v>63834.520000000135</v>
      </c>
      <c r="D132" s="19">
        <f>(B132)+(C132)</f>
        <v>137189.09999999998</v>
      </c>
    </row>
    <row r="133" spans="1:4" x14ac:dyDescent="0.45">
      <c r="A133" s="3"/>
      <c r="B133" s="18"/>
      <c r="C133" s="18"/>
      <c r="D133" s="18"/>
    </row>
    <row r="136" spans="1:4" x14ac:dyDescent="0.45">
      <c r="A136" s="23" t="s">
        <v>224</v>
      </c>
      <c r="B136" s="14"/>
      <c r="C136" s="14"/>
      <c r="D136" s="14"/>
    </row>
  </sheetData>
  <mergeCells count="4">
    <mergeCell ref="A136:D136"/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A16" workbookViewId="0">
      <selection activeCell="B43" sqref="B43"/>
    </sheetView>
  </sheetViews>
  <sheetFormatPr defaultRowHeight="14.25" x14ac:dyDescent="0.45"/>
  <cols>
    <col min="1" max="1" width="55" customWidth="1"/>
    <col min="2" max="2" width="10.33203125" customWidth="1"/>
    <col min="3" max="3" width="11.19921875" customWidth="1"/>
    <col min="4" max="4" width="12" customWidth="1"/>
    <col min="5" max="5" width="8.59765625" customWidth="1"/>
    <col min="6" max="6" width="10.33203125" customWidth="1"/>
    <col min="7" max="8" width="11.19921875" customWidth="1"/>
    <col min="9" max="9" width="9.46484375" customWidth="1"/>
    <col min="10" max="11" width="12" customWidth="1"/>
    <col min="12" max="12" width="13.73046875" customWidth="1"/>
    <col min="13" max="13" width="8.59765625" customWidth="1"/>
  </cols>
  <sheetData>
    <row r="1" spans="1:13" ht="17.649999999999999" x14ac:dyDescent="0.5">
      <c r="A1" s="15" t="s">
        <v>142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7.649999999999999" x14ac:dyDescent="0.5">
      <c r="A2" s="15" t="s">
        <v>143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45">
      <c r="A3" s="16" t="s">
        <v>144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5" spans="1:13" x14ac:dyDescent="0.45">
      <c r="A5" s="1"/>
      <c r="B5" s="11" t="s">
        <v>0</v>
      </c>
      <c r="C5" s="12"/>
      <c r="D5" s="12"/>
      <c r="E5" s="12"/>
      <c r="F5" s="11" t="s">
        <v>1</v>
      </c>
      <c r="G5" s="12"/>
      <c r="H5" s="12"/>
      <c r="I5" s="12"/>
      <c r="J5" s="11" t="s">
        <v>2</v>
      </c>
      <c r="K5" s="12"/>
      <c r="L5" s="12"/>
      <c r="M5" s="12"/>
    </row>
    <row r="6" spans="1:13" ht="24" x14ac:dyDescent="0.45">
      <c r="A6" s="1"/>
      <c r="B6" s="2" t="s">
        <v>3</v>
      </c>
      <c r="C6" s="2" t="s">
        <v>4</v>
      </c>
      <c r="D6" s="2" t="s">
        <v>5</v>
      </c>
      <c r="E6" s="2" t="s">
        <v>6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3</v>
      </c>
      <c r="K6" s="2" t="s">
        <v>4</v>
      </c>
      <c r="L6" s="2" t="s">
        <v>5</v>
      </c>
      <c r="M6" s="2" t="s">
        <v>6</v>
      </c>
    </row>
    <row r="7" spans="1:13" x14ac:dyDescent="0.45">
      <c r="A7" s="3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45">
      <c r="A8" s="3" t="s">
        <v>8</v>
      </c>
      <c r="B8" s="4"/>
      <c r="C8" s="4"/>
      <c r="D8" s="5">
        <f t="shared" ref="D8:D21" si="0">(B8)-(C8)</f>
        <v>0</v>
      </c>
      <c r="E8" s="6" t="str">
        <f t="shared" ref="E8:E21" si="1">IF(C8=0,"",(B8)/(C8))</f>
        <v/>
      </c>
      <c r="F8" s="4"/>
      <c r="G8" s="4"/>
      <c r="H8" s="5">
        <f t="shared" ref="H8:H21" si="2">(F8)-(G8)</f>
        <v>0</v>
      </c>
      <c r="I8" s="6" t="str">
        <f t="shared" ref="I8:I21" si="3">IF(G8=0,"",(F8)/(G8))</f>
        <v/>
      </c>
      <c r="J8" s="5">
        <f t="shared" ref="J8:J21" si="4">(B8)+(F8)</f>
        <v>0</v>
      </c>
      <c r="K8" s="5">
        <f t="shared" ref="K8:K21" si="5">(C8)+(G8)</f>
        <v>0</v>
      </c>
      <c r="L8" s="5">
        <f t="shared" ref="L8:L21" si="6">(J8)-(K8)</f>
        <v>0</v>
      </c>
      <c r="M8" s="6" t="str">
        <f t="shared" ref="M8:M21" si="7">IF(K8=0,"",(J8)/(K8))</f>
        <v/>
      </c>
    </row>
    <row r="9" spans="1:13" x14ac:dyDescent="0.45">
      <c r="A9" s="3" t="s">
        <v>9</v>
      </c>
      <c r="B9" s="4"/>
      <c r="C9" s="5">
        <f>0</f>
        <v>0</v>
      </c>
      <c r="D9" s="5">
        <f t="shared" si="0"/>
        <v>0</v>
      </c>
      <c r="E9" s="6" t="str">
        <f t="shared" si="1"/>
        <v/>
      </c>
      <c r="F9" s="4"/>
      <c r="G9" s="5">
        <f>0</f>
        <v>0</v>
      </c>
      <c r="H9" s="5">
        <f t="shared" si="2"/>
        <v>0</v>
      </c>
      <c r="I9" s="6" t="str">
        <f t="shared" si="3"/>
        <v/>
      </c>
      <c r="J9" s="5">
        <f t="shared" si="4"/>
        <v>0</v>
      </c>
      <c r="K9" s="5">
        <f t="shared" si="5"/>
        <v>0</v>
      </c>
      <c r="L9" s="5">
        <f t="shared" si="6"/>
        <v>0</v>
      </c>
      <c r="M9" s="6" t="str">
        <f t="shared" si="7"/>
        <v/>
      </c>
    </row>
    <row r="10" spans="1:13" x14ac:dyDescent="0.45">
      <c r="A10" s="3" t="s">
        <v>10</v>
      </c>
      <c r="B10" s="4"/>
      <c r="C10" s="5">
        <f>0</f>
        <v>0</v>
      </c>
      <c r="D10" s="5">
        <f t="shared" si="0"/>
        <v>0</v>
      </c>
      <c r="E10" s="6" t="str">
        <f t="shared" si="1"/>
        <v/>
      </c>
      <c r="F10" s="4"/>
      <c r="G10" s="5">
        <f>0</f>
        <v>0</v>
      </c>
      <c r="H10" s="5">
        <f t="shared" si="2"/>
        <v>0</v>
      </c>
      <c r="I10" s="6" t="str">
        <f t="shared" si="3"/>
        <v/>
      </c>
      <c r="J10" s="5">
        <f t="shared" si="4"/>
        <v>0</v>
      </c>
      <c r="K10" s="5">
        <f t="shared" si="5"/>
        <v>0</v>
      </c>
      <c r="L10" s="5">
        <f t="shared" si="6"/>
        <v>0</v>
      </c>
      <c r="M10" s="6" t="str">
        <f t="shared" si="7"/>
        <v/>
      </c>
    </row>
    <row r="11" spans="1:13" x14ac:dyDescent="0.45">
      <c r="A11" s="3" t="s">
        <v>11</v>
      </c>
      <c r="B11" s="5">
        <f>7547.08</f>
        <v>7547.08</v>
      </c>
      <c r="C11" s="5">
        <f>3606</f>
        <v>3606</v>
      </c>
      <c r="D11" s="5">
        <f t="shared" si="0"/>
        <v>3941.08</v>
      </c>
      <c r="E11" s="6">
        <f t="shared" si="1"/>
        <v>2.092922906267332</v>
      </c>
      <c r="F11" s="5">
        <f>82492.56</f>
        <v>82492.56</v>
      </c>
      <c r="G11" s="5">
        <f>14856</f>
        <v>14856</v>
      </c>
      <c r="H11" s="5">
        <f t="shared" si="2"/>
        <v>67636.56</v>
      </c>
      <c r="I11" s="6">
        <f t="shared" si="3"/>
        <v>5.55281098546042</v>
      </c>
      <c r="J11" s="5">
        <f t="shared" si="4"/>
        <v>90039.64</v>
      </c>
      <c r="K11" s="5">
        <f t="shared" si="5"/>
        <v>18462</v>
      </c>
      <c r="L11" s="5">
        <f t="shared" si="6"/>
        <v>71577.64</v>
      </c>
      <c r="M11" s="6">
        <f t="shared" si="7"/>
        <v>4.8770252410356409</v>
      </c>
    </row>
    <row r="12" spans="1:13" x14ac:dyDescent="0.45">
      <c r="A12" s="3" t="s">
        <v>12</v>
      </c>
      <c r="B12" s="5">
        <f>500</f>
        <v>500</v>
      </c>
      <c r="C12" s="5">
        <f>286</f>
        <v>286</v>
      </c>
      <c r="D12" s="5">
        <f t="shared" si="0"/>
        <v>214</v>
      </c>
      <c r="E12" s="6">
        <f t="shared" si="1"/>
        <v>1.7482517482517483</v>
      </c>
      <c r="F12" s="5">
        <f>52376.25</f>
        <v>52376.25</v>
      </c>
      <c r="G12" s="5">
        <f>73978</f>
        <v>73978</v>
      </c>
      <c r="H12" s="5">
        <f t="shared" si="2"/>
        <v>-21601.75</v>
      </c>
      <c r="I12" s="6">
        <f t="shared" si="3"/>
        <v>0.70799764794939035</v>
      </c>
      <c r="J12" s="5">
        <f t="shared" si="4"/>
        <v>52876.25</v>
      </c>
      <c r="K12" s="5">
        <f t="shared" si="5"/>
        <v>74264</v>
      </c>
      <c r="L12" s="5">
        <f t="shared" si="6"/>
        <v>-21387.75</v>
      </c>
      <c r="M12" s="6">
        <f t="shared" si="7"/>
        <v>0.71200379726381557</v>
      </c>
    </row>
    <row r="13" spans="1:13" x14ac:dyDescent="0.45">
      <c r="A13" s="3" t="s">
        <v>13</v>
      </c>
      <c r="B13" s="4"/>
      <c r="C13" s="4"/>
      <c r="D13" s="5">
        <f t="shared" si="0"/>
        <v>0</v>
      </c>
      <c r="E13" s="6" t="str">
        <f t="shared" si="1"/>
        <v/>
      </c>
      <c r="F13" s="5">
        <f>80</f>
        <v>80</v>
      </c>
      <c r="G13" s="4"/>
      <c r="H13" s="5">
        <f t="shared" si="2"/>
        <v>80</v>
      </c>
      <c r="I13" s="6" t="str">
        <f t="shared" si="3"/>
        <v/>
      </c>
      <c r="J13" s="5">
        <f t="shared" si="4"/>
        <v>80</v>
      </c>
      <c r="K13" s="5">
        <f t="shared" si="5"/>
        <v>0</v>
      </c>
      <c r="L13" s="5">
        <f t="shared" si="6"/>
        <v>80</v>
      </c>
      <c r="M13" s="6" t="str">
        <f t="shared" si="7"/>
        <v/>
      </c>
    </row>
    <row r="14" spans="1:13" x14ac:dyDescent="0.45">
      <c r="A14" s="3" t="s">
        <v>14</v>
      </c>
      <c r="B14" s="5">
        <f>896.49</f>
        <v>896.49</v>
      </c>
      <c r="C14" s="4"/>
      <c r="D14" s="5">
        <f t="shared" si="0"/>
        <v>896.49</v>
      </c>
      <c r="E14" s="6" t="str">
        <f t="shared" si="1"/>
        <v/>
      </c>
      <c r="F14" s="5">
        <f>8176.69</f>
        <v>8176.69</v>
      </c>
      <c r="G14" s="4"/>
      <c r="H14" s="5">
        <f t="shared" si="2"/>
        <v>8176.69</v>
      </c>
      <c r="I14" s="6" t="str">
        <f t="shared" si="3"/>
        <v/>
      </c>
      <c r="J14" s="5">
        <f t="shared" si="4"/>
        <v>9073.18</v>
      </c>
      <c r="K14" s="5">
        <f t="shared" si="5"/>
        <v>0</v>
      </c>
      <c r="L14" s="5">
        <f t="shared" si="6"/>
        <v>9073.18</v>
      </c>
      <c r="M14" s="6" t="str">
        <f t="shared" si="7"/>
        <v/>
      </c>
    </row>
    <row r="15" spans="1:13" x14ac:dyDescent="0.45">
      <c r="A15" s="3" t="s">
        <v>15</v>
      </c>
      <c r="B15" s="4"/>
      <c r="C15" s="5">
        <f>0</f>
        <v>0</v>
      </c>
      <c r="D15" s="5">
        <f t="shared" si="0"/>
        <v>0</v>
      </c>
      <c r="E15" s="6" t="str">
        <f t="shared" si="1"/>
        <v/>
      </c>
      <c r="F15" s="5">
        <f>1440.79</f>
        <v>1440.79</v>
      </c>
      <c r="G15" s="5">
        <f>6123</f>
        <v>6123</v>
      </c>
      <c r="H15" s="5">
        <f t="shared" si="2"/>
        <v>-4682.21</v>
      </c>
      <c r="I15" s="6">
        <f t="shared" si="3"/>
        <v>0.23530785562632694</v>
      </c>
      <c r="J15" s="5">
        <f t="shared" si="4"/>
        <v>1440.79</v>
      </c>
      <c r="K15" s="5">
        <f t="shared" si="5"/>
        <v>6123</v>
      </c>
      <c r="L15" s="5">
        <f t="shared" si="6"/>
        <v>-4682.21</v>
      </c>
      <c r="M15" s="6">
        <f t="shared" si="7"/>
        <v>0.23530785562632694</v>
      </c>
    </row>
    <row r="16" spans="1:13" x14ac:dyDescent="0.45">
      <c r="A16" s="3" t="s">
        <v>16</v>
      </c>
      <c r="B16" s="5">
        <f>852971.75</f>
        <v>852971.75</v>
      </c>
      <c r="C16" s="5">
        <f>852972</f>
        <v>852972</v>
      </c>
      <c r="D16" s="5">
        <f t="shared" si="0"/>
        <v>-0.25</v>
      </c>
      <c r="E16" s="6">
        <f t="shared" si="1"/>
        <v>0.99999970690714346</v>
      </c>
      <c r="F16" s="5">
        <f>852971.75</f>
        <v>852971.75</v>
      </c>
      <c r="G16" s="5">
        <f>852972</f>
        <v>852972</v>
      </c>
      <c r="H16" s="5">
        <f t="shared" si="2"/>
        <v>-0.25</v>
      </c>
      <c r="I16" s="6">
        <f t="shared" si="3"/>
        <v>0.99999970690714346</v>
      </c>
      <c r="J16" s="5">
        <f t="shared" si="4"/>
        <v>1705943.5</v>
      </c>
      <c r="K16" s="5">
        <f t="shared" si="5"/>
        <v>1705944</v>
      </c>
      <c r="L16" s="5">
        <f t="shared" si="6"/>
        <v>-0.5</v>
      </c>
      <c r="M16" s="6">
        <f t="shared" si="7"/>
        <v>0.99999970690714346</v>
      </c>
    </row>
    <row r="17" spans="1:13" x14ac:dyDescent="0.45">
      <c r="A17" s="3" t="s">
        <v>17</v>
      </c>
      <c r="B17" s="5">
        <f>1385.15</f>
        <v>1385.15</v>
      </c>
      <c r="C17" s="5">
        <f>0</f>
        <v>0</v>
      </c>
      <c r="D17" s="5">
        <f t="shared" si="0"/>
        <v>1385.15</v>
      </c>
      <c r="E17" s="6" t="str">
        <f t="shared" si="1"/>
        <v/>
      </c>
      <c r="F17" s="5">
        <f>1385.15</f>
        <v>1385.15</v>
      </c>
      <c r="G17" s="5">
        <f>0</f>
        <v>0</v>
      </c>
      <c r="H17" s="5">
        <f t="shared" si="2"/>
        <v>1385.15</v>
      </c>
      <c r="I17" s="6" t="str">
        <f t="shared" si="3"/>
        <v/>
      </c>
      <c r="J17" s="5">
        <f t="shared" si="4"/>
        <v>2770.3</v>
      </c>
      <c r="K17" s="5">
        <f t="shared" si="5"/>
        <v>0</v>
      </c>
      <c r="L17" s="5">
        <f t="shared" si="6"/>
        <v>2770.3</v>
      </c>
      <c r="M17" s="6" t="str">
        <f t="shared" si="7"/>
        <v/>
      </c>
    </row>
    <row r="18" spans="1:13" x14ac:dyDescent="0.45">
      <c r="A18" s="3" t="s">
        <v>18</v>
      </c>
      <c r="B18" s="4"/>
      <c r="C18" s="5">
        <f>0</f>
        <v>0</v>
      </c>
      <c r="D18" s="5">
        <f t="shared" si="0"/>
        <v>0</v>
      </c>
      <c r="E18" s="6" t="str">
        <f t="shared" si="1"/>
        <v/>
      </c>
      <c r="F18" s="4"/>
      <c r="G18" s="5">
        <f>0</f>
        <v>0</v>
      </c>
      <c r="H18" s="5">
        <f t="shared" si="2"/>
        <v>0</v>
      </c>
      <c r="I18" s="6" t="str">
        <f t="shared" si="3"/>
        <v/>
      </c>
      <c r="J18" s="5">
        <f t="shared" si="4"/>
        <v>0</v>
      </c>
      <c r="K18" s="5">
        <f t="shared" si="5"/>
        <v>0</v>
      </c>
      <c r="L18" s="5">
        <f t="shared" si="6"/>
        <v>0</v>
      </c>
      <c r="M18" s="6" t="str">
        <f t="shared" si="7"/>
        <v/>
      </c>
    </row>
    <row r="19" spans="1:13" x14ac:dyDescent="0.45">
      <c r="A19" s="3" t="s">
        <v>19</v>
      </c>
      <c r="B19" s="7">
        <f>((((((((((B8)+(B9))+(B10))+(B11))+(B12))+(B13))+(B14))+(B15))+(B16))+(B17))+(B18)</f>
        <v>863300.47</v>
      </c>
      <c r="C19" s="7">
        <f>((((((((((C8)+(C9))+(C10))+(C11))+(C12))+(C13))+(C14))+(C15))+(C16))+(C17))+(C18)</f>
        <v>856864</v>
      </c>
      <c r="D19" s="7">
        <f t="shared" si="0"/>
        <v>6436.4699999999721</v>
      </c>
      <c r="E19" s="8">
        <f t="shared" si="1"/>
        <v>1.007511658792994</v>
      </c>
      <c r="F19" s="7">
        <f>((((((((((F8)+(F9))+(F10))+(F11))+(F12))+(F13))+(F14))+(F15))+(F16))+(F17))+(F18)</f>
        <v>998923.19000000006</v>
      </c>
      <c r="G19" s="7">
        <f>((((((((((G8)+(G9))+(G10))+(G11))+(G12))+(G13))+(G14))+(G15))+(G16))+(G17))+(G18)</f>
        <v>947929</v>
      </c>
      <c r="H19" s="7">
        <f t="shared" si="2"/>
        <v>50994.190000000061</v>
      </c>
      <c r="I19" s="8">
        <f t="shared" si="3"/>
        <v>1.0537953686404784</v>
      </c>
      <c r="J19" s="7">
        <f t="shared" si="4"/>
        <v>1862223.6600000001</v>
      </c>
      <c r="K19" s="7">
        <f t="shared" si="5"/>
        <v>1804793</v>
      </c>
      <c r="L19" s="7">
        <f t="shared" si="6"/>
        <v>57430.660000000149</v>
      </c>
      <c r="M19" s="8">
        <f t="shared" si="7"/>
        <v>1.0318211894660496</v>
      </c>
    </row>
    <row r="20" spans="1:13" x14ac:dyDescent="0.45">
      <c r="A20" s="3" t="s">
        <v>20</v>
      </c>
      <c r="B20" s="7">
        <f>B19</f>
        <v>863300.47</v>
      </c>
      <c r="C20" s="7">
        <f>C19</f>
        <v>856864</v>
      </c>
      <c r="D20" s="7">
        <f t="shared" si="0"/>
        <v>6436.4699999999721</v>
      </c>
      <c r="E20" s="8">
        <f t="shared" si="1"/>
        <v>1.007511658792994</v>
      </c>
      <c r="F20" s="7">
        <f>F19</f>
        <v>998923.19000000006</v>
      </c>
      <c r="G20" s="7">
        <f>G19</f>
        <v>947929</v>
      </c>
      <c r="H20" s="7">
        <f t="shared" si="2"/>
        <v>50994.190000000061</v>
      </c>
      <c r="I20" s="8">
        <f t="shared" si="3"/>
        <v>1.0537953686404784</v>
      </c>
      <c r="J20" s="7">
        <f t="shared" si="4"/>
        <v>1862223.6600000001</v>
      </c>
      <c r="K20" s="7">
        <f t="shared" si="5"/>
        <v>1804793</v>
      </c>
      <c r="L20" s="7">
        <f t="shared" si="6"/>
        <v>57430.660000000149</v>
      </c>
      <c r="M20" s="8">
        <f t="shared" si="7"/>
        <v>1.0318211894660496</v>
      </c>
    </row>
    <row r="21" spans="1:13" x14ac:dyDescent="0.45">
      <c r="A21" s="3" t="s">
        <v>21</v>
      </c>
      <c r="B21" s="7">
        <f>(B20)-(0)</f>
        <v>863300.47</v>
      </c>
      <c r="C21" s="7">
        <f>(C20)-(0)</f>
        <v>856864</v>
      </c>
      <c r="D21" s="7">
        <f t="shared" si="0"/>
        <v>6436.4699999999721</v>
      </c>
      <c r="E21" s="8">
        <f t="shared" si="1"/>
        <v>1.007511658792994</v>
      </c>
      <c r="F21" s="7">
        <f>(F20)-(0)</f>
        <v>998923.19000000006</v>
      </c>
      <c r="G21" s="7">
        <f>(G20)-(0)</f>
        <v>947929</v>
      </c>
      <c r="H21" s="7">
        <f t="shared" si="2"/>
        <v>50994.190000000061</v>
      </c>
      <c r="I21" s="8">
        <f t="shared" si="3"/>
        <v>1.0537953686404784</v>
      </c>
      <c r="J21" s="7">
        <f t="shared" si="4"/>
        <v>1862223.6600000001</v>
      </c>
      <c r="K21" s="7">
        <f t="shared" si="5"/>
        <v>1804793</v>
      </c>
      <c r="L21" s="7">
        <f t="shared" si="6"/>
        <v>57430.660000000149</v>
      </c>
      <c r="M21" s="8">
        <f t="shared" si="7"/>
        <v>1.0318211894660496</v>
      </c>
    </row>
    <row r="22" spans="1:13" x14ac:dyDescent="0.45">
      <c r="A22" s="3" t="s">
        <v>22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45">
      <c r="A23" s="3" t="s">
        <v>23</v>
      </c>
      <c r="B23" s="5">
        <f>513404.34</f>
        <v>513404.34</v>
      </c>
      <c r="C23" s="5">
        <f>514930</f>
        <v>514930</v>
      </c>
      <c r="D23" s="5">
        <f t="shared" ref="D23:D37" si="8">(B23)-(C23)</f>
        <v>-1525.6599999999744</v>
      </c>
      <c r="E23" s="6">
        <f t="shared" ref="E23:E37" si="9">IF(C23=0,"",(B23)/(C23))</f>
        <v>0.99703715068067511</v>
      </c>
      <c r="F23" s="5">
        <f>569126.65</f>
        <v>569126.65</v>
      </c>
      <c r="G23" s="5">
        <f>592581</f>
        <v>592581</v>
      </c>
      <c r="H23" s="5">
        <f t="shared" ref="H23:H37" si="10">(F23)-(G23)</f>
        <v>-23454.349999999977</v>
      </c>
      <c r="I23" s="6">
        <f t="shared" ref="I23:I37" si="11">IF(G23=0,"",(F23)/(G23))</f>
        <v>0.96042001009144751</v>
      </c>
      <c r="J23" s="5">
        <f t="shared" ref="J23:K37" si="12">(B23)+(F23)</f>
        <v>1082530.99</v>
      </c>
      <c r="K23" s="5">
        <f t="shared" si="12"/>
        <v>1107511</v>
      </c>
      <c r="L23" s="5">
        <f t="shared" ref="L23:L37" si="13">(J23)-(K23)</f>
        <v>-24980.010000000009</v>
      </c>
      <c r="M23" s="6">
        <f t="shared" ref="M23:M37" si="14">IF(K23=0,"",(J23)/(K23))</f>
        <v>0.97744491025371305</v>
      </c>
    </row>
    <row r="24" spans="1:13" x14ac:dyDescent="0.45">
      <c r="A24" s="3" t="s">
        <v>38</v>
      </c>
      <c r="B24" s="5">
        <f>25211.64</f>
        <v>25211.64</v>
      </c>
      <c r="C24" s="5">
        <f>20434</f>
        <v>20434</v>
      </c>
      <c r="D24" s="5">
        <f t="shared" si="8"/>
        <v>4777.6399999999994</v>
      </c>
      <c r="E24" s="6">
        <f t="shared" si="9"/>
        <v>1.2338083586179895</v>
      </c>
      <c r="F24" s="5">
        <f>26955.32</f>
        <v>26955.32</v>
      </c>
      <c r="G24" s="5">
        <f>32053</f>
        <v>32053</v>
      </c>
      <c r="H24" s="5">
        <f t="shared" si="10"/>
        <v>-5097.68</v>
      </c>
      <c r="I24" s="6">
        <f t="shared" si="11"/>
        <v>0.84096090849530469</v>
      </c>
      <c r="J24" s="5">
        <f t="shared" si="12"/>
        <v>52166.96</v>
      </c>
      <c r="K24" s="5">
        <f t="shared" si="12"/>
        <v>52487</v>
      </c>
      <c r="L24" s="5">
        <f t="shared" si="13"/>
        <v>-320.04000000000087</v>
      </c>
      <c r="M24" s="6">
        <f t="shared" si="14"/>
        <v>0.99390249014041565</v>
      </c>
    </row>
    <row r="25" spans="1:13" x14ac:dyDescent="0.45">
      <c r="A25" s="3" t="s">
        <v>47</v>
      </c>
      <c r="B25" s="4"/>
      <c r="C25" s="5">
        <f>0</f>
        <v>0</v>
      </c>
      <c r="D25" s="5">
        <f t="shared" si="8"/>
        <v>0</v>
      </c>
      <c r="E25" s="6" t="str">
        <f t="shared" si="9"/>
        <v/>
      </c>
      <c r="F25" s="4"/>
      <c r="G25" s="5">
        <f>100</f>
        <v>100</v>
      </c>
      <c r="H25" s="5">
        <f t="shared" si="10"/>
        <v>-100</v>
      </c>
      <c r="I25" s="6">
        <f t="shared" si="11"/>
        <v>0</v>
      </c>
      <c r="J25" s="5">
        <f t="shared" si="12"/>
        <v>0</v>
      </c>
      <c r="K25" s="5">
        <f t="shared" si="12"/>
        <v>100</v>
      </c>
      <c r="L25" s="5">
        <f t="shared" si="13"/>
        <v>-100</v>
      </c>
      <c r="M25" s="6">
        <f t="shared" si="14"/>
        <v>0</v>
      </c>
    </row>
    <row r="26" spans="1:13" x14ac:dyDescent="0.45">
      <c r="A26" s="3" t="s">
        <v>48</v>
      </c>
      <c r="B26" s="4"/>
      <c r="C26" s="5">
        <f>24633</f>
        <v>24633</v>
      </c>
      <c r="D26" s="5">
        <f t="shared" si="8"/>
        <v>-24633</v>
      </c>
      <c r="E26" s="6">
        <f t="shared" si="9"/>
        <v>0</v>
      </c>
      <c r="F26" s="5">
        <f>169.56</f>
        <v>169.56</v>
      </c>
      <c r="G26" s="5">
        <f>1120</f>
        <v>1120</v>
      </c>
      <c r="H26" s="5">
        <f t="shared" si="10"/>
        <v>-950.44</v>
      </c>
      <c r="I26" s="6">
        <f t="shared" si="11"/>
        <v>0.15139285714285713</v>
      </c>
      <c r="J26" s="5">
        <f t="shared" si="12"/>
        <v>169.56</v>
      </c>
      <c r="K26" s="5">
        <f t="shared" si="12"/>
        <v>25753</v>
      </c>
      <c r="L26" s="5">
        <f t="shared" si="13"/>
        <v>-25583.439999999999</v>
      </c>
      <c r="M26" s="6">
        <f t="shared" si="14"/>
        <v>6.5840872908010722E-3</v>
      </c>
    </row>
    <row r="27" spans="1:13" x14ac:dyDescent="0.45">
      <c r="A27" s="3" t="s">
        <v>51</v>
      </c>
      <c r="B27" s="5">
        <f>6097.38</f>
        <v>6097.38</v>
      </c>
      <c r="C27" s="5">
        <f>37442</f>
        <v>37442</v>
      </c>
      <c r="D27" s="5">
        <f t="shared" si="8"/>
        <v>-31344.62</v>
      </c>
      <c r="E27" s="6">
        <f t="shared" si="9"/>
        <v>0.16284867261364244</v>
      </c>
      <c r="F27" s="5">
        <f>6479.8</f>
        <v>6479.8</v>
      </c>
      <c r="G27" s="5">
        <f>1703</f>
        <v>1703</v>
      </c>
      <c r="H27" s="5">
        <f t="shared" si="10"/>
        <v>4776.8</v>
      </c>
      <c r="I27" s="6">
        <f t="shared" si="11"/>
        <v>3.8049324721080446</v>
      </c>
      <c r="J27" s="5">
        <f t="shared" si="12"/>
        <v>12577.18</v>
      </c>
      <c r="K27" s="5">
        <f t="shared" si="12"/>
        <v>39145</v>
      </c>
      <c r="L27" s="5">
        <f t="shared" si="13"/>
        <v>-26567.82</v>
      </c>
      <c r="M27" s="6">
        <f t="shared" si="14"/>
        <v>0.3212972282539277</v>
      </c>
    </row>
    <row r="28" spans="1:13" x14ac:dyDescent="0.45">
      <c r="A28" s="3" t="s">
        <v>57</v>
      </c>
      <c r="B28" s="5">
        <f>21229.62</f>
        <v>21229.62</v>
      </c>
      <c r="C28" s="5">
        <f>18571</f>
        <v>18571</v>
      </c>
      <c r="D28" s="5">
        <f t="shared" si="8"/>
        <v>2658.619999999999</v>
      </c>
      <c r="E28" s="6">
        <f t="shared" si="9"/>
        <v>1.1431597652253513</v>
      </c>
      <c r="F28" s="5">
        <f>25054.32</f>
        <v>25054.32</v>
      </c>
      <c r="G28" s="5">
        <f>34085</f>
        <v>34085</v>
      </c>
      <c r="H28" s="5">
        <f t="shared" si="10"/>
        <v>-9030.68</v>
      </c>
      <c r="I28" s="6">
        <f t="shared" si="11"/>
        <v>0.73505412938242631</v>
      </c>
      <c r="J28" s="5">
        <f t="shared" si="12"/>
        <v>46283.94</v>
      </c>
      <c r="K28" s="5">
        <f t="shared" si="12"/>
        <v>52656</v>
      </c>
      <c r="L28" s="5">
        <f t="shared" si="13"/>
        <v>-6372.0599999999977</v>
      </c>
      <c r="M28" s="6">
        <f t="shared" si="14"/>
        <v>0.87898701002734736</v>
      </c>
    </row>
    <row r="29" spans="1:13" x14ac:dyDescent="0.45">
      <c r="A29" s="3" t="s">
        <v>70</v>
      </c>
      <c r="B29" s="5">
        <f>87037.69</f>
        <v>87037.69</v>
      </c>
      <c r="C29" s="5">
        <f>78258</f>
        <v>78258</v>
      </c>
      <c r="D29" s="5">
        <f t="shared" si="8"/>
        <v>8779.6900000000023</v>
      </c>
      <c r="E29" s="6">
        <f t="shared" si="9"/>
        <v>1.1121890413759616</v>
      </c>
      <c r="F29" s="5">
        <f>83425.75</f>
        <v>83425.75</v>
      </c>
      <c r="G29" s="5">
        <f>93086</f>
        <v>93086</v>
      </c>
      <c r="H29" s="5">
        <f t="shared" si="10"/>
        <v>-9660.25</v>
      </c>
      <c r="I29" s="6">
        <f t="shared" si="11"/>
        <v>0.89622231055153301</v>
      </c>
      <c r="J29" s="5">
        <f t="shared" si="12"/>
        <v>170463.44</v>
      </c>
      <c r="K29" s="5">
        <f t="shared" si="12"/>
        <v>171344</v>
      </c>
      <c r="L29" s="5">
        <f t="shared" si="13"/>
        <v>-880.55999999999767</v>
      </c>
      <c r="M29" s="6">
        <f t="shared" si="14"/>
        <v>0.99486086469324864</v>
      </c>
    </row>
    <row r="30" spans="1:13" x14ac:dyDescent="0.45">
      <c r="A30" s="3" t="s">
        <v>82</v>
      </c>
      <c r="B30" s="5">
        <f>23202.59</f>
        <v>23202.59</v>
      </c>
      <c r="C30" s="5">
        <f>18599</f>
        <v>18599</v>
      </c>
      <c r="D30" s="5">
        <f t="shared" si="8"/>
        <v>4603.59</v>
      </c>
      <c r="E30" s="6">
        <f t="shared" si="9"/>
        <v>1.2475181461368892</v>
      </c>
      <c r="F30" s="5">
        <f>23692.98</f>
        <v>23692.98</v>
      </c>
      <c r="G30" s="5">
        <f>17697</f>
        <v>17697</v>
      </c>
      <c r="H30" s="5">
        <f t="shared" si="10"/>
        <v>5995.98</v>
      </c>
      <c r="I30" s="6">
        <f t="shared" si="11"/>
        <v>1.3388133581963044</v>
      </c>
      <c r="J30" s="5">
        <f t="shared" si="12"/>
        <v>46895.57</v>
      </c>
      <c r="K30" s="5">
        <f t="shared" si="12"/>
        <v>36296</v>
      </c>
      <c r="L30" s="5">
        <f t="shared" si="13"/>
        <v>10599.57</v>
      </c>
      <c r="M30" s="6">
        <f t="shared" si="14"/>
        <v>1.2920313533171699</v>
      </c>
    </row>
    <row r="31" spans="1:13" x14ac:dyDescent="0.45">
      <c r="A31" s="3" t="s">
        <v>91</v>
      </c>
      <c r="B31" s="5">
        <f>84347.06</f>
        <v>84347.06</v>
      </c>
      <c r="C31" s="5">
        <f>134244</f>
        <v>134244</v>
      </c>
      <c r="D31" s="5">
        <f t="shared" si="8"/>
        <v>-49896.94</v>
      </c>
      <c r="E31" s="6">
        <f t="shared" si="9"/>
        <v>0.62831158189565273</v>
      </c>
      <c r="F31" s="5">
        <f>94547.57</f>
        <v>94547.57</v>
      </c>
      <c r="G31" s="5">
        <f>143267</f>
        <v>143267</v>
      </c>
      <c r="H31" s="5">
        <f t="shared" si="10"/>
        <v>-48719.429999999993</v>
      </c>
      <c r="I31" s="6">
        <f t="shared" si="11"/>
        <v>0.6599396232209791</v>
      </c>
      <c r="J31" s="5">
        <f t="shared" si="12"/>
        <v>178894.63</v>
      </c>
      <c r="K31" s="5">
        <f t="shared" si="12"/>
        <v>277511</v>
      </c>
      <c r="L31" s="5">
        <f t="shared" si="13"/>
        <v>-98616.37</v>
      </c>
      <c r="M31" s="6">
        <f t="shared" si="14"/>
        <v>0.64463978004475497</v>
      </c>
    </row>
    <row r="32" spans="1:13" x14ac:dyDescent="0.45">
      <c r="A32" s="3" t="s">
        <v>111</v>
      </c>
      <c r="B32" s="5">
        <f>1102.33</f>
        <v>1102.33</v>
      </c>
      <c r="C32" s="5">
        <f>0</f>
        <v>0</v>
      </c>
      <c r="D32" s="5">
        <f t="shared" si="8"/>
        <v>1102.33</v>
      </c>
      <c r="E32" s="6" t="str">
        <f t="shared" si="9"/>
        <v/>
      </c>
      <c r="F32" s="4"/>
      <c r="G32" s="5">
        <f>125</f>
        <v>125</v>
      </c>
      <c r="H32" s="5">
        <f t="shared" si="10"/>
        <v>-125</v>
      </c>
      <c r="I32" s="6">
        <f t="shared" si="11"/>
        <v>0</v>
      </c>
      <c r="J32" s="5">
        <f t="shared" si="12"/>
        <v>1102.33</v>
      </c>
      <c r="K32" s="5">
        <f t="shared" si="12"/>
        <v>125</v>
      </c>
      <c r="L32" s="5">
        <f t="shared" si="13"/>
        <v>977.32999999999993</v>
      </c>
      <c r="M32" s="6">
        <f t="shared" si="14"/>
        <v>8.8186400000000003</v>
      </c>
    </row>
    <row r="33" spans="1:13" x14ac:dyDescent="0.45">
      <c r="A33" s="3" t="s">
        <v>114</v>
      </c>
      <c r="B33" s="5">
        <f>2341.3</f>
        <v>2341.3000000000002</v>
      </c>
      <c r="C33" s="5">
        <f>456</f>
        <v>456</v>
      </c>
      <c r="D33" s="5">
        <f t="shared" si="8"/>
        <v>1885.3000000000002</v>
      </c>
      <c r="E33" s="6">
        <f t="shared" si="9"/>
        <v>5.134429824561404</v>
      </c>
      <c r="F33" s="5">
        <f>46116.96</f>
        <v>46116.959999999999</v>
      </c>
      <c r="G33" s="5">
        <f>4441</f>
        <v>4441</v>
      </c>
      <c r="H33" s="5">
        <f t="shared" si="10"/>
        <v>41675.96</v>
      </c>
      <c r="I33" s="6">
        <f t="shared" si="11"/>
        <v>10.384363882008557</v>
      </c>
      <c r="J33" s="5">
        <f t="shared" si="12"/>
        <v>48458.26</v>
      </c>
      <c r="K33" s="5">
        <f t="shared" si="12"/>
        <v>4897</v>
      </c>
      <c r="L33" s="5">
        <f t="shared" si="13"/>
        <v>43561.26</v>
      </c>
      <c r="M33" s="6">
        <f t="shared" si="14"/>
        <v>9.895499285276701</v>
      </c>
    </row>
    <row r="34" spans="1:13" x14ac:dyDescent="0.45">
      <c r="A34" s="3" t="s">
        <v>120</v>
      </c>
      <c r="B34" s="5">
        <f>15498.91</f>
        <v>15498.91</v>
      </c>
      <c r="C34" s="5">
        <f>57016</f>
        <v>57016</v>
      </c>
      <c r="D34" s="5">
        <f t="shared" si="8"/>
        <v>-41517.089999999997</v>
      </c>
      <c r="E34" s="6">
        <f t="shared" si="9"/>
        <v>0.27183439736214393</v>
      </c>
      <c r="F34" s="5">
        <f>48731.2</f>
        <v>48731.199999999997</v>
      </c>
      <c r="G34" s="5">
        <f>67578</f>
        <v>67578</v>
      </c>
      <c r="H34" s="5">
        <f t="shared" si="10"/>
        <v>-18846.800000000003</v>
      </c>
      <c r="I34" s="6">
        <f t="shared" si="11"/>
        <v>0.72111042055106689</v>
      </c>
      <c r="J34" s="5">
        <f t="shared" si="12"/>
        <v>64230.11</v>
      </c>
      <c r="K34" s="5">
        <f t="shared" si="12"/>
        <v>124594</v>
      </c>
      <c r="L34" s="5">
        <f t="shared" si="13"/>
        <v>-60363.89</v>
      </c>
      <c r="M34" s="6">
        <f t="shared" si="14"/>
        <v>0.51551527360868099</v>
      </c>
    </row>
    <row r="35" spans="1:13" x14ac:dyDescent="0.45">
      <c r="A35" s="3" t="s">
        <v>132</v>
      </c>
      <c r="B35" s="5">
        <f>10473.03</f>
        <v>10473.030000000001</v>
      </c>
      <c r="C35" s="5">
        <f>12046</f>
        <v>12046</v>
      </c>
      <c r="D35" s="5">
        <f t="shared" si="8"/>
        <v>-1572.9699999999993</v>
      </c>
      <c r="E35" s="6">
        <f t="shared" si="9"/>
        <v>0.86941972438983905</v>
      </c>
      <c r="F35" s="5">
        <f>10788.56</f>
        <v>10788.56</v>
      </c>
      <c r="G35" s="5">
        <f>12024</f>
        <v>12024</v>
      </c>
      <c r="H35" s="5">
        <f t="shared" si="10"/>
        <v>-1235.4400000000005</v>
      </c>
      <c r="I35" s="6">
        <f t="shared" si="11"/>
        <v>0.89725216234198268</v>
      </c>
      <c r="J35" s="5">
        <f t="shared" si="12"/>
        <v>21261.59</v>
      </c>
      <c r="K35" s="5">
        <f t="shared" si="12"/>
        <v>24070</v>
      </c>
      <c r="L35" s="5">
        <f t="shared" si="13"/>
        <v>-2808.41</v>
      </c>
      <c r="M35" s="6">
        <f t="shared" si="14"/>
        <v>0.88332322393020357</v>
      </c>
    </row>
    <row r="36" spans="1:13" x14ac:dyDescent="0.45">
      <c r="A36" s="3" t="s">
        <v>135</v>
      </c>
      <c r="B36" s="9">
        <f>((((((((((((B23)+(B24))+(B25))+(B26))+(B27))+(B28))+(B29))+(B30))+(B31))+(B32))+(B33))+(B34))+(B35)</f>
        <v>789945.8899999999</v>
      </c>
      <c r="C36" s="9">
        <f>((((((((((((C23)+(C24))+(C25))+(C26))+(C27))+(C28))+(C29))+(C30))+(C31))+(C32))+(C33))+(C34))+(C35)</f>
        <v>916629</v>
      </c>
      <c r="D36" s="9">
        <f t="shared" si="8"/>
        <v>-126683.1100000001</v>
      </c>
      <c r="E36" s="10">
        <f t="shared" si="9"/>
        <v>0.86179456464938364</v>
      </c>
      <c r="F36" s="9">
        <f>((((((((((((F23)+(F24))+(F25))+(F26))+(F27))+(F28))+(F29))+(F30))+(F31))+(F32))+(F33))+(F34))+(F35)</f>
        <v>935088.66999999993</v>
      </c>
      <c r="G36" s="9">
        <f>((((((((((((G23)+(G24))+(G25))+(G26))+(G27))+(G28))+(G29))+(G30))+(G31))+(G32))+(G33))+(G34))+(G35)</f>
        <v>999860</v>
      </c>
      <c r="H36" s="9">
        <f t="shared" si="10"/>
        <v>-64771.330000000075</v>
      </c>
      <c r="I36" s="10">
        <f t="shared" si="11"/>
        <v>0.93521960074410415</v>
      </c>
      <c r="J36" s="9">
        <f t="shared" si="12"/>
        <v>1725034.5599999998</v>
      </c>
      <c r="K36" s="9">
        <f t="shared" si="12"/>
        <v>1916489</v>
      </c>
      <c r="L36" s="9">
        <f t="shared" si="13"/>
        <v>-191454.44000000018</v>
      </c>
      <c r="M36" s="10">
        <f t="shared" si="14"/>
        <v>0.90010146679683511</v>
      </c>
    </row>
    <row r="37" spans="1:13" x14ac:dyDescent="0.45">
      <c r="A37" s="3" t="s">
        <v>136</v>
      </c>
      <c r="B37" s="9">
        <f>(B21)-(B36)</f>
        <v>73354.580000000075</v>
      </c>
      <c r="C37" s="9">
        <f>(C21)-(C36)</f>
        <v>-59765</v>
      </c>
      <c r="D37" s="9">
        <f t="shared" si="8"/>
        <v>133119.58000000007</v>
      </c>
      <c r="E37" s="10">
        <f t="shared" si="9"/>
        <v>-1.2273835857107014</v>
      </c>
      <c r="F37" s="9">
        <f>(F21)-(F36)</f>
        <v>63834.520000000135</v>
      </c>
      <c r="G37" s="9">
        <f>(G21)-(G36)</f>
        <v>-51931</v>
      </c>
      <c r="H37" s="9">
        <f t="shared" si="10"/>
        <v>115765.52000000014</v>
      </c>
      <c r="I37" s="10">
        <f t="shared" si="11"/>
        <v>-1.2292180008087681</v>
      </c>
      <c r="J37" s="9">
        <f t="shared" si="12"/>
        <v>137189.10000000021</v>
      </c>
      <c r="K37" s="9">
        <f t="shared" si="12"/>
        <v>-111696</v>
      </c>
      <c r="L37" s="9">
        <f t="shared" si="13"/>
        <v>248885.10000000021</v>
      </c>
      <c r="M37" s="10">
        <f t="shared" si="14"/>
        <v>-1.2282364632574148</v>
      </c>
    </row>
    <row r="38" spans="1:13" x14ac:dyDescent="0.45">
      <c r="A38" s="3" t="s">
        <v>137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45">
      <c r="A39" s="3" t="s">
        <v>138</v>
      </c>
      <c r="B39" s="4"/>
      <c r="C39" s="5">
        <f>0</f>
        <v>0</v>
      </c>
      <c r="D39" s="5">
        <f>(B39)-(C39)</f>
        <v>0</v>
      </c>
      <c r="E39" s="6" t="str">
        <f>IF(C39=0,"",(B39)/(C39))</f>
        <v/>
      </c>
      <c r="F39" s="4"/>
      <c r="G39" s="5">
        <f>0</f>
        <v>0</v>
      </c>
      <c r="H39" s="5">
        <f>(F39)-(G39)</f>
        <v>0</v>
      </c>
      <c r="I39" s="6" t="str">
        <f>IF(G39=0,"",(F39)/(G39))</f>
        <v/>
      </c>
      <c r="J39" s="5">
        <f t="shared" ref="J39:K42" si="15">(B39)+(F39)</f>
        <v>0</v>
      </c>
      <c r="K39" s="5">
        <f t="shared" si="15"/>
        <v>0</v>
      </c>
      <c r="L39" s="5">
        <f>(J39)-(K39)</f>
        <v>0</v>
      </c>
      <c r="M39" s="6" t="str">
        <f>IF(K39=0,"",(J39)/(K39))</f>
        <v/>
      </c>
    </row>
    <row r="40" spans="1:13" x14ac:dyDescent="0.45">
      <c r="A40" s="3" t="s">
        <v>139</v>
      </c>
      <c r="B40" s="9">
        <f>B39</f>
        <v>0</v>
      </c>
      <c r="C40" s="9">
        <f>C39</f>
        <v>0</v>
      </c>
      <c r="D40" s="9">
        <f>(B40)-(C40)</f>
        <v>0</v>
      </c>
      <c r="E40" s="10" t="str">
        <f>IF(C40=0,"",(B40)/(C40))</f>
        <v/>
      </c>
      <c r="F40" s="9">
        <f>F39</f>
        <v>0</v>
      </c>
      <c r="G40" s="9">
        <f>G39</f>
        <v>0</v>
      </c>
      <c r="H40" s="9">
        <f>(F40)-(G40)</f>
        <v>0</v>
      </c>
      <c r="I40" s="10" t="str">
        <f>IF(G40=0,"",(F40)/(G40))</f>
        <v/>
      </c>
      <c r="J40" s="9">
        <f t="shared" si="15"/>
        <v>0</v>
      </c>
      <c r="K40" s="9">
        <f t="shared" si="15"/>
        <v>0</v>
      </c>
      <c r="L40" s="9">
        <f>(J40)-(K40)</f>
        <v>0</v>
      </c>
      <c r="M40" s="10" t="str">
        <f>IF(K40=0,"",(J40)/(K40))</f>
        <v/>
      </c>
    </row>
    <row r="41" spans="1:13" x14ac:dyDescent="0.45">
      <c r="A41" s="3" t="s">
        <v>140</v>
      </c>
      <c r="B41" s="9">
        <f>(0)-(B40)</f>
        <v>0</v>
      </c>
      <c r="C41" s="9">
        <f>(0)-(C40)</f>
        <v>0</v>
      </c>
      <c r="D41" s="9">
        <f>(B41)-(C41)</f>
        <v>0</v>
      </c>
      <c r="E41" s="10" t="str">
        <f>IF(C41=0,"",(B41)/(C41))</f>
        <v/>
      </c>
      <c r="F41" s="9">
        <f>(0)-(F40)</f>
        <v>0</v>
      </c>
      <c r="G41" s="9">
        <f>(0)-(G40)</f>
        <v>0</v>
      </c>
      <c r="H41" s="9">
        <f>(F41)-(G41)</f>
        <v>0</v>
      </c>
      <c r="I41" s="10" t="str">
        <f>IF(G41=0,"",(F41)/(G41))</f>
        <v/>
      </c>
      <c r="J41" s="9">
        <f t="shared" si="15"/>
        <v>0</v>
      </c>
      <c r="K41" s="9">
        <f t="shared" si="15"/>
        <v>0</v>
      </c>
      <c r="L41" s="9">
        <f>(J41)-(K41)</f>
        <v>0</v>
      </c>
      <c r="M41" s="10" t="str">
        <f>IF(K41=0,"",(J41)/(K41))</f>
        <v/>
      </c>
    </row>
    <row r="42" spans="1:13" x14ac:dyDescent="0.45">
      <c r="A42" s="3" t="s">
        <v>141</v>
      </c>
      <c r="B42" s="9">
        <f>(B37)+(B41)</f>
        <v>73354.580000000075</v>
      </c>
      <c r="C42" s="9">
        <f>(C37)+(C41)</f>
        <v>-59765</v>
      </c>
      <c r="D42" s="9">
        <f>(B42)-(C42)</f>
        <v>133119.58000000007</v>
      </c>
      <c r="E42" s="10">
        <f>IF(C42=0,"",(B42)/(C42))</f>
        <v>-1.2273835857107014</v>
      </c>
      <c r="F42" s="9">
        <f>(F37)+(F41)</f>
        <v>63834.520000000135</v>
      </c>
      <c r="G42" s="9">
        <f>(G37)+(G41)</f>
        <v>-51931</v>
      </c>
      <c r="H42" s="9">
        <f>(F42)-(G42)</f>
        <v>115765.52000000014</v>
      </c>
      <c r="I42" s="10">
        <f>IF(G42=0,"",(F42)/(G42))</f>
        <v>-1.2292180008087681</v>
      </c>
      <c r="J42" s="9">
        <f t="shared" si="15"/>
        <v>137189.10000000021</v>
      </c>
      <c r="K42" s="9">
        <f t="shared" si="15"/>
        <v>-111696</v>
      </c>
      <c r="L42" s="9">
        <f>(J42)-(K42)</f>
        <v>248885.10000000021</v>
      </c>
      <c r="M42" s="10">
        <f>IF(K42=0,"",(J42)/(K42))</f>
        <v>-1.2282364632574148</v>
      </c>
    </row>
    <row r="43" spans="1:13" x14ac:dyDescent="0.4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6" spans="1:13" x14ac:dyDescent="0.45">
      <c r="A46" s="13" t="s">
        <v>145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</sheetData>
  <mergeCells count="7">
    <mergeCell ref="A46:M46"/>
    <mergeCell ref="B5:E5"/>
    <mergeCell ref="F5:I5"/>
    <mergeCell ref="J5:M5"/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E42D-EE0D-47EF-BDEB-653D8DF2E5DD}">
  <dimension ref="A1:D32"/>
  <sheetViews>
    <sheetView workbookViewId="0">
      <selection activeCell="G32" sqref="G32"/>
    </sheetView>
  </sheetViews>
  <sheetFormatPr defaultRowHeight="14.25" x14ac:dyDescent="0.45"/>
  <cols>
    <col min="1" max="1" width="69.59765625" customWidth="1"/>
    <col min="2" max="4" width="10.33203125" customWidth="1"/>
  </cols>
  <sheetData>
    <row r="1" spans="1:4" ht="17.649999999999999" x14ac:dyDescent="0.5">
      <c r="A1" s="25" t="s">
        <v>142</v>
      </c>
      <c r="B1" s="14"/>
      <c r="C1" s="14"/>
      <c r="D1" s="14"/>
    </row>
    <row r="2" spans="1:4" ht="17.649999999999999" x14ac:dyDescent="0.5">
      <c r="A2" s="25" t="s">
        <v>250</v>
      </c>
      <c r="B2" s="14"/>
      <c r="C2" s="14"/>
      <c r="D2" s="14"/>
    </row>
    <row r="3" spans="1:4" x14ac:dyDescent="0.45">
      <c r="A3" s="24" t="s">
        <v>144</v>
      </c>
      <c r="B3" s="14"/>
      <c r="C3" s="14"/>
      <c r="D3" s="14"/>
    </row>
    <row r="5" spans="1:4" x14ac:dyDescent="0.45">
      <c r="A5" s="1"/>
      <c r="B5" s="2" t="s">
        <v>0</v>
      </c>
      <c r="C5" s="2" t="s">
        <v>1</v>
      </c>
      <c r="D5" s="2" t="s">
        <v>2</v>
      </c>
    </row>
    <row r="6" spans="1:4" x14ac:dyDescent="0.45">
      <c r="A6" s="3" t="s">
        <v>249</v>
      </c>
      <c r="B6" s="18"/>
      <c r="C6" s="18"/>
      <c r="D6" s="18"/>
    </row>
    <row r="7" spans="1:4" x14ac:dyDescent="0.45">
      <c r="A7" s="3" t="s">
        <v>248</v>
      </c>
      <c r="B7" s="20">
        <f>73354.58</f>
        <v>73354.58</v>
      </c>
      <c r="C7" s="20">
        <f>63834.52</f>
        <v>63834.52</v>
      </c>
      <c r="D7" s="20">
        <f>(B7)+(C7)</f>
        <v>137189.1</v>
      </c>
    </row>
    <row r="8" spans="1:4" x14ac:dyDescent="0.45">
      <c r="A8" s="3" t="s">
        <v>247</v>
      </c>
      <c r="B8" s="18"/>
      <c r="C8" s="18"/>
      <c r="D8" s="20">
        <f>(B8)+(C8)</f>
        <v>0</v>
      </c>
    </row>
    <row r="9" spans="1:4" x14ac:dyDescent="0.45">
      <c r="A9" s="3" t="s">
        <v>246</v>
      </c>
      <c r="B9" s="18"/>
      <c r="C9" s="20">
        <f>-500</f>
        <v>-500</v>
      </c>
      <c r="D9" s="20">
        <f>(B9)+(C9)</f>
        <v>-500</v>
      </c>
    </row>
    <row r="10" spans="1:4" x14ac:dyDescent="0.45">
      <c r="A10" s="3" t="s">
        <v>245</v>
      </c>
      <c r="B10" s="20">
        <f>54868.85</f>
        <v>54868.85</v>
      </c>
      <c r="C10" s="20">
        <f>15085.19</f>
        <v>15085.19</v>
      </c>
      <c r="D10" s="20">
        <f>(B10)+(C10)</f>
        <v>69954.039999999994</v>
      </c>
    </row>
    <row r="11" spans="1:4" x14ac:dyDescent="0.45">
      <c r="A11" s="3" t="s">
        <v>244</v>
      </c>
      <c r="B11" s="18"/>
      <c r="C11" s="20">
        <f>76617.2</f>
        <v>76617.2</v>
      </c>
      <c r="D11" s="20">
        <f>(B11)+(C11)</f>
        <v>76617.2</v>
      </c>
    </row>
    <row r="12" spans="1:4" x14ac:dyDescent="0.45">
      <c r="A12" s="3" t="s">
        <v>243</v>
      </c>
      <c r="B12" s="18"/>
      <c r="C12" s="20">
        <f>-6303</f>
        <v>-6303</v>
      </c>
      <c r="D12" s="20">
        <f>(B12)+(C12)</f>
        <v>-6303</v>
      </c>
    </row>
    <row r="13" spans="1:4" x14ac:dyDescent="0.45">
      <c r="A13" s="3" t="s">
        <v>242</v>
      </c>
      <c r="B13" s="20">
        <f>-5040.82</f>
        <v>-5040.82</v>
      </c>
      <c r="C13" s="20">
        <f>26106.99</f>
        <v>26106.99</v>
      </c>
      <c r="D13" s="20">
        <f>(B13)+(C13)</f>
        <v>21066.170000000002</v>
      </c>
    </row>
    <row r="14" spans="1:4" x14ac:dyDescent="0.45">
      <c r="A14" s="3" t="s">
        <v>241</v>
      </c>
      <c r="B14" s="20">
        <f>9521.09</f>
        <v>9521.09</v>
      </c>
      <c r="C14" s="20">
        <f>37427.54</f>
        <v>37427.54</v>
      </c>
      <c r="D14" s="20">
        <f>(B14)+(C14)</f>
        <v>46948.630000000005</v>
      </c>
    </row>
    <row r="15" spans="1:4" x14ac:dyDescent="0.45">
      <c r="A15" s="3" t="s">
        <v>240</v>
      </c>
      <c r="B15" s="20">
        <f>8993.57</f>
        <v>8993.57</v>
      </c>
      <c r="C15" s="20">
        <f>2262.6</f>
        <v>2262.6</v>
      </c>
      <c r="D15" s="20">
        <f>(B15)+(C15)</f>
        <v>11256.17</v>
      </c>
    </row>
    <row r="16" spans="1:4" x14ac:dyDescent="0.45">
      <c r="A16" s="3" t="s">
        <v>239</v>
      </c>
      <c r="B16" s="20">
        <f>10</f>
        <v>10</v>
      </c>
      <c r="C16" s="20">
        <f>-20</f>
        <v>-20</v>
      </c>
      <c r="D16" s="20">
        <f>(B16)+(C16)</f>
        <v>-10</v>
      </c>
    </row>
    <row r="17" spans="1:4" x14ac:dyDescent="0.45">
      <c r="A17" s="3" t="s">
        <v>238</v>
      </c>
      <c r="B17" s="20">
        <f>1411.76</f>
        <v>1411.76</v>
      </c>
      <c r="C17" s="20">
        <f>4437.93</f>
        <v>4437.93</v>
      </c>
      <c r="D17" s="20">
        <f>(B17)+(C17)</f>
        <v>5849.6900000000005</v>
      </c>
    </row>
    <row r="18" spans="1:4" x14ac:dyDescent="0.45">
      <c r="A18" s="3" t="s">
        <v>237</v>
      </c>
      <c r="B18" s="20">
        <f>1714.11</f>
        <v>1714.11</v>
      </c>
      <c r="C18" s="20">
        <f>-1526.13</f>
        <v>-1526.13</v>
      </c>
      <c r="D18" s="20">
        <f>(B18)+(C18)</f>
        <v>187.97999999999979</v>
      </c>
    </row>
    <row r="19" spans="1:4" x14ac:dyDescent="0.45">
      <c r="A19" s="3" t="s">
        <v>236</v>
      </c>
      <c r="B19" s="20">
        <f>0</f>
        <v>0</v>
      </c>
      <c r="C19" s="20">
        <f>-0.02</f>
        <v>-0.02</v>
      </c>
      <c r="D19" s="20">
        <f>(B19)+(C19)</f>
        <v>-0.02</v>
      </c>
    </row>
    <row r="20" spans="1:4" x14ac:dyDescent="0.45">
      <c r="A20" s="3" t="s">
        <v>235</v>
      </c>
      <c r="B20" s="20">
        <f>254.25</f>
        <v>254.25</v>
      </c>
      <c r="C20" s="20">
        <f>-88.97</f>
        <v>-88.97</v>
      </c>
      <c r="D20" s="20">
        <f>(B20)+(C20)</f>
        <v>165.28</v>
      </c>
    </row>
    <row r="21" spans="1:4" x14ac:dyDescent="0.45">
      <c r="A21" s="3" t="s">
        <v>234</v>
      </c>
      <c r="B21" s="20">
        <f>187.3</f>
        <v>187.3</v>
      </c>
      <c r="C21" s="18"/>
      <c r="D21" s="20">
        <f>(B21)+(C21)</f>
        <v>187.3</v>
      </c>
    </row>
    <row r="22" spans="1:4" x14ac:dyDescent="0.45">
      <c r="A22" s="3" t="s">
        <v>233</v>
      </c>
      <c r="B22" s="20">
        <f>7750.49</f>
        <v>7750.49</v>
      </c>
      <c r="C22" s="20">
        <f>-11095.83</f>
        <v>-11095.83</v>
      </c>
      <c r="D22" s="20">
        <f>(B22)+(C22)</f>
        <v>-3345.34</v>
      </c>
    </row>
    <row r="23" spans="1:4" x14ac:dyDescent="0.45">
      <c r="A23" s="3" t="s">
        <v>232</v>
      </c>
      <c r="B23" s="19">
        <f>((((((((((((((B8)+(B9))+(B10))+(B11))+(B12))+(B13))+(B14))+(B15))+(B16))+(B17))+(B18))+(B19))+(B20))+(B21))+(B22)</f>
        <v>79670.600000000006</v>
      </c>
      <c r="C23" s="19">
        <f>((((((((((((((C8)+(C9))+(C10))+(C11))+(C12))+(C13))+(C14))+(C15))+(C16))+(C17))+(C18))+(C19))+(C20))+(C21))+(C22)</f>
        <v>142403.50000000003</v>
      </c>
      <c r="D23" s="19">
        <f>(B23)+(C23)</f>
        <v>222074.10000000003</v>
      </c>
    </row>
    <row r="24" spans="1:4" x14ac:dyDescent="0.45">
      <c r="A24" s="3" t="s">
        <v>231</v>
      </c>
      <c r="B24" s="19">
        <f>(B7)+(B23)</f>
        <v>153025.18</v>
      </c>
      <c r="C24" s="19">
        <f>(C7)+(C23)</f>
        <v>206238.02000000002</v>
      </c>
      <c r="D24" s="19">
        <f>(B24)+(C24)</f>
        <v>359263.2</v>
      </c>
    </row>
    <row r="25" spans="1:4" x14ac:dyDescent="0.45">
      <c r="A25" s="3" t="s">
        <v>230</v>
      </c>
      <c r="B25" s="18"/>
      <c r="C25" s="18"/>
      <c r="D25" s="18"/>
    </row>
    <row r="26" spans="1:4" x14ac:dyDescent="0.45">
      <c r="A26" s="3" t="s">
        <v>229</v>
      </c>
      <c r="B26" s="20">
        <f>-10259.22</f>
        <v>-10259.219999999999</v>
      </c>
      <c r="C26" s="20">
        <f>-9943.69</f>
        <v>-9943.69</v>
      </c>
      <c r="D26" s="20">
        <f>(B26)+(C26)</f>
        <v>-20202.91</v>
      </c>
    </row>
    <row r="27" spans="1:4" x14ac:dyDescent="0.45">
      <c r="A27" s="3" t="s">
        <v>228</v>
      </c>
      <c r="B27" s="19">
        <f>B26</f>
        <v>-10259.219999999999</v>
      </c>
      <c r="C27" s="19">
        <f>C26</f>
        <v>-9943.69</v>
      </c>
      <c r="D27" s="19">
        <f>(B27)+(C27)</f>
        <v>-20202.91</v>
      </c>
    </row>
    <row r="28" spans="1:4" x14ac:dyDescent="0.45">
      <c r="A28" s="3" t="s">
        <v>227</v>
      </c>
      <c r="B28" s="19">
        <f>(B24)+(B27)</f>
        <v>142765.96</v>
      </c>
      <c r="C28" s="19">
        <f>(C24)+(C27)</f>
        <v>196294.33000000002</v>
      </c>
      <c r="D28" s="19">
        <f>(B28)+(C28)</f>
        <v>339060.29000000004</v>
      </c>
    </row>
    <row r="29" spans="1:4" x14ac:dyDescent="0.45">
      <c r="A29" s="3"/>
      <c r="B29" s="18"/>
      <c r="C29" s="18"/>
      <c r="D29" s="18"/>
    </row>
    <row r="32" spans="1:4" x14ac:dyDescent="0.45">
      <c r="A32" s="23" t="s">
        <v>226</v>
      </c>
      <c r="B32" s="14"/>
      <c r="C32" s="14"/>
      <c r="D32" s="14"/>
    </row>
  </sheetData>
  <mergeCells count="4">
    <mergeCell ref="A32:D32"/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CAC5-4C05-45FA-85D5-DC9EA55012C1}">
  <dimension ref="A1:H425"/>
  <sheetViews>
    <sheetView workbookViewId="0">
      <selection sqref="A1:H1"/>
    </sheetView>
  </sheetViews>
  <sheetFormatPr defaultRowHeight="14.25" x14ac:dyDescent="0.45"/>
  <cols>
    <col min="1" max="1" width="32.6640625" customWidth="1"/>
    <col min="2" max="2" width="9.46484375" customWidth="1"/>
    <col min="3" max="3" width="18.06640625" customWidth="1"/>
    <col min="4" max="4" width="13.73046875" customWidth="1"/>
    <col min="5" max="5" width="34.3984375" customWidth="1"/>
    <col min="6" max="6" width="86.796875" customWidth="1"/>
    <col min="7" max="7" width="7.73046875" customWidth="1"/>
    <col min="8" max="8" width="9.46484375" customWidth="1"/>
  </cols>
  <sheetData>
    <row r="1" spans="1:8" ht="17.649999999999999" x14ac:dyDescent="0.5">
      <c r="A1" s="25" t="s">
        <v>142</v>
      </c>
      <c r="B1" s="14"/>
      <c r="C1" s="14"/>
      <c r="D1" s="14"/>
      <c r="E1" s="14"/>
      <c r="F1" s="14"/>
      <c r="G1" s="14"/>
      <c r="H1" s="14"/>
    </row>
    <row r="2" spans="1:8" ht="17.649999999999999" x14ac:dyDescent="0.5">
      <c r="A2" s="25" t="s">
        <v>427</v>
      </c>
      <c r="B2" s="14"/>
      <c r="C2" s="14"/>
      <c r="D2" s="14"/>
      <c r="E2" s="14"/>
      <c r="F2" s="14"/>
      <c r="G2" s="14"/>
      <c r="H2" s="14"/>
    </row>
    <row r="3" spans="1:8" x14ac:dyDescent="0.45">
      <c r="A3" s="24" t="s">
        <v>426</v>
      </c>
      <c r="B3" s="14"/>
      <c r="C3" s="14"/>
      <c r="D3" s="14"/>
      <c r="E3" s="14"/>
      <c r="F3" s="14"/>
      <c r="G3" s="14"/>
      <c r="H3" s="14"/>
    </row>
    <row r="5" spans="1:8" x14ac:dyDescent="0.45">
      <c r="B5" s="2" t="s">
        <v>425</v>
      </c>
      <c r="C5" s="2" t="s">
        <v>424</v>
      </c>
      <c r="D5" s="2" t="s">
        <v>423</v>
      </c>
      <c r="E5" s="2" t="s">
        <v>422</v>
      </c>
      <c r="F5" s="2" t="s">
        <v>421</v>
      </c>
      <c r="G5" s="2" t="s">
        <v>420</v>
      </c>
      <c r="H5" s="2" t="s">
        <v>419</v>
      </c>
    </row>
    <row r="6" spans="1:8" x14ac:dyDescent="0.45">
      <c r="A6" s="3" t="s">
        <v>418</v>
      </c>
    </row>
    <row r="7" spans="1:8" x14ac:dyDescent="0.45">
      <c r="B7" s="26" t="s">
        <v>415</v>
      </c>
      <c r="C7" s="26" t="s">
        <v>254</v>
      </c>
      <c r="D7" s="27" t="s">
        <v>417</v>
      </c>
      <c r="E7" s="26" t="s">
        <v>416</v>
      </c>
      <c r="F7" s="26"/>
      <c r="G7" s="26" t="s">
        <v>252</v>
      </c>
      <c r="H7" s="5">
        <v>-43375.92</v>
      </c>
    </row>
    <row r="8" spans="1:8" x14ac:dyDescent="0.45">
      <c r="B8" s="26"/>
      <c r="C8" s="26"/>
      <c r="D8" s="27"/>
      <c r="E8" s="26"/>
      <c r="F8" s="26"/>
      <c r="G8" s="26"/>
      <c r="H8" s="5">
        <v>-25612.799999999999</v>
      </c>
    </row>
    <row r="9" spans="1:8" x14ac:dyDescent="0.45">
      <c r="B9" s="26"/>
      <c r="C9" s="26"/>
      <c r="D9" s="27"/>
      <c r="E9" s="26"/>
      <c r="F9" s="26"/>
      <c r="G9" s="26"/>
      <c r="H9" s="5">
        <v>-17763.12</v>
      </c>
    </row>
    <row r="11" spans="1:8" x14ac:dyDescent="0.45">
      <c r="B11" s="26" t="s">
        <v>415</v>
      </c>
      <c r="C11" s="26" t="s">
        <v>254</v>
      </c>
      <c r="D11" s="27">
        <v>202108</v>
      </c>
      <c r="E11" s="26" t="s">
        <v>414</v>
      </c>
      <c r="F11" s="26"/>
      <c r="G11" s="26" t="s">
        <v>252</v>
      </c>
      <c r="H11" s="5">
        <v>-9843.59</v>
      </c>
    </row>
    <row r="12" spans="1:8" x14ac:dyDescent="0.45">
      <c r="B12" s="26"/>
      <c r="C12" s="26"/>
      <c r="D12" s="27"/>
      <c r="E12" s="26"/>
      <c r="F12" s="26"/>
      <c r="G12" s="26"/>
      <c r="H12" s="5">
        <v>-1667.18</v>
      </c>
    </row>
    <row r="13" spans="1:8" x14ac:dyDescent="0.45">
      <c r="B13" s="26"/>
      <c r="C13" s="26"/>
      <c r="D13" s="27"/>
      <c r="E13" s="26"/>
      <c r="F13" s="26"/>
      <c r="G13" s="26"/>
      <c r="H13" s="5">
        <v>-3630.14</v>
      </c>
    </row>
    <row r="14" spans="1:8" x14ac:dyDescent="0.45">
      <c r="B14" s="26"/>
      <c r="C14" s="26"/>
      <c r="D14" s="27"/>
      <c r="E14" s="26"/>
      <c r="F14" s="26"/>
      <c r="G14" s="26"/>
      <c r="H14" s="5">
        <v>-4546.2700000000004</v>
      </c>
    </row>
    <row r="16" spans="1:8" x14ac:dyDescent="0.45">
      <c r="B16" s="26" t="s">
        <v>413</v>
      </c>
      <c r="C16" s="26" t="s">
        <v>258</v>
      </c>
      <c r="D16" s="26"/>
      <c r="E16" s="26" t="s">
        <v>291</v>
      </c>
      <c r="F16" s="26"/>
      <c r="G16" s="26" t="s">
        <v>252</v>
      </c>
      <c r="H16" s="5">
        <v>-1373.68</v>
      </c>
    </row>
    <row r="17" spans="2:8" x14ac:dyDescent="0.45">
      <c r="B17" s="26"/>
      <c r="C17" s="26"/>
      <c r="D17" s="27"/>
      <c r="E17" s="26"/>
      <c r="F17" s="26" t="s">
        <v>290</v>
      </c>
      <c r="G17" s="26"/>
      <c r="H17" s="5">
        <v>-1373.68</v>
      </c>
    </row>
    <row r="19" spans="2:8" x14ac:dyDescent="0.45">
      <c r="B19" s="26" t="s">
        <v>413</v>
      </c>
      <c r="C19" s="26" t="s">
        <v>258</v>
      </c>
      <c r="D19" s="26"/>
      <c r="E19" s="26" t="s">
        <v>353</v>
      </c>
      <c r="F19" s="26"/>
      <c r="G19" s="26" t="s">
        <v>252</v>
      </c>
      <c r="H19" s="5">
        <v>-883.33</v>
      </c>
    </row>
    <row r="20" spans="2:8" x14ac:dyDescent="0.45">
      <c r="B20" s="26"/>
      <c r="C20" s="26"/>
      <c r="D20" s="27"/>
      <c r="E20" s="26"/>
      <c r="F20" s="26" t="s">
        <v>360</v>
      </c>
      <c r="G20" s="26"/>
      <c r="H20" s="5">
        <v>-883.33</v>
      </c>
    </row>
    <row r="22" spans="2:8" x14ac:dyDescent="0.45">
      <c r="B22" s="26" t="s">
        <v>281</v>
      </c>
      <c r="C22" s="26" t="s">
        <v>254</v>
      </c>
      <c r="D22" s="27">
        <v>20210804</v>
      </c>
      <c r="E22" s="26" t="s">
        <v>412</v>
      </c>
      <c r="F22" s="26" t="s">
        <v>306</v>
      </c>
      <c r="G22" s="26" t="s">
        <v>252</v>
      </c>
      <c r="H22" s="5">
        <v>-849.37</v>
      </c>
    </row>
    <row r="23" spans="2:8" x14ac:dyDescent="0.45">
      <c r="B23" s="26"/>
      <c r="C23" s="26"/>
      <c r="D23" s="27"/>
      <c r="E23" s="26"/>
      <c r="F23" s="26"/>
      <c r="G23" s="26"/>
      <c r="H23" s="5">
        <v>-849.37</v>
      </c>
    </row>
    <row r="25" spans="2:8" x14ac:dyDescent="0.45">
      <c r="B25" s="26" t="s">
        <v>281</v>
      </c>
      <c r="C25" s="26" t="s">
        <v>258</v>
      </c>
      <c r="D25" s="27">
        <v>584047515</v>
      </c>
      <c r="E25" s="26" t="s">
        <v>292</v>
      </c>
      <c r="F25" s="26"/>
      <c r="G25" s="26" t="s">
        <v>252</v>
      </c>
      <c r="H25" s="5">
        <v>-594.09</v>
      </c>
    </row>
    <row r="26" spans="2:8" x14ac:dyDescent="0.45">
      <c r="B26" s="26"/>
      <c r="C26" s="26"/>
      <c r="D26" s="27"/>
      <c r="E26" s="26"/>
      <c r="F26" s="26" t="s">
        <v>411</v>
      </c>
      <c r="G26" s="26"/>
      <c r="H26" s="5">
        <v>594.09</v>
      </c>
    </row>
    <row r="28" spans="2:8" x14ac:dyDescent="0.45">
      <c r="B28" s="26" t="s">
        <v>277</v>
      </c>
      <c r="C28" s="26" t="s">
        <v>287</v>
      </c>
      <c r="D28" s="27">
        <v>6481</v>
      </c>
      <c r="E28" s="26" t="s">
        <v>409</v>
      </c>
      <c r="F28" s="26"/>
      <c r="G28" s="26"/>
      <c r="H28" s="5">
        <v>-10.78</v>
      </c>
    </row>
    <row r="29" spans="2:8" x14ac:dyDescent="0.45">
      <c r="B29" s="26"/>
      <c r="C29" s="26"/>
      <c r="D29" s="27"/>
      <c r="E29" s="26"/>
      <c r="F29" s="26" t="s">
        <v>407</v>
      </c>
      <c r="G29" s="26"/>
      <c r="H29" s="5">
        <v>10.78</v>
      </c>
    </row>
    <row r="31" spans="2:8" x14ac:dyDescent="0.45">
      <c r="B31" s="26" t="s">
        <v>277</v>
      </c>
      <c r="C31" s="26" t="s">
        <v>254</v>
      </c>
      <c r="D31" s="27">
        <v>6482</v>
      </c>
      <c r="E31" s="26" t="s">
        <v>355</v>
      </c>
      <c r="F31" s="26"/>
      <c r="G31" s="26" t="s">
        <v>252</v>
      </c>
      <c r="H31" s="5">
        <v>-1696</v>
      </c>
    </row>
    <row r="32" spans="2:8" x14ac:dyDescent="0.45">
      <c r="B32" s="26"/>
      <c r="C32" s="26"/>
      <c r="D32" s="27"/>
      <c r="E32" s="26"/>
      <c r="F32" s="26"/>
      <c r="G32" s="26"/>
      <c r="H32" s="5">
        <v>-1696</v>
      </c>
    </row>
    <row r="34" spans="2:8" x14ac:dyDescent="0.45">
      <c r="B34" s="26" t="s">
        <v>277</v>
      </c>
      <c r="C34" s="26" t="s">
        <v>254</v>
      </c>
      <c r="D34" s="27">
        <v>6483</v>
      </c>
      <c r="E34" s="26" t="s">
        <v>410</v>
      </c>
      <c r="F34" s="26"/>
      <c r="G34" s="26" t="s">
        <v>252</v>
      </c>
      <c r="H34" s="5">
        <v>-6500</v>
      </c>
    </row>
    <row r="35" spans="2:8" x14ac:dyDescent="0.45">
      <c r="B35" s="26"/>
      <c r="C35" s="26"/>
      <c r="D35" s="27"/>
      <c r="E35" s="26"/>
      <c r="F35" s="26"/>
      <c r="G35" s="26"/>
      <c r="H35" s="5">
        <v>-6500</v>
      </c>
    </row>
    <row r="37" spans="2:8" ht="21.4" x14ac:dyDescent="0.45">
      <c r="B37" s="26" t="s">
        <v>277</v>
      </c>
      <c r="C37" s="26" t="s">
        <v>287</v>
      </c>
      <c r="D37" s="27">
        <v>6480</v>
      </c>
      <c r="E37" s="26" t="s">
        <v>409</v>
      </c>
      <c r="F37" s="26" t="s">
        <v>408</v>
      </c>
      <c r="G37" s="26"/>
      <c r="H37" s="5">
        <v>0</v>
      </c>
    </row>
    <row r="38" spans="2:8" x14ac:dyDescent="0.45">
      <c r="B38" s="26"/>
      <c r="C38" s="26"/>
      <c r="D38" s="27"/>
      <c r="E38" s="26"/>
      <c r="F38" s="26" t="s">
        <v>407</v>
      </c>
      <c r="G38" s="26"/>
      <c r="H38" s="5">
        <v>0</v>
      </c>
    </row>
    <row r="40" spans="2:8" x14ac:dyDescent="0.45">
      <c r="B40" s="26" t="s">
        <v>277</v>
      </c>
      <c r="C40" s="26" t="s">
        <v>254</v>
      </c>
      <c r="D40" s="27" t="s">
        <v>406</v>
      </c>
      <c r="E40" s="26" t="s">
        <v>405</v>
      </c>
      <c r="F40" s="26"/>
      <c r="G40" s="26" t="s">
        <v>252</v>
      </c>
      <c r="H40" s="5">
        <v>-128755.37</v>
      </c>
    </row>
    <row r="41" spans="2:8" x14ac:dyDescent="0.45">
      <c r="B41" s="26"/>
      <c r="C41" s="26"/>
      <c r="D41" s="27"/>
      <c r="E41" s="26"/>
      <c r="F41" s="26"/>
      <c r="G41" s="26"/>
      <c r="H41" s="5">
        <v>-98717.59</v>
      </c>
    </row>
    <row r="42" spans="2:8" x14ac:dyDescent="0.45">
      <c r="B42" s="26"/>
      <c r="C42" s="26"/>
      <c r="D42" s="27"/>
      <c r="E42" s="26"/>
      <c r="F42" s="26"/>
      <c r="G42" s="26"/>
      <c r="H42" s="5">
        <v>-30037.78</v>
      </c>
    </row>
    <row r="44" spans="2:8" x14ac:dyDescent="0.45">
      <c r="B44" s="26" t="s">
        <v>277</v>
      </c>
      <c r="C44" s="26" t="s">
        <v>254</v>
      </c>
      <c r="D44" s="27">
        <v>20210806</v>
      </c>
      <c r="E44" s="26" t="s">
        <v>404</v>
      </c>
      <c r="F44" s="26"/>
      <c r="G44" s="26" t="s">
        <v>252</v>
      </c>
      <c r="H44" s="5">
        <v>-5049</v>
      </c>
    </row>
    <row r="45" spans="2:8" x14ac:dyDescent="0.45">
      <c r="B45" s="26"/>
      <c r="C45" s="26"/>
      <c r="D45" s="27"/>
      <c r="E45" s="26"/>
      <c r="F45" s="26"/>
      <c r="G45" s="26"/>
      <c r="H45" s="5">
        <v>-5049</v>
      </c>
    </row>
    <row r="47" spans="2:8" x14ac:dyDescent="0.45">
      <c r="B47" s="26" t="s">
        <v>276</v>
      </c>
      <c r="C47" s="26" t="s">
        <v>258</v>
      </c>
      <c r="D47" s="27">
        <v>1460479186</v>
      </c>
      <c r="E47" s="26" t="s">
        <v>403</v>
      </c>
      <c r="F47" s="26"/>
      <c r="G47" s="26" t="s">
        <v>252</v>
      </c>
      <c r="H47" s="5">
        <v>-14.99</v>
      </c>
    </row>
    <row r="48" spans="2:8" x14ac:dyDescent="0.45">
      <c r="B48" s="26"/>
      <c r="C48" s="26"/>
      <c r="D48" s="27"/>
      <c r="E48" s="26"/>
      <c r="F48" s="26" t="s">
        <v>403</v>
      </c>
      <c r="G48" s="26"/>
      <c r="H48" s="5">
        <v>14.99</v>
      </c>
    </row>
    <row r="50" spans="2:8" x14ac:dyDescent="0.45">
      <c r="B50" s="26" t="s">
        <v>288</v>
      </c>
      <c r="C50" s="26" t="s">
        <v>254</v>
      </c>
      <c r="D50" s="27">
        <v>995324</v>
      </c>
      <c r="E50" s="26" t="s">
        <v>402</v>
      </c>
      <c r="F50" s="26"/>
      <c r="G50" s="26" t="s">
        <v>252</v>
      </c>
      <c r="H50" s="5">
        <v>-1085.77</v>
      </c>
    </row>
    <row r="51" spans="2:8" x14ac:dyDescent="0.45">
      <c r="B51" s="26"/>
      <c r="C51" s="26"/>
      <c r="D51" s="27"/>
      <c r="E51" s="26"/>
      <c r="F51" s="26"/>
      <c r="G51" s="26"/>
      <c r="H51" s="5">
        <v>-1085.77</v>
      </c>
    </row>
    <row r="53" spans="2:8" x14ac:dyDescent="0.45">
      <c r="B53" s="26" t="s">
        <v>288</v>
      </c>
      <c r="C53" s="26" t="s">
        <v>254</v>
      </c>
      <c r="D53" s="27">
        <v>995325</v>
      </c>
      <c r="E53" s="26" t="s">
        <v>401</v>
      </c>
      <c r="F53" s="26"/>
      <c r="G53" s="26" t="s">
        <v>252</v>
      </c>
      <c r="H53" s="5">
        <v>-1970</v>
      </c>
    </row>
    <row r="54" spans="2:8" x14ac:dyDescent="0.45">
      <c r="B54" s="26"/>
      <c r="C54" s="26"/>
      <c r="D54" s="27"/>
      <c r="E54" s="26"/>
      <c r="F54" s="26"/>
      <c r="G54" s="26"/>
      <c r="H54" s="5">
        <v>-1970</v>
      </c>
    </row>
    <row r="56" spans="2:8" x14ac:dyDescent="0.45">
      <c r="B56" s="26" t="s">
        <v>288</v>
      </c>
      <c r="C56" s="26" t="s">
        <v>258</v>
      </c>
      <c r="D56" s="26"/>
      <c r="E56" s="26" t="s">
        <v>291</v>
      </c>
      <c r="F56" s="26"/>
      <c r="G56" s="26" t="s">
        <v>252</v>
      </c>
      <c r="H56" s="5">
        <v>-157.37</v>
      </c>
    </row>
    <row r="57" spans="2:8" x14ac:dyDescent="0.45">
      <c r="B57" s="26"/>
      <c r="C57" s="26"/>
      <c r="D57" s="27"/>
      <c r="E57" s="26"/>
      <c r="F57" s="26" t="s">
        <v>290</v>
      </c>
      <c r="G57" s="26"/>
      <c r="H57" s="5">
        <v>-157.37</v>
      </c>
    </row>
    <row r="59" spans="2:8" x14ac:dyDescent="0.45">
      <c r="B59" s="26" t="s">
        <v>400</v>
      </c>
      <c r="C59" s="26" t="s">
        <v>287</v>
      </c>
      <c r="D59" s="27">
        <v>6484</v>
      </c>
      <c r="E59" s="26" t="s">
        <v>399</v>
      </c>
      <c r="F59" s="26"/>
      <c r="G59" s="26" t="s">
        <v>252</v>
      </c>
      <c r="H59" s="5">
        <v>-81.5</v>
      </c>
    </row>
    <row r="60" spans="2:8" x14ac:dyDescent="0.45">
      <c r="B60" s="26"/>
      <c r="C60" s="26"/>
      <c r="D60" s="27"/>
      <c r="E60" s="26"/>
      <c r="F60" s="26" t="s">
        <v>398</v>
      </c>
      <c r="G60" s="26"/>
      <c r="H60" s="5">
        <v>51.5</v>
      </c>
    </row>
    <row r="61" spans="2:8" x14ac:dyDescent="0.45">
      <c r="B61" s="26"/>
      <c r="C61" s="26"/>
      <c r="D61" s="27"/>
      <c r="E61" s="26"/>
      <c r="F61" s="26" t="s">
        <v>397</v>
      </c>
      <c r="G61" s="26"/>
      <c r="H61" s="5">
        <v>30</v>
      </c>
    </row>
    <row r="63" spans="2:8" x14ac:dyDescent="0.45">
      <c r="B63" s="26" t="s">
        <v>273</v>
      </c>
      <c r="C63" s="26" t="s">
        <v>254</v>
      </c>
      <c r="D63" s="27">
        <v>995332</v>
      </c>
      <c r="E63" s="26" t="s">
        <v>396</v>
      </c>
      <c r="F63" s="26"/>
      <c r="G63" s="26" t="s">
        <v>252</v>
      </c>
      <c r="H63" s="5">
        <v>-63.58</v>
      </c>
    </row>
    <row r="64" spans="2:8" x14ac:dyDescent="0.45">
      <c r="B64" s="26"/>
      <c r="C64" s="26"/>
      <c r="D64" s="27"/>
      <c r="E64" s="26"/>
      <c r="F64" s="26"/>
      <c r="G64" s="26"/>
      <c r="H64" s="5">
        <v>-63.58</v>
      </c>
    </row>
    <row r="66" spans="2:8" x14ac:dyDescent="0.45">
      <c r="B66" s="26" t="s">
        <v>273</v>
      </c>
      <c r="C66" s="26" t="s">
        <v>254</v>
      </c>
      <c r="D66" s="27">
        <v>995326</v>
      </c>
      <c r="E66" s="26" t="s">
        <v>395</v>
      </c>
      <c r="F66" s="26"/>
      <c r="G66" s="26" t="s">
        <v>252</v>
      </c>
      <c r="H66" s="5">
        <v>-4944.84</v>
      </c>
    </row>
    <row r="67" spans="2:8" x14ac:dyDescent="0.45">
      <c r="B67" s="26"/>
      <c r="C67" s="26"/>
      <c r="D67" s="27"/>
      <c r="E67" s="26"/>
      <c r="F67" s="26"/>
      <c r="G67" s="26"/>
      <c r="H67" s="5">
        <v>-4944.84</v>
      </c>
    </row>
    <row r="69" spans="2:8" x14ac:dyDescent="0.45">
      <c r="B69" s="26" t="s">
        <v>273</v>
      </c>
      <c r="C69" s="26" t="s">
        <v>254</v>
      </c>
      <c r="D69" s="27">
        <v>995327</v>
      </c>
      <c r="E69" s="26" t="s">
        <v>394</v>
      </c>
      <c r="F69" s="26"/>
      <c r="G69" s="26" t="s">
        <v>252</v>
      </c>
      <c r="H69" s="5">
        <v>-920.27</v>
      </c>
    </row>
    <row r="70" spans="2:8" x14ac:dyDescent="0.45">
      <c r="B70" s="26"/>
      <c r="C70" s="26"/>
      <c r="D70" s="27"/>
      <c r="E70" s="26"/>
      <c r="F70" s="26"/>
      <c r="G70" s="26"/>
      <c r="H70" s="5">
        <v>-920.27</v>
      </c>
    </row>
    <row r="72" spans="2:8" x14ac:dyDescent="0.45">
      <c r="B72" s="26" t="s">
        <v>273</v>
      </c>
      <c r="C72" s="26" t="s">
        <v>254</v>
      </c>
      <c r="D72" s="27">
        <v>995328</v>
      </c>
      <c r="E72" s="26" t="s">
        <v>314</v>
      </c>
      <c r="F72" s="26"/>
      <c r="G72" s="26" t="s">
        <v>252</v>
      </c>
      <c r="H72" s="5">
        <v>-848.75</v>
      </c>
    </row>
    <row r="73" spans="2:8" x14ac:dyDescent="0.45">
      <c r="B73" s="26"/>
      <c r="C73" s="26"/>
      <c r="D73" s="27"/>
      <c r="E73" s="26"/>
      <c r="F73" s="26"/>
      <c r="G73" s="26"/>
      <c r="H73" s="5">
        <v>-848.75</v>
      </c>
    </row>
    <row r="75" spans="2:8" x14ac:dyDescent="0.45">
      <c r="B75" s="26" t="s">
        <v>273</v>
      </c>
      <c r="C75" s="26" t="s">
        <v>254</v>
      </c>
      <c r="D75" s="27">
        <v>995329</v>
      </c>
      <c r="E75" s="26" t="s">
        <v>317</v>
      </c>
      <c r="F75" s="26"/>
      <c r="G75" s="26" t="s">
        <v>252</v>
      </c>
      <c r="H75" s="5">
        <v>-301.26</v>
      </c>
    </row>
    <row r="76" spans="2:8" x14ac:dyDescent="0.45">
      <c r="B76" s="26"/>
      <c r="C76" s="26"/>
      <c r="D76" s="27"/>
      <c r="E76" s="26"/>
      <c r="F76" s="26"/>
      <c r="G76" s="26"/>
      <c r="H76" s="5">
        <v>-301.26</v>
      </c>
    </row>
    <row r="78" spans="2:8" x14ac:dyDescent="0.45">
      <c r="B78" s="26" t="s">
        <v>273</v>
      </c>
      <c r="C78" s="26" t="s">
        <v>254</v>
      </c>
      <c r="D78" s="27">
        <v>995330</v>
      </c>
      <c r="E78" s="26" t="s">
        <v>322</v>
      </c>
      <c r="F78" s="26"/>
      <c r="G78" s="26" t="s">
        <v>252</v>
      </c>
      <c r="H78" s="5">
        <v>-195</v>
      </c>
    </row>
    <row r="79" spans="2:8" x14ac:dyDescent="0.45">
      <c r="B79" s="26"/>
      <c r="C79" s="26"/>
      <c r="D79" s="27"/>
      <c r="E79" s="26"/>
      <c r="F79" s="26"/>
      <c r="G79" s="26"/>
      <c r="H79" s="5">
        <v>-195</v>
      </c>
    </row>
    <row r="81" spans="2:8" x14ac:dyDescent="0.45">
      <c r="B81" s="26" t="s">
        <v>273</v>
      </c>
      <c r="C81" s="26" t="s">
        <v>254</v>
      </c>
      <c r="D81" s="27">
        <v>995331</v>
      </c>
      <c r="E81" s="26" t="s">
        <v>393</v>
      </c>
      <c r="F81" s="26"/>
      <c r="G81" s="26" t="s">
        <v>252</v>
      </c>
      <c r="H81" s="5">
        <v>-1043</v>
      </c>
    </row>
    <row r="82" spans="2:8" x14ac:dyDescent="0.45">
      <c r="B82" s="26"/>
      <c r="C82" s="26"/>
      <c r="D82" s="27"/>
      <c r="E82" s="26"/>
      <c r="F82" s="26"/>
      <c r="G82" s="26"/>
      <c r="H82" s="5">
        <v>-1043</v>
      </c>
    </row>
    <row r="84" spans="2:8" x14ac:dyDescent="0.45">
      <c r="B84" s="26" t="s">
        <v>273</v>
      </c>
      <c r="C84" s="26" t="s">
        <v>254</v>
      </c>
      <c r="D84" s="27">
        <v>995333</v>
      </c>
      <c r="E84" s="26" t="s">
        <v>392</v>
      </c>
      <c r="F84" s="26"/>
      <c r="G84" s="26" t="s">
        <v>252</v>
      </c>
      <c r="H84" s="5">
        <v>-2102.9899999999998</v>
      </c>
    </row>
    <row r="85" spans="2:8" x14ac:dyDescent="0.45">
      <c r="B85" s="26"/>
      <c r="C85" s="26"/>
      <c r="D85" s="27"/>
      <c r="E85" s="26"/>
      <c r="F85" s="26"/>
      <c r="G85" s="26"/>
      <c r="H85" s="5">
        <v>-2102.9899999999998</v>
      </c>
    </row>
    <row r="87" spans="2:8" x14ac:dyDescent="0.45">
      <c r="B87" s="26" t="s">
        <v>273</v>
      </c>
      <c r="C87" s="26" t="s">
        <v>254</v>
      </c>
      <c r="D87" s="27">
        <v>20210812</v>
      </c>
      <c r="E87" s="26" t="s">
        <v>388</v>
      </c>
      <c r="F87" s="26" t="s">
        <v>391</v>
      </c>
      <c r="G87" s="26" t="s">
        <v>252</v>
      </c>
      <c r="H87" s="5">
        <v>-753.67</v>
      </c>
    </row>
    <row r="88" spans="2:8" x14ac:dyDescent="0.45">
      <c r="B88" s="26"/>
      <c r="C88" s="26"/>
      <c r="D88" s="27"/>
      <c r="E88" s="26"/>
      <c r="F88" s="26"/>
      <c r="G88" s="26"/>
      <c r="H88" s="5">
        <v>-753.67</v>
      </c>
    </row>
    <row r="90" spans="2:8" x14ac:dyDescent="0.45">
      <c r="B90" s="26" t="s">
        <v>273</v>
      </c>
      <c r="C90" s="26" t="s">
        <v>254</v>
      </c>
      <c r="D90" s="27" t="s">
        <v>390</v>
      </c>
      <c r="E90" s="26" t="s">
        <v>389</v>
      </c>
      <c r="F90" s="26"/>
      <c r="G90" s="26" t="s">
        <v>252</v>
      </c>
      <c r="H90" s="5">
        <v>-515</v>
      </c>
    </row>
    <row r="91" spans="2:8" x14ac:dyDescent="0.45">
      <c r="B91" s="26"/>
      <c r="C91" s="26"/>
      <c r="D91" s="27"/>
      <c r="E91" s="26"/>
      <c r="F91" s="26"/>
      <c r="G91" s="26"/>
      <c r="H91" s="5">
        <v>-515</v>
      </c>
    </row>
    <row r="93" spans="2:8" x14ac:dyDescent="0.45">
      <c r="B93" s="26" t="s">
        <v>273</v>
      </c>
      <c r="C93" s="26" t="s">
        <v>254</v>
      </c>
      <c r="D93" s="27">
        <v>20210812</v>
      </c>
      <c r="E93" s="26" t="s">
        <v>388</v>
      </c>
      <c r="F93" s="26" t="s">
        <v>387</v>
      </c>
      <c r="G93" s="26" t="s">
        <v>252</v>
      </c>
      <c r="H93" s="5">
        <v>-147.47</v>
      </c>
    </row>
    <row r="94" spans="2:8" x14ac:dyDescent="0.45">
      <c r="B94" s="26"/>
      <c r="C94" s="26"/>
      <c r="D94" s="27"/>
      <c r="E94" s="26"/>
      <c r="F94" s="26"/>
      <c r="G94" s="26"/>
      <c r="H94" s="5">
        <v>-147.47</v>
      </c>
    </row>
    <row r="96" spans="2:8" x14ac:dyDescent="0.45">
      <c r="B96" s="26" t="s">
        <v>273</v>
      </c>
      <c r="C96" s="26" t="s">
        <v>254</v>
      </c>
      <c r="D96" s="27" t="s">
        <v>386</v>
      </c>
      <c r="E96" s="26" t="s">
        <v>385</v>
      </c>
      <c r="F96" s="26"/>
      <c r="G96" s="26" t="s">
        <v>252</v>
      </c>
      <c r="H96" s="5">
        <v>-128.52000000000001</v>
      </c>
    </row>
    <row r="97" spans="2:8" x14ac:dyDescent="0.45">
      <c r="B97" s="26"/>
      <c r="C97" s="26"/>
      <c r="D97" s="27"/>
      <c r="E97" s="26"/>
      <c r="F97" s="26"/>
      <c r="G97" s="26"/>
      <c r="H97" s="5">
        <v>-128.52000000000001</v>
      </c>
    </row>
    <row r="99" spans="2:8" x14ac:dyDescent="0.45">
      <c r="B99" s="26" t="s">
        <v>382</v>
      </c>
      <c r="C99" s="26" t="s">
        <v>254</v>
      </c>
      <c r="D99" s="27" t="s">
        <v>384</v>
      </c>
      <c r="E99" s="26" t="s">
        <v>292</v>
      </c>
      <c r="F99" s="26"/>
      <c r="G99" s="26" t="s">
        <v>252</v>
      </c>
      <c r="H99" s="5">
        <v>-205857.1</v>
      </c>
    </row>
    <row r="100" spans="2:8" x14ac:dyDescent="0.45">
      <c r="B100" s="26"/>
      <c r="C100" s="26"/>
      <c r="D100" s="27"/>
      <c r="E100" s="26"/>
      <c r="F100" s="26"/>
      <c r="G100" s="26"/>
      <c r="H100" s="5">
        <v>-205857.1</v>
      </c>
    </row>
    <row r="102" spans="2:8" x14ac:dyDescent="0.45">
      <c r="B102" s="26" t="s">
        <v>382</v>
      </c>
      <c r="C102" s="26" t="s">
        <v>254</v>
      </c>
      <c r="D102" s="27" t="s">
        <v>383</v>
      </c>
      <c r="E102" s="26" t="s">
        <v>292</v>
      </c>
      <c r="F102" s="26"/>
      <c r="G102" s="26" t="s">
        <v>252</v>
      </c>
      <c r="H102" s="5">
        <v>-41512.339999999997</v>
      </c>
    </row>
    <row r="103" spans="2:8" x14ac:dyDescent="0.45">
      <c r="B103" s="26"/>
      <c r="C103" s="26"/>
      <c r="D103" s="27"/>
      <c r="E103" s="26"/>
      <c r="F103" s="26"/>
      <c r="G103" s="26"/>
      <c r="H103" s="5">
        <v>-41512.339999999997</v>
      </c>
    </row>
    <row r="105" spans="2:8" x14ac:dyDescent="0.45">
      <c r="B105" s="26" t="s">
        <v>382</v>
      </c>
      <c r="C105" s="26" t="s">
        <v>254</v>
      </c>
      <c r="D105" s="27" t="s">
        <v>381</v>
      </c>
      <c r="E105" s="26" t="s">
        <v>292</v>
      </c>
      <c r="F105" s="26"/>
      <c r="G105" s="26" t="s">
        <v>252</v>
      </c>
      <c r="H105" s="5">
        <v>-140</v>
      </c>
    </row>
    <row r="106" spans="2:8" x14ac:dyDescent="0.45">
      <c r="B106" s="26"/>
      <c r="C106" s="26"/>
      <c r="D106" s="27"/>
      <c r="E106" s="26"/>
      <c r="F106" s="26"/>
      <c r="G106" s="26"/>
      <c r="H106" s="5">
        <v>-0.01</v>
      </c>
    </row>
    <row r="107" spans="2:8" x14ac:dyDescent="0.45">
      <c r="B107" s="26"/>
      <c r="C107" s="26"/>
      <c r="D107" s="27"/>
      <c r="E107" s="26"/>
      <c r="F107" s="26"/>
      <c r="G107" s="26"/>
      <c r="H107" s="5">
        <v>-139.99</v>
      </c>
    </row>
    <row r="109" spans="2:8" x14ac:dyDescent="0.45">
      <c r="B109" s="26" t="s">
        <v>271</v>
      </c>
      <c r="C109" s="26" t="s">
        <v>254</v>
      </c>
      <c r="D109" s="27">
        <v>20210816</v>
      </c>
      <c r="E109" s="26" t="s">
        <v>380</v>
      </c>
      <c r="F109" s="26" t="s">
        <v>306</v>
      </c>
      <c r="G109" s="26" t="s">
        <v>252</v>
      </c>
      <c r="H109" s="5">
        <v>-1034</v>
      </c>
    </row>
    <row r="110" spans="2:8" x14ac:dyDescent="0.45">
      <c r="B110" s="26"/>
      <c r="C110" s="26"/>
      <c r="D110" s="27"/>
      <c r="E110" s="26"/>
      <c r="F110" s="26"/>
      <c r="G110" s="26"/>
      <c r="H110" s="5">
        <v>-1034</v>
      </c>
    </row>
    <row r="112" spans="2:8" x14ac:dyDescent="0.45">
      <c r="B112" s="26" t="s">
        <v>271</v>
      </c>
      <c r="C112" s="26" t="s">
        <v>258</v>
      </c>
      <c r="D112" s="27">
        <v>20210816</v>
      </c>
      <c r="E112" s="26" t="s">
        <v>379</v>
      </c>
      <c r="F112" s="26" t="s">
        <v>378</v>
      </c>
      <c r="G112" s="26" t="s">
        <v>252</v>
      </c>
      <c r="H112" s="5">
        <v>-59.88</v>
      </c>
    </row>
    <row r="113" spans="2:8" x14ac:dyDescent="0.45">
      <c r="B113" s="26"/>
      <c r="C113" s="26"/>
      <c r="D113" s="27"/>
      <c r="E113" s="26"/>
      <c r="F113" s="26" t="s">
        <v>378</v>
      </c>
      <c r="G113" s="26"/>
      <c r="H113" s="5">
        <v>59.88</v>
      </c>
    </row>
    <row r="115" spans="2:8" x14ac:dyDescent="0.45">
      <c r="B115" s="26" t="s">
        <v>270</v>
      </c>
      <c r="C115" s="26" t="s">
        <v>287</v>
      </c>
      <c r="D115" s="27">
        <v>6485</v>
      </c>
      <c r="E115" s="26" t="s">
        <v>377</v>
      </c>
      <c r="F115" s="26"/>
      <c r="G115" s="26" t="s">
        <v>252</v>
      </c>
      <c r="H115" s="5">
        <v>-81.5</v>
      </c>
    </row>
    <row r="116" spans="2:8" x14ac:dyDescent="0.45">
      <c r="B116" s="26"/>
      <c r="C116" s="26"/>
      <c r="D116" s="27"/>
      <c r="E116" s="26"/>
      <c r="F116" s="26" t="s">
        <v>376</v>
      </c>
      <c r="G116" s="26"/>
      <c r="H116" s="5">
        <v>81.5</v>
      </c>
    </row>
    <row r="118" spans="2:8" x14ac:dyDescent="0.45">
      <c r="B118" s="26" t="s">
        <v>270</v>
      </c>
      <c r="C118" s="26" t="s">
        <v>287</v>
      </c>
      <c r="D118" s="27">
        <v>6486</v>
      </c>
      <c r="E118" s="26" t="s">
        <v>375</v>
      </c>
      <c r="F118" s="26"/>
      <c r="G118" s="26" t="s">
        <v>252</v>
      </c>
      <c r="H118" s="5">
        <v>-81.5</v>
      </c>
    </row>
    <row r="119" spans="2:8" x14ac:dyDescent="0.45">
      <c r="B119" s="26"/>
      <c r="C119" s="26"/>
      <c r="D119" s="27"/>
      <c r="E119" s="26"/>
      <c r="F119" s="26" t="s">
        <v>374</v>
      </c>
      <c r="G119" s="26"/>
      <c r="H119" s="5">
        <v>81.5</v>
      </c>
    </row>
    <row r="121" spans="2:8" x14ac:dyDescent="0.45">
      <c r="B121" s="26" t="s">
        <v>270</v>
      </c>
      <c r="C121" s="26" t="s">
        <v>287</v>
      </c>
      <c r="D121" s="27">
        <v>6487</v>
      </c>
      <c r="E121" s="26" t="s">
        <v>373</v>
      </c>
      <c r="F121" s="26"/>
      <c r="G121" s="26" t="s">
        <v>252</v>
      </c>
      <c r="H121" s="5">
        <v>-51.5</v>
      </c>
    </row>
    <row r="122" spans="2:8" x14ac:dyDescent="0.45">
      <c r="B122" s="26"/>
      <c r="C122" s="26"/>
      <c r="D122" s="27"/>
      <c r="E122" s="26"/>
      <c r="F122" s="26" t="s">
        <v>372</v>
      </c>
      <c r="G122" s="26"/>
      <c r="H122" s="5">
        <v>51.5</v>
      </c>
    </row>
    <row r="124" spans="2:8" x14ac:dyDescent="0.45">
      <c r="B124" s="26" t="s">
        <v>270</v>
      </c>
      <c r="C124" s="26" t="s">
        <v>287</v>
      </c>
      <c r="D124" s="27">
        <v>6488</v>
      </c>
      <c r="E124" s="26" t="s">
        <v>371</v>
      </c>
      <c r="F124" s="26"/>
      <c r="G124" s="26" t="s">
        <v>252</v>
      </c>
      <c r="H124" s="5">
        <v>-51.5</v>
      </c>
    </row>
    <row r="125" spans="2:8" x14ac:dyDescent="0.45">
      <c r="B125" s="26"/>
      <c r="C125" s="26"/>
      <c r="D125" s="27"/>
      <c r="E125" s="26"/>
      <c r="F125" s="26" t="s">
        <v>370</v>
      </c>
      <c r="G125" s="26"/>
      <c r="H125" s="5">
        <v>51.5</v>
      </c>
    </row>
    <row r="127" spans="2:8" x14ac:dyDescent="0.45">
      <c r="B127" s="26" t="s">
        <v>270</v>
      </c>
      <c r="C127" s="26" t="s">
        <v>287</v>
      </c>
      <c r="D127" s="27">
        <v>6493</v>
      </c>
      <c r="E127" s="26" t="s">
        <v>369</v>
      </c>
      <c r="F127" s="26"/>
      <c r="G127" s="26" t="s">
        <v>252</v>
      </c>
      <c r="H127" s="5">
        <v>-500</v>
      </c>
    </row>
    <row r="128" spans="2:8" x14ac:dyDescent="0.45">
      <c r="B128" s="26"/>
      <c r="C128" s="26"/>
      <c r="D128" s="27"/>
      <c r="E128" s="26"/>
      <c r="F128" s="26" t="s">
        <v>368</v>
      </c>
      <c r="G128" s="26"/>
      <c r="H128" s="5">
        <v>500</v>
      </c>
    </row>
    <row r="130" spans="2:8" x14ac:dyDescent="0.45">
      <c r="B130" s="26" t="s">
        <v>270</v>
      </c>
      <c r="C130" s="26" t="s">
        <v>287</v>
      </c>
      <c r="D130" s="27">
        <v>6489</v>
      </c>
      <c r="E130" s="26" t="s">
        <v>367</v>
      </c>
      <c r="F130" s="26"/>
      <c r="G130" s="26"/>
      <c r="H130" s="5">
        <v>-51.5</v>
      </c>
    </row>
    <row r="131" spans="2:8" x14ac:dyDescent="0.45">
      <c r="B131" s="26"/>
      <c r="C131" s="26"/>
      <c r="D131" s="27"/>
      <c r="E131" s="26"/>
      <c r="F131" s="26" t="s">
        <v>362</v>
      </c>
      <c r="G131" s="26"/>
      <c r="H131" s="5">
        <v>51.5</v>
      </c>
    </row>
    <row r="133" spans="2:8" x14ac:dyDescent="0.45">
      <c r="B133" s="26" t="s">
        <v>270</v>
      </c>
      <c r="C133" s="26" t="s">
        <v>287</v>
      </c>
      <c r="D133" s="27">
        <v>6490</v>
      </c>
      <c r="E133" s="26" t="s">
        <v>366</v>
      </c>
      <c r="F133" s="26"/>
      <c r="G133" s="26" t="s">
        <v>252</v>
      </c>
      <c r="H133" s="5">
        <v>-51.5</v>
      </c>
    </row>
    <row r="134" spans="2:8" x14ac:dyDescent="0.45">
      <c r="B134" s="26"/>
      <c r="C134" s="26"/>
      <c r="D134" s="27"/>
      <c r="E134" s="26"/>
      <c r="F134" s="26" t="s">
        <v>364</v>
      </c>
      <c r="G134" s="26"/>
      <c r="H134" s="5">
        <v>51.5</v>
      </c>
    </row>
    <row r="136" spans="2:8" x14ac:dyDescent="0.45">
      <c r="B136" s="26" t="s">
        <v>270</v>
      </c>
      <c r="C136" s="26" t="s">
        <v>287</v>
      </c>
      <c r="D136" s="27">
        <v>6491</v>
      </c>
      <c r="E136" s="26" t="s">
        <v>365</v>
      </c>
      <c r="F136" s="26"/>
      <c r="G136" s="26" t="s">
        <v>252</v>
      </c>
      <c r="H136" s="5">
        <v>-51.5</v>
      </c>
    </row>
    <row r="137" spans="2:8" x14ac:dyDescent="0.45">
      <c r="B137" s="26"/>
      <c r="C137" s="26"/>
      <c r="D137" s="27"/>
      <c r="E137" s="26"/>
      <c r="F137" s="26" t="s">
        <v>364</v>
      </c>
      <c r="G137" s="26"/>
      <c r="H137" s="5">
        <v>51.5</v>
      </c>
    </row>
    <row r="139" spans="2:8" x14ac:dyDescent="0.45">
      <c r="B139" s="26" t="s">
        <v>270</v>
      </c>
      <c r="C139" s="26" t="s">
        <v>287</v>
      </c>
      <c r="D139" s="27">
        <v>6492</v>
      </c>
      <c r="E139" s="26" t="s">
        <v>363</v>
      </c>
      <c r="F139" s="26"/>
      <c r="G139" s="26" t="s">
        <v>252</v>
      </c>
      <c r="H139" s="5">
        <v>-51.5</v>
      </c>
    </row>
    <row r="140" spans="2:8" x14ac:dyDescent="0.45">
      <c r="B140" s="26"/>
      <c r="C140" s="26"/>
      <c r="D140" s="27"/>
      <c r="E140" s="26"/>
      <c r="F140" s="26" t="s">
        <v>362</v>
      </c>
      <c r="G140" s="26"/>
      <c r="H140" s="5">
        <v>51.5</v>
      </c>
    </row>
    <row r="142" spans="2:8" x14ac:dyDescent="0.45">
      <c r="B142" s="26" t="s">
        <v>270</v>
      </c>
      <c r="C142" s="26" t="s">
        <v>254</v>
      </c>
      <c r="D142" s="27">
        <v>20210817</v>
      </c>
      <c r="E142" s="26" t="s">
        <v>361</v>
      </c>
      <c r="F142" s="26" t="s">
        <v>306</v>
      </c>
      <c r="G142" s="26" t="s">
        <v>252</v>
      </c>
      <c r="H142" s="5">
        <v>-366.41</v>
      </c>
    </row>
    <row r="143" spans="2:8" x14ac:dyDescent="0.45">
      <c r="B143" s="26"/>
      <c r="C143" s="26"/>
      <c r="D143" s="27"/>
      <c r="E143" s="26"/>
      <c r="F143" s="26"/>
      <c r="G143" s="26"/>
      <c r="H143" s="5">
        <v>-366.41</v>
      </c>
    </row>
    <row r="145" spans="2:8" x14ac:dyDescent="0.45">
      <c r="B145" s="26" t="s">
        <v>270</v>
      </c>
      <c r="C145" s="26" t="s">
        <v>258</v>
      </c>
      <c r="D145" s="26"/>
      <c r="E145" s="26" t="s">
        <v>291</v>
      </c>
      <c r="F145" s="26"/>
      <c r="G145" s="26" t="s">
        <v>252</v>
      </c>
      <c r="H145" s="5">
        <v>-71.790000000000006</v>
      </c>
    </row>
    <row r="146" spans="2:8" x14ac:dyDescent="0.45">
      <c r="B146" s="26"/>
      <c r="C146" s="26"/>
      <c r="D146" s="27"/>
      <c r="E146" s="26"/>
      <c r="F146" s="26" t="s">
        <v>290</v>
      </c>
      <c r="G146" s="26"/>
      <c r="H146" s="5">
        <v>-71.790000000000006</v>
      </c>
    </row>
    <row r="148" spans="2:8" x14ac:dyDescent="0.45">
      <c r="B148" s="26" t="s">
        <v>270</v>
      </c>
      <c r="C148" s="26" t="s">
        <v>258</v>
      </c>
      <c r="D148" s="26"/>
      <c r="E148" s="26" t="s">
        <v>353</v>
      </c>
      <c r="F148" s="26"/>
      <c r="G148" s="26" t="s">
        <v>252</v>
      </c>
      <c r="H148" s="5">
        <v>-208.33</v>
      </c>
    </row>
    <row r="149" spans="2:8" x14ac:dyDescent="0.45">
      <c r="B149" s="26"/>
      <c r="C149" s="26"/>
      <c r="D149" s="27"/>
      <c r="E149" s="26"/>
      <c r="F149" s="26" t="s">
        <v>360</v>
      </c>
      <c r="G149" s="26"/>
      <c r="H149" s="5">
        <v>-208.33</v>
      </c>
    </row>
    <row r="151" spans="2:8" x14ac:dyDescent="0.45">
      <c r="B151" s="26" t="s">
        <v>359</v>
      </c>
      <c r="C151" s="26" t="s">
        <v>254</v>
      </c>
      <c r="D151" s="27">
        <v>20210818</v>
      </c>
      <c r="E151" s="26" t="s">
        <v>307</v>
      </c>
      <c r="F151" s="26" t="s">
        <v>306</v>
      </c>
      <c r="G151" s="26" t="s">
        <v>252</v>
      </c>
      <c r="H151" s="5">
        <v>-3795.82</v>
      </c>
    </row>
    <row r="152" spans="2:8" x14ac:dyDescent="0.45">
      <c r="B152" s="26"/>
      <c r="C152" s="26"/>
      <c r="D152" s="27"/>
      <c r="E152" s="26"/>
      <c r="F152" s="26"/>
      <c r="G152" s="26"/>
      <c r="H152" s="5">
        <v>-3795.82</v>
      </c>
    </row>
    <row r="154" spans="2:8" x14ac:dyDescent="0.45">
      <c r="B154" s="26" t="s">
        <v>359</v>
      </c>
      <c r="C154" s="26" t="s">
        <v>254</v>
      </c>
      <c r="D154" s="27">
        <v>20210818</v>
      </c>
      <c r="E154" s="26" t="s">
        <v>358</v>
      </c>
      <c r="F154" s="26" t="s">
        <v>306</v>
      </c>
      <c r="G154" s="26" t="s">
        <v>252</v>
      </c>
      <c r="H154" s="5">
        <v>-3011.4</v>
      </c>
    </row>
    <row r="155" spans="2:8" x14ac:dyDescent="0.45">
      <c r="B155" s="26"/>
      <c r="C155" s="26"/>
      <c r="D155" s="27"/>
      <c r="E155" s="26"/>
      <c r="F155" s="26"/>
      <c r="G155" s="26"/>
      <c r="H155" s="5">
        <v>-3011.4</v>
      </c>
    </row>
    <row r="157" spans="2:8" x14ac:dyDescent="0.45">
      <c r="B157" s="26" t="s">
        <v>269</v>
      </c>
      <c r="C157" s="26" t="s">
        <v>254</v>
      </c>
      <c r="D157" s="27">
        <v>20210819</v>
      </c>
      <c r="E157" s="26" t="s">
        <v>357</v>
      </c>
      <c r="F157" s="26" t="s">
        <v>306</v>
      </c>
      <c r="G157" s="26" t="s">
        <v>252</v>
      </c>
      <c r="H157" s="5">
        <v>-251.98</v>
      </c>
    </row>
    <row r="158" spans="2:8" x14ac:dyDescent="0.45">
      <c r="B158" s="26"/>
      <c r="C158" s="26"/>
      <c r="D158" s="27"/>
      <c r="E158" s="26"/>
      <c r="F158" s="26"/>
      <c r="G158" s="26"/>
      <c r="H158" s="5">
        <v>-251.98</v>
      </c>
    </row>
    <row r="160" spans="2:8" x14ac:dyDescent="0.45">
      <c r="B160" s="26" t="s">
        <v>269</v>
      </c>
      <c r="C160" s="26" t="s">
        <v>254</v>
      </c>
      <c r="D160" s="27">
        <v>20210819</v>
      </c>
      <c r="E160" s="26" t="s">
        <v>357</v>
      </c>
      <c r="F160" s="26" t="s">
        <v>306</v>
      </c>
      <c r="G160" s="26" t="s">
        <v>252</v>
      </c>
      <c r="H160" s="5">
        <v>-331.92</v>
      </c>
    </row>
    <row r="161" spans="2:8" x14ac:dyDescent="0.45">
      <c r="B161" s="26"/>
      <c r="C161" s="26"/>
      <c r="D161" s="27"/>
      <c r="E161" s="26"/>
      <c r="F161" s="26"/>
      <c r="G161" s="26"/>
      <c r="H161" s="5">
        <v>-331.92</v>
      </c>
    </row>
    <row r="163" spans="2:8" x14ac:dyDescent="0.45">
      <c r="B163" s="26" t="s">
        <v>269</v>
      </c>
      <c r="C163" s="26" t="s">
        <v>254</v>
      </c>
      <c r="D163" s="27">
        <v>20210819</v>
      </c>
      <c r="E163" s="26" t="s">
        <v>357</v>
      </c>
      <c r="F163" s="26" t="s">
        <v>306</v>
      </c>
      <c r="G163" s="26" t="s">
        <v>252</v>
      </c>
      <c r="H163" s="5">
        <v>-412.32</v>
      </c>
    </row>
    <row r="164" spans="2:8" x14ac:dyDescent="0.45">
      <c r="B164" s="26"/>
      <c r="C164" s="26"/>
      <c r="D164" s="27"/>
      <c r="E164" s="26"/>
      <c r="F164" s="26"/>
      <c r="G164" s="26"/>
      <c r="H164" s="5">
        <v>-412.32</v>
      </c>
    </row>
    <row r="166" spans="2:8" x14ac:dyDescent="0.45">
      <c r="B166" s="26" t="s">
        <v>354</v>
      </c>
      <c r="C166" s="26" t="s">
        <v>254</v>
      </c>
      <c r="D166" s="27">
        <v>99129722</v>
      </c>
      <c r="E166" s="26" t="s">
        <v>253</v>
      </c>
      <c r="F166" s="26"/>
      <c r="G166" s="26" t="s">
        <v>252</v>
      </c>
      <c r="H166" s="5">
        <v>-266.73</v>
      </c>
    </row>
    <row r="167" spans="2:8" x14ac:dyDescent="0.45">
      <c r="B167" s="26"/>
      <c r="C167" s="26"/>
      <c r="D167" s="27"/>
      <c r="E167" s="26"/>
      <c r="F167" s="26"/>
      <c r="G167" s="26"/>
      <c r="H167" s="5">
        <v>-266.73</v>
      </c>
    </row>
    <row r="169" spans="2:8" x14ac:dyDescent="0.45">
      <c r="B169" s="26" t="s">
        <v>354</v>
      </c>
      <c r="C169" s="26" t="s">
        <v>254</v>
      </c>
      <c r="D169" s="27">
        <v>6494</v>
      </c>
      <c r="E169" s="26" t="s">
        <v>355</v>
      </c>
      <c r="F169" s="26" t="s">
        <v>356</v>
      </c>
      <c r="G169" s="26" t="s">
        <v>252</v>
      </c>
      <c r="H169" s="5">
        <v>0</v>
      </c>
    </row>
    <row r="170" spans="2:8" x14ac:dyDescent="0.45">
      <c r="B170" s="26"/>
      <c r="C170" s="26"/>
      <c r="D170" s="27"/>
      <c r="E170" s="26"/>
      <c r="F170" s="26"/>
      <c r="G170" s="26"/>
      <c r="H170" s="5">
        <v>0</v>
      </c>
    </row>
    <row r="172" spans="2:8" x14ac:dyDescent="0.45">
      <c r="B172" s="26" t="s">
        <v>354</v>
      </c>
      <c r="C172" s="26" t="s">
        <v>254</v>
      </c>
      <c r="D172" s="27">
        <v>6495</v>
      </c>
      <c r="E172" s="26" t="s">
        <v>355</v>
      </c>
      <c r="F172" s="26"/>
      <c r="G172" s="26" t="s">
        <v>252</v>
      </c>
      <c r="H172" s="5">
        <v>-350</v>
      </c>
    </row>
    <row r="173" spans="2:8" x14ac:dyDescent="0.45">
      <c r="B173" s="26"/>
      <c r="C173" s="26"/>
      <c r="D173" s="27"/>
      <c r="E173" s="26"/>
      <c r="F173" s="26"/>
      <c r="G173" s="26"/>
      <c r="H173" s="5">
        <v>-350</v>
      </c>
    </row>
    <row r="175" spans="2:8" x14ac:dyDescent="0.45">
      <c r="B175" s="26" t="s">
        <v>354</v>
      </c>
      <c r="C175" s="26" t="s">
        <v>254</v>
      </c>
      <c r="D175" s="27">
        <v>20210820</v>
      </c>
      <c r="E175" s="26" t="s">
        <v>307</v>
      </c>
      <c r="F175" s="26" t="s">
        <v>306</v>
      </c>
      <c r="G175" s="26" t="s">
        <v>252</v>
      </c>
      <c r="H175" s="5">
        <v>-86.51</v>
      </c>
    </row>
    <row r="176" spans="2:8" x14ac:dyDescent="0.45">
      <c r="B176" s="26"/>
      <c r="C176" s="26"/>
      <c r="D176" s="27"/>
      <c r="E176" s="26"/>
      <c r="F176" s="26"/>
      <c r="G176" s="26"/>
      <c r="H176" s="5">
        <v>-86.51</v>
      </c>
    </row>
    <row r="178" spans="2:8" x14ac:dyDescent="0.45">
      <c r="B178" s="26" t="s">
        <v>354</v>
      </c>
      <c r="C178" s="26" t="s">
        <v>254</v>
      </c>
      <c r="D178" s="27">
        <v>20210820</v>
      </c>
      <c r="E178" s="26" t="s">
        <v>353</v>
      </c>
      <c r="F178" s="26" t="s">
        <v>306</v>
      </c>
      <c r="G178" s="26" t="s">
        <v>252</v>
      </c>
      <c r="H178" s="5">
        <v>-130.5</v>
      </c>
    </row>
    <row r="179" spans="2:8" x14ac:dyDescent="0.45">
      <c r="B179" s="26"/>
      <c r="C179" s="26"/>
      <c r="D179" s="27"/>
      <c r="E179" s="26"/>
      <c r="F179" s="26"/>
      <c r="G179" s="26"/>
      <c r="H179" s="5">
        <v>-130.5</v>
      </c>
    </row>
    <row r="181" spans="2:8" x14ac:dyDescent="0.45">
      <c r="B181" s="26" t="s">
        <v>268</v>
      </c>
      <c r="C181" s="26" t="s">
        <v>254</v>
      </c>
      <c r="D181" s="27">
        <v>995340</v>
      </c>
      <c r="E181" s="26" t="s">
        <v>352</v>
      </c>
      <c r="F181" s="26"/>
      <c r="G181" s="26" t="s">
        <v>252</v>
      </c>
      <c r="H181" s="5">
        <v>-2035.93</v>
      </c>
    </row>
    <row r="182" spans="2:8" x14ac:dyDescent="0.45">
      <c r="B182" s="26"/>
      <c r="C182" s="26"/>
      <c r="D182" s="27"/>
      <c r="E182" s="26"/>
      <c r="F182" s="26"/>
      <c r="G182" s="26"/>
      <c r="H182" s="5">
        <v>-2035.93</v>
      </c>
    </row>
    <row r="184" spans="2:8" x14ac:dyDescent="0.45">
      <c r="B184" s="26" t="s">
        <v>268</v>
      </c>
      <c r="C184" s="26" t="s">
        <v>254</v>
      </c>
      <c r="D184" s="27">
        <v>995339</v>
      </c>
      <c r="E184" s="26" t="s">
        <v>351</v>
      </c>
      <c r="F184" s="26"/>
      <c r="G184" s="26" t="s">
        <v>252</v>
      </c>
      <c r="H184" s="5">
        <v>-2500</v>
      </c>
    </row>
    <row r="185" spans="2:8" x14ac:dyDescent="0.45">
      <c r="B185" s="26"/>
      <c r="C185" s="26"/>
      <c r="D185" s="27"/>
      <c r="E185" s="26"/>
      <c r="F185" s="26"/>
      <c r="G185" s="26"/>
      <c r="H185" s="5">
        <v>-2500</v>
      </c>
    </row>
    <row r="187" spans="2:8" x14ac:dyDescent="0.45">
      <c r="B187" s="26" t="s">
        <v>268</v>
      </c>
      <c r="C187" s="26" t="s">
        <v>254</v>
      </c>
      <c r="D187" s="27">
        <v>995344</v>
      </c>
      <c r="E187" s="26" t="s">
        <v>350</v>
      </c>
      <c r="F187" s="26"/>
      <c r="G187" s="26" t="s">
        <v>252</v>
      </c>
      <c r="H187" s="5">
        <v>-198.5</v>
      </c>
    </row>
    <row r="188" spans="2:8" x14ac:dyDescent="0.45">
      <c r="B188" s="26"/>
      <c r="C188" s="26"/>
      <c r="D188" s="27"/>
      <c r="E188" s="26"/>
      <c r="F188" s="26"/>
      <c r="G188" s="26"/>
      <c r="H188" s="5">
        <v>-198.5</v>
      </c>
    </row>
    <row r="190" spans="2:8" x14ac:dyDescent="0.45">
      <c r="B190" s="26" t="s">
        <v>268</v>
      </c>
      <c r="C190" s="26" t="s">
        <v>254</v>
      </c>
      <c r="D190" s="27">
        <v>995341</v>
      </c>
      <c r="E190" s="26" t="s">
        <v>349</v>
      </c>
      <c r="F190" s="26"/>
      <c r="G190" s="26" t="s">
        <v>252</v>
      </c>
      <c r="H190" s="5">
        <v>-751.4</v>
      </c>
    </row>
    <row r="191" spans="2:8" x14ac:dyDescent="0.45">
      <c r="B191" s="26"/>
      <c r="C191" s="26"/>
      <c r="D191" s="27"/>
      <c r="E191" s="26"/>
      <c r="F191" s="26"/>
      <c r="G191" s="26"/>
      <c r="H191" s="5">
        <v>-751.4</v>
      </c>
    </row>
    <row r="193" spans="2:8" x14ac:dyDescent="0.45">
      <c r="B193" s="26" t="s">
        <v>268</v>
      </c>
      <c r="C193" s="26" t="s">
        <v>254</v>
      </c>
      <c r="D193" s="27">
        <v>995342</v>
      </c>
      <c r="E193" s="26" t="s">
        <v>348</v>
      </c>
      <c r="F193" s="26"/>
      <c r="G193" s="26"/>
      <c r="H193" s="5">
        <v>-9454.5</v>
      </c>
    </row>
    <row r="194" spans="2:8" x14ac:dyDescent="0.45">
      <c r="B194" s="26"/>
      <c r="C194" s="26"/>
      <c r="D194" s="27"/>
      <c r="E194" s="26"/>
      <c r="F194" s="26"/>
      <c r="G194" s="26"/>
      <c r="H194" s="5">
        <v>-9454.5</v>
      </c>
    </row>
    <row r="196" spans="2:8" x14ac:dyDescent="0.45">
      <c r="B196" s="26" t="s">
        <v>268</v>
      </c>
      <c r="C196" s="26" t="s">
        <v>254</v>
      </c>
      <c r="D196" s="27">
        <v>995343</v>
      </c>
      <c r="E196" s="26" t="s">
        <v>347</v>
      </c>
      <c r="F196" s="26"/>
      <c r="G196" s="26" t="s">
        <v>252</v>
      </c>
      <c r="H196" s="5">
        <v>-949.51</v>
      </c>
    </row>
    <row r="197" spans="2:8" x14ac:dyDescent="0.45">
      <c r="B197" s="26"/>
      <c r="C197" s="26"/>
      <c r="D197" s="27"/>
      <c r="E197" s="26"/>
      <c r="F197" s="26"/>
      <c r="G197" s="26"/>
      <c r="H197" s="5">
        <v>-949.51</v>
      </c>
    </row>
    <row r="199" spans="2:8" x14ac:dyDescent="0.45">
      <c r="B199" s="26" t="s">
        <v>268</v>
      </c>
      <c r="C199" s="26" t="s">
        <v>254</v>
      </c>
      <c r="D199" s="27">
        <v>995345</v>
      </c>
      <c r="E199" s="26" t="s">
        <v>346</v>
      </c>
      <c r="F199" s="26"/>
      <c r="G199" s="26" t="s">
        <v>252</v>
      </c>
      <c r="H199" s="5">
        <v>-300</v>
      </c>
    </row>
    <row r="200" spans="2:8" x14ac:dyDescent="0.45">
      <c r="B200" s="26"/>
      <c r="C200" s="26"/>
      <c r="D200" s="27"/>
      <c r="E200" s="26"/>
      <c r="F200" s="26"/>
      <c r="G200" s="26"/>
      <c r="H200" s="5">
        <v>-300</v>
      </c>
    </row>
    <row r="202" spans="2:8" x14ac:dyDescent="0.45">
      <c r="B202" s="26" t="s">
        <v>268</v>
      </c>
      <c r="C202" s="26" t="s">
        <v>254</v>
      </c>
      <c r="D202" s="27">
        <v>995334</v>
      </c>
      <c r="E202" s="26" t="s">
        <v>345</v>
      </c>
      <c r="F202" s="26"/>
      <c r="G202" s="26" t="s">
        <v>252</v>
      </c>
      <c r="H202" s="5">
        <v>-2275.7199999999998</v>
      </c>
    </row>
    <row r="203" spans="2:8" x14ac:dyDescent="0.45">
      <c r="B203" s="26"/>
      <c r="C203" s="26"/>
      <c r="D203" s="27"/>
      <c r="E203" s="26"/>
      <c r="F203" s="26"/>
      <c r="G203" s="26"/>
      <c r="H203" s="5">
        <v>-2275.7199999999998</v>
      </c>
    </row>
    <row r="205" spans="2:8" x14ac:dyDescent="0.45">
      <c r="B205" s="26" t="s">
        <v>268</v>
      </c>
      <c r="C205" s="26" t="s">
        <v>254</v>
      </c>
      <c r="D205" s="27">
        <v>995335</v>
      </c>
      <c r="E205" s="26" t="s">
        <v>344</v>
      </c>
      <c r="F205" s="26"/>
      <c r="G205" s="26" t="s">
        <v>252</v>
      </c>
      <c r="H205" s="5">
        <v>-9349.5</v>
      </c>
    </row>
    <row r="206" spans="2:8" x14ac:dyDescent="0.45">
      <c r="B206" s="26"/>
      <c r="C206" s="26"/>
      <c r="D206" s="27"/>
      <c r="E206" s="26"/>
      <c r="F206" s="26"/>
      <c r="G206" s="26"/>
      <c r="H206" s="5">
        <v>-9349.5</v>
      </c>
    </row>
    <row r="208" spans="2:8" x14ac:dyDescent="0.45">
      <c r="B208" s="26" t="s">
        <v>268</v>
      </c>
      <c r="C208" s="26" t="s">
        <v>254</v>
      </c>
      <c r="D208" s="27">
        <v>995336</v>
      </c>
      <c r="E208" s="26" t="s">
        <v>343</v>
      </c>
      <c r="F208" s="26"/>
      <c r="G208" s="26" t="s">
        <v>252</v>
      </c>
      <c r="H208" s="5">
        <v>-1625</v>
      </c>
    </row>
    <row r="209" spans="2:8" x14ac:dyDescent="0.45">
      <c r="B209" s="26"/>
      <c r="C209" s="26"/>
      <c r="D209" s="27"/>
      <c r="E209" s="26"/>
      <c r="F209" s="26"/>
      <c r="G209" s="26"/>
      <c r="H209" s="5">
        <v>-1625</v>
      </c>
    </row>
    <row r="211" spans="2:8" x14ac:dyDescent="0.45">
      <c r="B211" s="26" t="s">
        <v>268</v>
      </c>
      <c r="C211" s="26" t="s">
        <v>254</v>
      </c>
      <c r="D211" s="27">
        <v>995337</v>
      </c>
      <c r="E211" s="26" t="s">
        <v>342</v>
      </c>
      <c r="F211" s="26"/>
      <c r="G211" s="26" t="s">
        <v>252</v>
      </c>
      <c r="H211" s="5">
        <v>-250</v>
      </c>
    </row>
    <row r="212" spans="2:8" x14ac:dyDescent="0.45">
      <c r="B212" s="26"/>
      <c r="C212" s="26"/>
      <c r="D212" s="27"/>
      <c r="E212" s="26"/>
      <c r="F212" s="26"/>
      <c r="G212" s="26"/>
      <c r="H212" s="5">
        <v>-250</v>
      </c>
    </row>
    <row r="214" spans="2:8" x14ac:dyDescent="0.45">
      <c r="B214" s="26" t="s">
        <v>268</v>
      </c>
      <c r="C214" s="26" t="s">
        <v>254</v>
      </c>
      <c r="D214" s="27">
        <v>995338</v>
      </c>
      <c r="E214" s="26" t="s">
        <v>341</v>
      </c>
      <c r="F214" s="26"/>
      <c r="G214" s="26" t="s">
        <v>252</v>
      </c>
      <c r="H214" s="5">
        <v>-166</v>
      </c>
    </row>
    <row r="215" spans="2:8" x14ac:dyDescent="0.45">
      <c r="B215" s="26"/>
      <c r="C215" s="26"/>
      <c r="D215" s="27"/>
      <c r="E215" s="26"/>
      <c r="F215" s="26"/>
      <c r="G215" s="26"/>
      <c r="H215" s="5">
        <v>-166</v>
      </c>
    </row>
    <row r="217" spans="2:8" x14ac:dyDescent="0.45">
      <c r="B217" s="26" t="s">
        <v>268</v>
      </c>
      <c r="C217" s="26" t="s">
        <v>258</v>
      </c>
      <c r="D217" s="27">
        <v>202108</v>
      </c>
      <c r="E217" s="26" t="s">
        <v>340</v>
      </c>
      <c r="F217" s="26"/>
      <c r="G217" s="26" t="s">
        <v>252</v>
      </c>
      <c r="H217" s="5">
        <v>-80</v>
      </c>
    </row>
    <row r="218" spans="2:8" x14ac:dyDescent="0.45">
      <c r="B218" s="26"/>
      <c r="C218" s="26"/>
      <c r="D218" s="27"/>
      <c r="E218" s="26"/>
      <c r="F218" s="26" t="s">
        <v>339</v>
      </c>
      <c r="G218" s="26"/>
      <c r="H218" s="5">
        <v>80</v>
      </c>
    </row>
    <row r="220" spans="2:8" x14ac:dyDescent="0.45">
      <c r="B220" s="26" t="s">
        <v>268</v>
      </c>
      <c r="C220" s="26" t="s">
        <v>254</v>
      </c>
      <c r="D220" s="27">
        <v>20210823</v>
      </c>
      <c r="E220" s="26" t="s">
        <v>338</v>
      </c>
      <c r="F220" s="26" t="s">
        <v>306</v>
      </c>
      <c r="G220" s="26" t="s">
        <v>252</v>
      </c>
      <c r="H220" s="5">
        <v>-271.82</v>
      </c>
    </row>
    <row r="221" spans="2:8" x14ac:dyDescent="0.45">
      <c r="B221" s="26"/>
      <c r="C221" s="26"/>
      <c r="D221" s="27"/>
      <c r="E221" s="26"/>
      <c r="F221" s="26"/>
      <c r="G221" s="26"/>
      <c r="H221" s="5">
        <v>-271.82</v>
      </c>
    </row>
    <row r="223" spans="2:8" x14ac:dyDescent="0.45">
      <c r="B223" s="26" t="s">
        <v>267</v>
      </c>
      <c r="C223" s="26" t="s">
        <v>258</v>
      </c>
      <c r="D223" s="26"/>
      <c r="E223" s="26" t="s">
        <v>291</v>
      </c>
      <c r="F223" s="26"/>
      <c r="G223" s="26" t="s">
        <v>252</v>
      </c>
      <c r="H223" s="5">
        <v>-53.6</v>
      </c>
    </row>
    <row r="224" spans="2:8" x14ac:dyDescent="0.45">
      <c r="B224" s="26"/>
      <c r="C224" s="26"/>
      <c r="D224" s="27"/>
      <c r="E224" s="26"/>
      <c r="F224" s="26" t="s">
        <v>290</v>
      </c>
      <c r="G224" s="26"/>
      <c r="H224" s="5">
        <v>-53.6</v>
      </c>
    </row>
    <row r="226" spans="2:8" x14ac:dyDescent="0.45">
      <c r="B226" s="26" t="s">
        <v>266</v>
      </c>
      <c r="C226" s="26" t="s">
        <v>287</v>
      </c>
      <c r="D226" s="27">
        <v>995347</v>
      </c>
      <c r="E226" s="26" t="s">
        <v>337</v>
      </c>
      <c r="F226" s="26" t="s">
        <v>336</v>
      </c>
      <c r="G226" s="26" t="s">
        <v>252</v>
      </c>
      <c r="H226" s="5">
        <v>-66</v>
      </c>
    </row>
    <row r="227" spans="2:8" x14ac:dyDescent="0.45">
      <c r="B227" s="26"/>
      <c r="C227" s="26"/>
      <c r="D227" s="27"/>
      <c r="E227" s="26"/>
      <c r="F227" s="26" t="s">
        <v>336</v>
      </c>
      <c r="G227" s="26"/>
      <c r="H227" s="5">
        <v>-66</v>
      </c>
    </row>
    <row r="229" spans="2:8" x14ac:dyDescent="0.45">
      <c r="B229" s="26" t="s">
        <v>266</v>
      </c>
      <c r="C229" s="26" t="s">
        <v>254</v>
      </c>
      <c r="D229" s="27">
        <v>995346</v>
      </c>
      <c r="E229" s="26" t="s">
        <v>335</v>
      </c>
      <c r="F229" s="26"/>
      <c r="G229" s="26" t="s">
        <v>252</v>
      </c>
      <c r="H229" s="5">
        <v>-4500</v>
      </c>
    </row>
    <row r="230" spans="2:8" x14ac:dyDescent="0.45">
      <c r="B230" s="26"/>
      <c r="C230" s="26"/>
      <c r="D230" s="27"/>
      <c r="E230" s="26"/>
      <c r="F230" s="26"/>
      <c r="G230" s="26"/>
      <c r="H230" s="5">
        <v>-4500</v>
      </c>
    </row>
    <row r="232" spans="2:8" x14ac:dyDescent="0.45">
      <c r="B232" s="26" t="s">
        <v>266</v>
      </c>
      <c r="C232" s="26" t="s">
        <v>254</v>
      </c>
      <c r="D232" s="27">
        <v>99260004</v>
      </c>
      <c r="E232" s="26" t="s">
        <v>253</v>
      </c>
      <c r="F232" s="26"/>
      <c r="G232" s="26" t="s">
        <v>252</v>
      </c>
      <c r="H232" s="5">
        <v>-919.69</v>
      </c>
    </row>
    <row r="233" spans="2:8" x14ac:dyDescent="0.45">
      <c r="B233" s="26"/>
      <c r="C233" s="26"/>
      <c r="D233" s="27"/>
      <c r="E233" s="26"/>
      <c r="F233" s="26"/>
      <c r="G233" s="26"/>
      <c r="H233" s="5">
        <v>-919.69</v>
      </c>
    </row>
    <row r="235" spans="2:8" x14ac:dyDescent="0.45">
      <c r="B235" s="26" t="s">
        <v>266</v>
      </c>
      <c r="C235" s="26" t="s">
        <v>254</v>
      </c>
      <c r="D235" s="27">
        <v>6496</v>
      </c>
      <c r="E235" s="26" t="s">
        <v>334</v>
      </c>
      <c r="F235" s="26"/>
      <c r="G235" s="26"/>
      <c r="H235" s="5">
        <v>-326.39999999999998</v>
      </c>
    </row>
    <row r="236" spans="2:8" x14ac:dyDescent="0.45">
      <c r="B236" s="26"/>
      <c r="C236" s="26"/>
      <c r="D236" s="27"/>
      <c r="E236" s="26"/>
      <c r="F236" s="26"/>
      <c r="G236" s="26"/>
      <c r="H236" s="5">
        <v>-326.39999999999998</v>
      </c>
    </row>
    <row r="238" spans="2:8" x14ac:dyDescent="0.45">
      <c r="B238" s="26" t="s">
        <v>266</v>
      </c>
      <c r="C238" s="26" t="s">
        <v>254</v>
      </c>
      <c r="D238" s="27">
        <v>6497</v>
      </c>
      <c r="E238" s="26" t="s">
        <v>334</v>
      </c>
      <c r="F238" s="26"/>
      <c r="G238" s="26"/>
      <c r="H238" s="5">
        <v>-763.2</v>
      </c>
    </row>
    <row r="239" spans="2:8" x14ac:dyDescent="0.45">
      <c r="B239" s="26"/>
      <c r="C239" s="26"/>
      <c r="D239" s="27"/>
      <c r="E239" s="26"/>
      <c r="F239" s="26"/>
      <c r="G239" s="26"/>
      <c r="H239" s="5">
        <v>-763.2</v>
      </c>
    </row>
    <row r="241" spans="2:8" x14ac:dyDescent="0.45">
      <c r="B241" s="26" t="s">
        <v>266</v>
      </c>
      <c r="C241" s="26" t="s">
        <v>254</v>
      </c>
      <c r="D241" s="27">
        <v>6498</v>
      </c>
      <c r="E241" s="26" t="s">
        <v>333</v>
      </c>
      <c r="F241" s="26"/>
      <c r="G241" s="26"/>
      <c r="H241" s="5">
        <v>-4032</v>
      </c>
    </row>
    <row r="242" spans="2:8" x14ac:dyDescent="0.45">
      <c r="B242" s="26"/>
      <c r="C242" s="26"/>
      <c r="D242" s="27"/>
      <c r="E242" s="26"/>
      <c r="F242" s="26"/>
      <c r="G242" s="26"/>
      <c r="H242" s="5">
        <v>-4032</v>
      </c>
    </row>
    <row r="244" spans="2:8" x14ac:dyDescent="0.45">
      <c r="B244" s="26" t="s">
        <v>266</v>
      </c>
      <c r="C244" s="26" t="s">
        <v>254</v>
      </c>
      <c r="D244" s="27">
        <v>6499</v>
      </c>
      <c r="E244" s="26" t="s">
        <v>331</v>
      </c>
      <c r="F244" s="26" t="s">
        <v>332</v>
      </c>
      <c r="G244" s="26"/>
      <c r="H244" s="5">
        <v>0</v>
      </c>
    </row>
    <row r="245" spans="2:8" x14ac:dyDescent="0.45">
      <c r="B245" s="26"/>
      <c r="C245" s="26"/>
      <c r="D245" s="27"/>
      <c r="E245" s="26"/>
      <c r="F245" s="26"/>
      <c r="G245" s="26"/>
      <c r="H245" s="5">
        <v>0</v>
      </c>
    </row>
    <row r="247" spans="2:8" x14ac:dyDescent="0.45">
      <c r="B247" s="26" t="s">
        <v>266</v>
      </c>
      <c r="C247" s="26" t="s">
        <v>254</v>
      </c>
      <c r="D247" s="27">
        <v>6500</v>
      </c>
      <c r="E247" s="26" t="s">
        <v>331</v>
      </c>
      <c r="F247" s="26"/>
      <c r="G247" s="26"/>
      <c r="H247" s="5">
        <v>-107</v>
      </c>
    </row>
    <row r="248" spans="2:8" x14ac:dyDescent="0.45">
      <c r="B248" s="26"/>
      <c r="C248" s="26"/>
      <c r="D248" s="27"/>
      <c r="E248" s="26"/>
      <c r="F248" s="26"/>
      <c r="G248" s="26"/>
      <c r="H248" s="5">
        <v>-107</v>
      </c>
    </row>
    <row r="250" spans="2:8" x14ac:dyDescent="0.45">
      <c r="B250" s="26" t="s">
        <v>266</v>
      </c>
      <c r="C250" s="26" t="s">
        <v>254</v>
      </c>
      <c r="D250" s="27">
        <v>6501</v>
      </c>
      <c r="E250" s="26" t="s">
        <v>330</v>
      </c>
      <c r="F250" s="26"/>
      <c r="G250" s="26"/>
      <c r="H250" s="5">
        <v>-5000</v>
      </c>
    </row>
    <row r="251" spans="2:8" x14ac:dyDescent="0.45">
      <c r="B251" s="26"/>
      <c r="C251" s="26"/>
      <c r="D251" s="27"/>
      <c r="E251" s="26"/>
      <c r="F251" s="26"/>
      <c r="G251" s="26"/>
      <c r="H251" s="5">
        <v>-5000</v>
      </c>
    </row>
    <row r="253" spans="2:8" x14ac:dyDescent="0.45">
      <c r="B253" s="26" t="s">
        <v>266</v>
      </c>
      <c r="C253" s="26" t="s">
        <v>254</v>
      </c>
      <c r="D253" s="27">
        <v>20210825</v>
      </c>
      <c r="E253" s="26" t="s">
        <v>329</v>
      </c>
      <c r="F253" s="26" t="s">
        <v>306</v>
      </c>
      <c r="G253" s="26" t="s">
        <v>252</v>
      </c>
      <c r="H253" s="5">
        <v>-30</v>
      </c>
    </row>
    <row r="254" spans="2:8" x14ac:dyDescent="0.45">
      <c r="B254" s="26"/>
      <c r="C254" s="26"/>
      <c r="D254" s="27"/>
      <c r="E254" s="26"/>
      <c r="F254" s="26"/>
      <c r="G254" s="26"/>
      <c r="H254" s="5">
        <v>-30</v>
      </c>
    </row>
    <row r="256" spans="2:8" x14ac:dyDescent="0.45">
      <c r="B256" s="26" t="s">
        <v>266</v>
      </c>
      <c r="C256" s="26" t="s">
        <v>254</v>
      </c>
      <c r="D256" s="27">
        <v>20210825</v>
      </c>
      <c r="E256" s="26" t="s">
        <v>329</v>
      </c>
      <c r="F256" s="26" t="s">
        <v>306</v>
      </c>
      <c r="G256" s="26" t="s">
        <v>252</v>
      </c>
      <c r="H256" s="5">
        <v>-30</v>
      </c>
    </row>
    <row r="257" spans="2:8" x14ac:dyDescent="0.45">
      <c r="B257" s="26"/>
      <c r="C257" s="26"/>
      <c r="D257" s="27"/>
      <c r="E257" s="26"/>
      <c r="F257" s="26"/>
      <c r="G257" s="26"/>
      <c r="H257" s="5">
        <v>-30</v>
      </c>
    </row>
    <row r="259" spans="2:8" x14ac:dyDescent="0.45">
      <c r="B259" s="26" t="s">
        <v>266</v>
      </c>
      <c r="C259" s="26" t="s">
        <v>254</v>
      </c>
      <c r="D259" s="27">
        <v>20210825</v>
      </c>
      <c r="E259" s="26" t="s">
        <v>329</v>
      </c>
      <c r="F259" s="26" t="s">
        <v>306</v>
      </c>
      <c r="G259" s="26" t="s">
        <v>252</v>
      </c>
      <c r="H259" s="5">
        <v>-349.44</v>
      </c>
    </row>
    <row r="260" spans="2:8" x14ac:dyDescent="0.45">
      <c r="B260" s="26"/>
      <c r="C260" s="26"/>
      <c r="D260" s="27"/>
      <c r="E260" s="26"/>
      <c r="F260" s="26"/>
      <c r="G260" s="26"/>
      <c r="H260" s="5">
        <v>-349.44</v>
      </c>
    </row>
    <row r="262" spans="2:8" x14ac:dyDescent="0.45">
      <c r="B262" s="26" t="s">
        <v>266</v>
      </c>
      <c r="C262" s="26" t="s">
        <v>254</v>
      </c>
      <c r="D262" s="27">
        <v>20210825</v>
      </c>
      <c r="E262" s="26" t="s">
        <v>329</v>
      </c>
      <c r="F262" s="26" t="s">
        <v>306</v>
      </c>
      <c r="G262" s="26" t="s">
        <v>252</v>
      </c>
      <c r="H262" s="5">
        <v>-174.72</v>
      </c>
    </row>
    <row r="263" spans="2:8" x14ac:dyDescent="0.45">
      <c r="B263" s="26"/>
      <c r="C263" s="26"/>
      <c r="D263" s="27"/>
      <c r="E263" s="26"/>
      <c r="F263" s="26"/>
      <c r="G263" s="26"/>
      <c r="H263" s="5">
        <v>-174.72</v>
      </c>
    </row>
    <row r="265" spans="2:8" x14ac:dyDescent="0.45">
      <c r="B265" s="26" t="s">
        <v>266</v>
      </c>
      <c r="C265" s="26" t="s">
        <v>258</v>
      </c>
      <c r="D265" s="27" t="s">
        <v>328</v>
      </c>
      <c r="E265" s="26" t="s">
        <v>327</v>
      </c>
      <c r="F265" s="26" t="s">
        <v>326</v>
      </c>
      <c r="G265" s="26" t="s">
        <v>252</v>
      </c>
      <c r="H265" s="5">
        <v>-128</v>
      </c>
    </row>
    <row r="266" spans="2:8" x14ac:dyDescent="0.45">
      <c r="B266" s="26"/>
      <c r="C266" s="26"/>
      <c r="D266" s="27"/>
      <c r="E266" s="26"/>
      <c r="F266" s="26" t="s">
        <v>326</v>
      </c>
      <c r="G266" s="26"/>
      <c r="H266" s="5">
        <v>128</v>
      </c>
    </row>
    <row r="268" spans="2:8" x14ac:dyDescent="0.45">
      <c r="B268" s="26" t="s">
        <v>262</v>
      </c>
      <c r="C268" s="26" t="s">
        <v>287</v>
      </c>
      <c r="D268" s="27">
        <v>995352</v>
      </c>
      <c r="E268" s="26" t="s">
        <v>325</v>
      </c>
      <c r="F268" s="26"/>
      <c r="G268" s="26"/>
      <c r="H268" s="5">
        <v>-169.56</v>
      </c>
    </row>
    <row r="269" spans="2:8" x14ac:dyDescent="0.45">
      <c r="B269" s="26"/>
      <c r="C269" s="26"/>
      <c r="D269" s="27"/>
      <c r="E269" s="26"/>
      <c r="F269" s="26" t="s">
        <v>324</v>
      </c>
      <c r="G269" s="26"/>
      <c r="H269" s="5">
        <v>169.56</v>
      </c>
    </row>
    <row r="271" spans="2:8" x14ac:dyDescent="0.45">
      <c r="B271" s="26" t="s">
        <v>262</v>
      </c>
      <c r="C271" s="26" t="s">
        <v>254</v>
      </c>
      <c r="D271" s="27">
        <v>995359</v>
      </c>
      <c r="E271" s="26" t="s">
        <v>323</v>
      </c>
      <c r="F271" s="26"/>
      <c r="G271" s="26"/>
      <c r="H271" s="5">
        <v>-5000</v>
      </c>
    </row>
    <row r="272" spans="2:8" x14ac:dyDescent="0.45">
      <c r="B272" s="26"/>
      <c r="C272" s="26"/>
      <c r="D272" s="27"/>
      <c r="E272" s="26"/>
      <c r="F272" s="26"/>
      <c r="G272" s="26"/>
      <c r="H272" s="5">
        <v>-5000</v>
      </c>
    </row>
    <row r="274" spans="2:8" x14ac:dyDescent="0.45">
      <c r="B274" s="26" t="s">
        <v>262</v>
      </c>
      <c r="C274" s="26" t="s">
        <v>254</v>
      </c>
      <c r="D274" s="27">
        <v>995353</v>
      </c>
      <c r="E274" s="26" t="s">
        <v>322</v>
      </c>
      <c r="F274" s="26"/>
      <c r="G274" s="26" t="s">
        <v>252</v>
      </c>
      <c r="H274" s="5">
        <v>-139.94999999999999</v>
      </c>
    </row>
    <row r="275" spans="2:8" x14ac:dyDescent="0.45">
      <c r="B275" s="26"/>
      <c r="C275" s="26"/>
      <c r="D275" s="27"/>
      <c r="E275" s="26"/>
      <c r="F275" s="26"/>
      <c r="G275" s="26"/>
      <c r="H275" s="5">
        <v>-139.94999999999999</v>
      </c>
    </row>
    <row r="277" spans="2:8" x14ac:dyDescent="0.45">
      <c r="B277" s="26" t="s">
        <v>262</v>
      </c>
      <c r="C277" s="26" t="s">
        <v>254</v>
      </c>
      <c r="D277" s="27">
        <v>995356</v>
      </c>
      <c r="E277" s="26" t="s">
        <v>321</v>
      </c>
      <c r="F277" s="26"/>
      <c r="G277" s="26" t="s">
        <v>252</v>
      </c>
      <c r="H277" s="5">
        <v>-1546.91</v>
      </c>
    </row>
    <row r="278" spans="2:8" x14ac:dyDescent="0.45">
      <c r="B278" s="26"/>
      <c r="C278" s="26"/>
      <c r="D278" s="27"/>
      <c r="E278" s="26"/>
      <c r="F278" s="26"/>
      <c r="G278" s="26"/>
      <c r="H278" s="5">
        <v>-1546.91</v>
      </c>
    </row>
    <row r="280" spans="2:8" x14ac:dyDescent="0.45">
      <c r="B280" s="26" t="s">
        <v>262</v>
      </c>
      <c r="C280" s="26" t="s">
        <v>254</v>
      </c>
      <c r="D280" s="27">
        <v>995354</v>
      </c>
      <c r="E280" s="26" t="s">
        <v>320</v>
      </c>
      <c r="F280" s="26"/>
      <c r="G280" s="26"/>
      <c r="H280" s="5">
        <v>-215</v>
      </c>
    </row>
    <row r="281" spans="2:8" x14ac:dyDescent="0.45">
      <c r="B281" s="26"/>
      <c r="C281" s="26"/>
      <c r="D281" s="27"/>
      <c r="E281" s="26"/>
      <c r="F281" s="26"/>
      <c r="G281" s="26"/>
      <c r="H281" s="5">
        <v>-215</v>
      </c>
    </row>
    <row r="283" spans="2:8" x14ac:dyDescent="0.45">
      <c r="B283" s="26" t="s">
        <v>262</v>
      </c>
      <c r="C283" s="26" t="s">
        <v>254</v>
      </c>
      <c r="D283" s="27">
        <v>995348</v>
      </c>
      <c r="E283" s="26" t="s">
        <v>319</v>
      </c>
      <c r="F283" s="26"/>
      <c r="G283" s="26" t="s">
        <v>252</v>
      </c>
      <c r="H283" s="5">
        <v>-24603.68</v>
      </c>
    </row>
    <row r="284" spans="2:8" x14ac:dyDescent="0.45">
      <c r="B284" s="26"/>
      <c r="C284" s="26"/>
      <c r="D284" s="27"/>
      <c r="E284" s="26"/>
      <c r="F284" s="26"/>
      <c r="G284" s="26"/>
      <c r="H284" s="5">
        <v>-24603.68</v>
      </c>
    </row>
    <row r="286" spans="2:8" x14ac:dyDescent="0.45">
      <c r="B286" s="26" t="s">
        <v>262</v>
      </c>
      <c r="C286" s="26" t="s">
        <v>254</v>
      </c>
      <c r="D286" s="27">
        <v>995357</v>
      </c>
      <c r="E286" s="26" t="s">
        <v>318</v>
      </c>
      <c r="F286" s="26"/>
      <c r="G286" s="26" t="s">
        <v>252</v>
      </c>
      <c r="H286" s="5">
        <v>-13412.5</v>
      </c>
    </row>
    <row r="287" spans="2:8" x14ac:dyDescent="0.45">
      <c r="B287" s="26"/>
      <c r="C287" s="26"/>
      <c r="D287" s="27"/>
      <c r="E287" s="26"/>
      <c r="F287" s="26"/>
      <c r="G287" s="26"/>
      <c r="H287" s="5">
        <v>-13412.5</v>
      </c>
    </row>
    <row r="289" spans="2:8" x14ac:dyDescent="0.45">
      <c r="B289" s="26" t="s">
        <v>262</v>
      </c>
      <c r="C289" s="26" t="s">
        <v>254</v>
      </c>
      <c r="D289" s="27">
        <v>995351</v>
      </c>
      <c r="E289" s="26" t="s">
        <v>317</v>
      </c>
      <c r="F289" s="26"/>
      <c r="G289" s="26" t="s">
        <v>252</v>
      </c>
      <c r="H289" s="5">
        <v>-533.76</v>
      </c>
    </row>
    <row r="290" spans="2:8" x14ac:dyDescent="0.45">
      <c r="B290" s="26"/>
      <c r="C290" s="26"/>
      <c r="D290" s="27"/>
      <c r="E290" s="26"/>
      <c r="F290" s="26"/>
      <c r="G290" s="26"/>
      <c r="H290" s="5">
        <v>-533.76</v>
      </c>
    </row>
    <row r="292" spans="2:8" x14ac:dyDescent="0.45">
      <c r="B292" s="26" t="s">
        <v>262</v>
      </c>
      <c r="C292" s="26" t="s">
        <v>254</v>
      </c>
      <c r="D292" s="27">
        <v>995349</v>
      </c>
      <c r="E292" s="26" t="s">
        <v>316</v>
      </c>
      <c r="F292" s="26"/>
      <c r="G292" s="26" t="s">
        <v>252</v>
      </c>
      <c r="H292" s="5">
        <v>-218.5</v>
      </c>
    </row>
    <row r="293" spans="2:8" x14ac:dyDescent="0.45">
      <c r="B293" s="26"/>
      <c r="C293" s="26"/>
      <c r="D293" s="27"/>
      <c r="E293" s="26"/>
      <c r="F293" s="26"/>
      <c r="G293" s="26"/>
      <c r="H293" s="5">
        <v>-218.5</v>
      </c>
    </row>
    <row r="295" spans="2:8" x14ac:dyDescent="0.45">
      <c r="B295" s="26" t="s">
        <v>262</v>
      </c>
      <c r="C295" s="26" t="s">
        <v>254</v>
      </c>
      <c r="D295" s="27">
        <v>995350</v>
      </c>
      <c r="E295" s="26" t="s">
        <v>315</v>
      </c>
      <c r="F295" s="26"/>
      <c r="G295" s="26"/>
      <c r="H295" s="5">
        <v>-651.66999999999996</v>
      </c>
    </row>
    <row r="296" spans="2:8" x14ac:dyDescent="0.45">
      <c r="B296" s="26"/>
      <c r="C296" s="26"/>
      <c r="D296" s="27"/>
      <c r="E296" s="26"/>
      <c r="F296" s="26"/>
      <c r="G296" s="26"/>
      <c r="H296" s="5">
        <v>-651.66999999999996</v>
      </c>
    </row>
    <row r="298" spans="2:8" x14ac:dyDescent="0.45">
      <c r="B298" s="26" t="s">
        <v>262</v>
      </c>
      <c r="C298" s="26" t="s">
        <v>254</v>
      </c>
      <c r="D298" s="27">
        <v>995355</v>
      </c>
      <c r="E298" s="26" t="s">
        <v>314</v>
      </c>
      <c r="F298" s="26"/>
      <c r="G298" s="26"/>
      <c r="H298" s="5">
        <v>-930.39</v>
      </c>
    </row>
    <row r="299" spans="2:8" x14ac:dyDescent="0.45">
      <c r="B299" s="26"/>
      <c r="C299" s="26"/>
      <c r="D299" s="27"/>
      <c r="E299" s="26"/>
      <c r="F299" s="26"/>
      <c r="G299" s="26"/>
      <c r="H299" s="5">
        <v>-930.39</v>
      </c>
    </row>
    <row r="301" spans="2:8" x14ac:dyDescent="0.45">
      <c r="B301" s="26" t="s">
        <v>262</v>
      </c>
      <c r="C301" s="26" t="s">
        <v>254</v>
      </c>
      <c r="D301" s="27">
        <v>995358</v>
      </c>
      <c r="E301" s="26" t="s">
        <v>313</v>
      </c>
      <c r="F301" s="26"/>
      <c r="G301" s="26"/>
      <c r="H301" s="5">
        <v>-5509.29</v>
      </c>
    </row>
    <row r="302" spans="2:8" x14ac:dyDescent="0.45">
      <c r="B302" s="26"/>
      <c r="C302" s="26"/>
      <c r="D302" s="27"/>
      <c r="E302" s="26"/>
      <c r="F302" s="26"/>
      <c r="G302" s="26"/>
      <c r="H302" s="5">
        <v>-5509.29</v>
      </c>
    </row>
    <row r="304" spans="2:8" x14ac:dyDescent="0.45">
      <c r="B304" s="26" t="s">
        <v>262</v>
      </c>
      <c r="C304" s="26" t="s">
        <v>287</v>
      </c>
      <c r="D304" s="27">
        <v>6503</v>
      </c>
      <c r="E304" s="26" t="s">
        <v>312</v>
      </c>
      <c r="F304" s="26" t="s">
        <v>311</v>
      </c>
      <c r="G304" s="26"/>
      <c r="H304" s="5">
        <v>-57.94</v>
      </c>
    </row>
    <row r="305" spans="2:8" x14ac:dyDescent="0.45">
      <c r="B305" s="26"/>
      <c r="C305" s="26"/>
      <c r="D305" s="27"/>
      <c r="E305" s="26"/>
      <c r="F305" s="26" t="s">
        <v>310</v>
      </c>
      <c r="G305" s="26"/>
      <c r="H305" s="5">
        <v>4.3</v>
      </c>
    </row>
    <row r="306" spans="2:8" x14ac:dyDescent="0.45">
      <c r="B306" s="26"/>
      <c r="C306" s="26"/>
      <c r="D306" s="27"/>
      <c r="E306" s="26"/>
      <c r="F306" s="26" t="s">
        <v>309</v>
      </c>
      <c r="G306" s="26"/>
      <c r="H306" s="5">
        <v>24.66</v>
      </c>
    </row>
    <row r="307" spans="2:8" x14ac:dyDescent="0.45">
      <c r="B307" s="26"/>
      <c r="C307" s="26"/>
      <c r="D307" s="27"/>
      <c r="E307" s="26"/>
      <c r="F307" s="26" t="s">
        <v>309</v>
      </c>
      <c r="G307" s="26"/>
      <c r="H307" s="5">
        <v>28.98</v>
      </c>
    </row>
    <row r="309" spans="2:8" x14ac:dyDescent="0.45">
      <c r="B309" s="26" t="s">
        <v>262</v>
      </c>
      <c r="C309" s="26" t="s">
        <v>254</v>
      </c>
      <c r="D309" s="27">
        <v>6502</v>
      </c>
      <c r="E309" s="26" t="s">
        <v>308</v>
      </c>
      <c r="F309" s="26"/>
      <c r="G309" s="26"/>
      <c r="H309" s="5">
        <v>-160</v>
      </c>
    </row>
    <row r="310" spans="2:8" x14ac:dyDescent="0.45">
      <c r="B310" s="26"/>
      <c r="C310" s="26"/>
      <c r="D310" s="27"/>
      <c r="E310" s="26"/>
      <c r="F310" s="26"/>
      <c r="G310" s="26"/>
      <c r="H310" s="5">
        <v>-160</v>
      </c>
    </row>
    <row r="312" spans="2:8" x14ac:dyDescent="0.45">
      <c r="B312" s="26" t="s">
        <v>259</v>
      </c>
      <c r="C312" s="26" t="s">
        <v>254</v>
      </c>
      <c r="D312" s="27">
        <v>20210830</v>
      </c>
      <c r="E312" s="26" t="s">
        <v>307</v>
      </c>
      <c r="F312" s="26" t="s">
        <v>306</v>
      </c>
      <c r="G312" s="26" t="s">
        <v>252</v>
      </c>
      <c r="H312" s="5">
        <v>-4380.1400000000003</v>
      </c>
    </row>
    <row r="313" spans="2:8" x14ac:dyDescent="0.45">
      <c r="B313" s="26"/>
      <c r="C313" s="26"/>
      <c r="D313" s="27"/>
      <c r="E313" s="26"/>
      <c r="F313" s="26"/>
      <c r="G313" s="26"/>
      <c r="H313" s="5">
        <v>-4380.1400000000003</v>
      </c>
    </row>
    <row r="315" spans="2:8" x14ac:dyDescent="0.45">
      <c r="B315" s="26" t="s">
        <v>259</v>
      </c>
      <c r="C315" s="26" t="s">
        <v>254</v>
      </c>
      <c r="D315" s="27">
        <v>20210830</v>
      </c>
      <c r="E315" s="26" t="s">
        <v>307</v>
      </c>
      <c r="F315" s="26" t="s">
        <v>306</v>
      </c>
      <c r="G315" s="26" t="s">
        <v>252</v>
      </c>
      <c r="H315" s="5">
        <v>-1602.55</v>
      </c>
    </row>
    <row r="316" spans="2:8" x14ac:dyDescent="0.45">
      <c r="B316" s="26"/>
      <c r="C316" s="26"/>
      <c r="D316" s="27"/>
      <c r="E316" s="26"/>
      <c r="F316" s="26"/>
      <c r="G316" s="26"/>
      <c r="H316" s="5">
        <v>-1602.55</v>
      </c>
    </row>
    <row r="318" spans="2:8" x14ac:dyDescent="0.45">
      <c r="B318" s="26" t="s">
        <v>259</v>
      </c>
      <c r="C318" s="26" t="s">
        <v>254</v>
      </c>
      <c r="D318" s="27">
        <v>20210830</v>
      </c>
      <c r="E318" s="26" t="s">
        <v>305</v>
      </c>
      <c r="F318" s="26"/>
      <c r="G318" s="26" t="s">
        <v>252</v>
      </c>
      <c r="H318" s="5">
        <v>-20732.25</v>
      </c>
    </row>
    <row r="319" spans="2:8" x14ac:dyDescent="0.45">
      <c r="B319" s="26"/>
      <c r="C319" s="26"/>
      <c r="D319" s="27"/>
      <c r="E319" s="26"/>
      <c r="F319" s="26"/>
      <c r="G319" s="26"/>
      <c r="H319" s="5">
        <v>-20732.25</v>
      </c>
    </row>
    <row r="321" spans="2:8" x14ac:dyDescent="0.45">
      <c r="B321" s="26" t="s">
        <v>255</v>
      </c>
      <c r="C321" s="26" t="s">
        <v>287</v>
      </c>
      <c r="D321" s="27">
        <v>6504</v>
      </c>
      <c r="E321" s="26" t="s">
        <v>304</v>
      </c>
      <c r="F321" s="26"/>
      <c r="G321" s="26"/>
      <c r="H321" s="5">
        <v>-30</v>
      </c>
    </row>
    <row r="322" spans="2:8" x14ac:dyDescent="0.45">
      <c r="B322" s="26"/>
      <c r="C322" s="26"/>
      <c r="D322" s="27"/>
      <c r="E322" s="26"/>
      <c r="F322" s="26" t="s">
        <v>303</v>
      </c>
      <c r="G322" s="26"/>
      <c r="H322" s="5">
        <v>30</v>
      </c>
    </row>
    <row r="324" spans="2:8" x14ac:dyDescent="0.45">
      <c r="B324" s="26" t="s">
        <v>255</v>
      </c>
      <c r="C324" s="26" t="s">
        <v>287</v>
      </c>
      <c r="D324" s="27">
        <v>6505</v>
      </c>
      <c r="E324" s="26" t="s">
        <v>302</v>
      </c>
      <c r="F324" s="26" t="s">
        <v>301</v>
      </c>
      <c r="G324" s="26"/>
      <c r="H324" s="5">
        <v>-81.5</v>
      </c>
    </row>
    <row r="325" spans="2:8" x14ac:dyDescent="0.45">
      <c r="B325" s="26"/>
      <c r="C325" s="26"/>
      <c r="D325" s="27"/>
      <c r="E325" s="26"/>
      <c r="F325" s="26" t="s">
        <v>301</v>
      </c>
      <c r="G325" s="26"/>
      <c r="H325" s="5">
        <v>81.5</v>
      </c>
    </row>
    <row r="327" spans="2:8" x14ac:dyDescent="0.45">
      <c r="B327" s="26" t="s">
        <v>255</v>
      </c>
      <c r="C327" s="26" t="s">
        <v>287</v>
      </c>
      <c r="D327" s="27">
        <v>6506</v>
      </c>
      <c r="E327" s="26" t="s">
        <v>300</v>
      </c>
      <c r="F327" s="26"/>
      <c r="G327" s="26"/>
      <c r="H327" s="5">
        <v>-81.5</v>
      </c>
    </row>
    <row r="328" spans="2:8" x14ac:dyDescent="0.45">
      <c r="B328" s="26"/>
      <c r="C328" s="26"/>
      <c r="D328" s="27"/>
      <c r="E328" s="26"/>
      <c r="F328" s="26" t="s">
        <v>299</v>
      </c>
      <c r="G328" s="26"/>
      <c r="H328" s="5">
        <v>81.5</v>
      </c>
    </row>
    <row r="330" spans="2:8" x14ac:dyDescent="0.45">
      <c r="B330" s="26" t="s">
        <v>255</v>
      </c>
      <c r="C330" s="26" t="s">
        <v>287</v>
      </c>
      <c r="D330" s="27">
        <v>6507</v>
      </c>
      <c r="E330" s="26" t="s">
        <v>298</v>
      </c>
      <c r="F330" s="26" t="s">
        <v>297</v>
      </c>
      <c r="G330" s="26"/>
      <c r="H330" s="5">
        <v>-47.5</v>
      </c>
    </row>
    <row r="331" spans="2:8" x14ac:dyDescent="0.45">
      <c r="B331" s="26"/>
      <c r="C331" s="26"/>
      <c r="D331" s="27"/>
      <c r="E331" s="26"/>
      <c r="F331" s="26" t="s">
        <v>296</v>
      </c>
      <c r="G331" s="26"/>
      <c r="H331" s="5">
        <v>47.5</v>
      </c>
    </row>
    <row r="333" spans="2:8" x14ac:dyDescent="0.45">
      <c r="B333" s="26" t="s">
        <v>255</v>
      </c>
      <c r="C333" s="26" t="s">
        <v>254</v>
      </c>
      <c r="D333" s="27" t="s">
        <v>295</v>
      </c>
      <c r="E333" s="26" t="s">
        <v>292</v>
      </c>
      <c r="F333" s="26"/>
      <c r="G333" s="26" t="s">
        <v>252</v>
      </c>
      <c r="H333" s="5">
        <v>-233594.2</v>
      </c>
    </row>
    <row r="334" spans="2:8" x14ac:dyDescent="0.45">
      <c r="B334" s="26"/>
      <c r="C334" s="26"/>
      <c r="D334" s="27"/>
      <c r="E334" s="26"/>
      <c r="F334" s="26"/>
      <c r="G334" s="26"/>
      <c r="H334" s="5">
        <v>-233594.2</v>
      </c>
    </row>
    <row r="336" spans="2:8" x14ac:dyDescent="0.45">
      <c r="B336" s="26" t="s">
        <v>255</v>
      </c>
      <c r="C336" s="26" t="s">
        <v>254</v>
      </c>
      <c r="D336" s="27" t="s">
        <v>294</v>
      </c>
      <c r="E336" s="26" t="s">
        <v>292</v>
      </c>
      <c r="F336" s="26"/>
      <c r="G336" s="26" t="s">
        <v>252</v>
      </c>
      <c r="H336" s="5">
        <v>-48710.64</v>
      </c>
    </row>
    <row r="337" spans="1:8" x14ac:dyDescent="0.45">
      <c r="B337" s="26"/>
      <c r="C337" s="26"/>
      <c r="D337" s="27"/>
      <c r="E337" s="26"/>
      <c r="F337" s="26"/>
      <c r="G337" s="26"/>
      <c r="H337" s="5">
        <v>-48710.64</v>
      </c>
    </row>
    <row r="339" spans="1:8" x14ac:dyDescent="0.45">
      <c r="B339" s="26" t="s">
        <v>255</v>
      </c>
      <c r="C339" s="26" t="s">
        <v>254</v>
      </c>
      <c r="D339" s="27" t="s">
        <v>293</v>
      </c>
      <c r="E339" s="26" t="s">
        <v>292</v>
      </c>
      <c r="F339" s="26"/>
      <c r="G339" s="26" t="s">
        <v>252</v>
      </c>
      <c r="H339" s="5">
        <v>-140</v>
      </c>
    </row>
    <row r="340" spans="1:8" x14ac:dyDescent="0.45">
      <c r="B340" s="26"/>
      <c r="C340" s="26"/>
      <c r="D340" s="27"/>
      <c r="E340" s="26"/>
      <c r="F340" s="26"/>
      <c r="G340" s="26"/>
      <c r="H340" s="5">
        <v>-139.97999999999999</v>
      </c>
    </row>
    <row r="341" spans="1:8" x14ac:dyDescent="0.45">
      <c r="B341" s="26"/>
      <c r="C341" s="26"/>
      <c r="D341" s="27"/>
      <c r="E341" s="26"/>
      <c r="F341" s="26"/>
      <c r="G341" s="26"/>
      <c r="H341" s="5">
        <v>-0.02</v>
      </c>
    </row>
    <row r="343" spans="1:8" x14ac:dyDescent="0.45">
      <c r="B343" s="26" t="s">
        <v>255</v>
      </c>
      <c r="C343" s="26" t="s">
        <v>258</v>
      </c>
      <c r="D343" s="26"/>
      <c r="E343" s="26" t="s">
        <v>291</v>
      </c>
      <c r="F343" s="26"/>
      <c r="G343" s="26" t="s">
        <v>252</v>
      </c>
      <c r="H343" s="5">
        <v>-36.4</v>
      </c>
    </row>
    <row r="344" spans="1:8" x14ac:dyDescent="0.45">
      <c r="B344" s="26"/>
      <c r="C344" s="26"/>
      <c r="D344" s="27"/>
      <c r="E344" s="26"/>
      <c r="F344" s="26" t="s">
        <v>290</v>
      </c>
      <c r="G344" s="26"/>
      <c r="H344" s="5">
        <v>-36.4</v>
      </c>
    </row>
    <row r="347" spans="1:8" x14ac:dyDescent="0.45">
      <c r="A347" s="3" t="s">
        <v>289</v>
      </c>
    </row>
    <row r="348" spans="1:8" x14ac:dyDescent="0.45">
      <c r="B348" s="26" t="s">
        <v>288</v>
      </c>
      <c r="C348" s="26" t="s">
        <v>287</v>
      </c>
      <c r="D348" s="27">
        <v>995003</v>
      </c>
      <c r="E348" s="26" t="s">
        <v>286</v>
      </c>
      <c r="F348" s="26"/>
      <c r="G348" s="26"/>
      <c r="H348" s="5">
        <v>-30.12</v>
      </c>
    </row>
    <row r="349" spans="1:8" x14ac:dyDescent="0.45">
      <c r="B349" s="26"/>
      <c r="C349" s="26"/>
      <c r="D349" s="27"/>
      <c r="E349" s="26"/>
      <c r="F349" s="26" t="s">
        <v>285</v>
      </c>
      <c r="G349" s="26"/>
      <c r="H349" s="5">
        <v>-30.12</v>
      </c>
    </row>
    <row r="352" spans="1:8" x14ac:dyDescent="0.45">
      <c r="A352" s="3" t="s">
        <v>284</v>
      </c>
    </row>
    <row r="353" spans="2:8" x14ac:dyDescent="0.45">
      <c r="B353" s="26" t="s">
        <v>281</v>
      </c>
      <c r="C353" s="26" t="s">
        <v>258</v>
      </c>
      <c r="D353" s="27">
        <v>202108</v>
      </c>
      <c r="E353" s="26" t="s">
        <v>283</v>
      </c>
      <c r="F353" s="26"/>
      <c r="G353" s="26" t="s">
        <v>252</v>
      </c>
      <c r="H353" s="5">
        <v>-195</v>
      </c>
    </row>
    <row r="354" spans="2:8" x14ac:dyDescent="0.45">
      <c r="B354" s="26"/>
      <c r="C354" s="26"/>
      <c r="D354" s="27"/>
      <c r="E354" s="26"/>
      <c r="F354" s="26" t="s">
        <v>282</v>
      </c>
      <c r="G354" s="26"/>
      <c r="H354" s="5">
        <v>195</v>
      </c>
    </row>
    <row r="356" spans="2:8" x14ac:dyDescent="0.45">
      <c r="B356" s="26" t="s">
        <v>281</v>
      </c>
      <c r="C356" s="26" t="s">
        <v>258</v>
      </c>
      <c r="D356" s="27">
        <v>227590757</v>
      </c>
      <c r="E356" s="26" t="s">
        <v>261</v>
      </c>
      <c r="F356" s="26"/>
      <c r="G356" s="26" t="s">
        <v>252</v>
      </c>
      <c r="H356" s="5">
        <v>-34.75</v>
      </c>
    </row>
    <row r="357" spans="2:8" x14ac:dyDescent="0.45">
      <c r="B357" s="26"/>
      <c r="C357" s="26"/>
      <c r="D357" s="27"/>
      <c r="E357" s="26"/>
      <c r="F357" s="26" t="s">
        <v>260</v>
      </c>
      <c r="G357" s="26"/>
      <c r="H357" s="5">
        <v>34.75</v>
      </c>
    </row>
    <row r="359" spans="2:8" x14ac:dyDescent="0.45">
      <c r="B359" s="26" t="s">
        <v>280</v>
      </c>
      <c r="C359" s="26" t="s">
        <v>258</v>
      </c>
      <c r="D359" s="27">
        <v>202108</v>
      </c>
      <c r="E359" s="26" t="s">
        <v>279</v>
      </c>
      <c r="F359" s="26" t="s">
        <v>278</v>
      </c>
      <c r="G359" s="26" t="s">
        <v>252</v>
      </c>
      <c r="H359" s="5">
        <v>-6.13</v>
      </c>
    </row>
    <row r="360" spans="2:8" x14ac:dyDescent="0.45">
      <c r="B360" s="26"/>
      <c r="C360" s="26"/>
      <c r="D360" s="27"/>
      <c r="E360" s="26"/>
      <c r="F360" s="26" t="s">
        <v>278</v>
      </c>
      <c r="G360" s="26"/>
      <c r="H360" s="5">
        <v>6.13</v>
      </c>
    </row>
    <row r="362" spans="2:8" x14ac:dyDescent="0.45">
      <c r="B362" s="26" t="s">
        <v>277</v>
      </c>
      <c r="C362" s="26" t="s">
        <v>258</v>
      </c>
      <c r="D362" s="27">
        <v>20210806</v>
      </c>
      <c r="E362" s="26" t="s">
        <v>257</v>
      </c>
      <c r="F362" s="26" t="s">
        <v>256</v>
      </c>
      <c r="G362" s="26" t="s">
        <v>252</v>
      </c>
      <c r="H362" s="5">
        <v>-420.2</v>
      </c>
    </row>
    <row r="363" spans="2:8" x14ac:dyDescent="0.45">
      <c r="B363" s="26"/>
      <c r="C363" s="26"/>
      <c r="D363" s="27"/>
      <c r="E363" s="26"/>
      <c r="F363" s="26" t="s">
        <v>256</v>
      </c>
      <c r="G363" s="26"/>
      <c r="H363" s="5">
        <v>420.2</v>
      </c>
    </row>
    <row r="365" spans="2:8" x14ac:dyDescent="0.45">
      <c r="B365" s="26" t="s">
        <v>276</v>
      </c>
      <c r="C365" s="26" t="s">
        <v>258</v>
      </c>
      <c r="D365" s="27">
        <v>202107</v>
      </c>
      <c r="E365" s="26" t="s">
        <v>275</v>
      </c>
      <c r="F365" s="26" t="s">
        <v>274</v>
      </c>
      <c r="G365" s="26" t="s">
        <v>252</v>
      </c>
      <c r="H365" s="5">
        <v>-72.45</v>
      </c>
    </row>
    <row r="366" spans="2:8" x14ac:dyDescent="0.45">
      <c r="B366" s="26"/>
      <c r="C366" s="26"/>
      <c r="D366" s="27"/>
      <c r="E366" s="26"/>
      <c r="F366" s="26" t="s">
        <v>274</v>
      </c>
      <c r="G366" s="26"/>
      <c r="H366" s="5">
        <v>72.45</v>
      </c>
    </row>
    <row r="368" spans="2:8" x14ac:dyDescent="0.45">
      <c r="B368" s="26" t="s">
        <v>273</v>
      </c>
      <c r="C368" s="26" t="s">
        <v>258</v>
      </c>
      <c r="D368" s="27">
        <v>20210812</v>
      </c>
      <c r="E368" s="26" t="s">
        <v>264</v>
      </c>
      <c r="F368" s="26" t="s">
        <v>263</v>
      </c>
      <c r="G368" s="26" t="s">
        <v>252</v>
      </c>
      <c r="H368" s="5">
        <v>-75</v>
      </c>
    </row>
    <row r="369" spans="2:8" x14ac:dyDescent="0.45">
      <c r="B369" s="26"/>
      <c r="C369" s="26"/>
      <c r="D369" s="27"/>
      <c r="E369" s="26"/>
      <c r="F369" s="26" t="s">
        <v>263</v>
      </c>
      <c r="G369" s="26"/>
      <c r="H369" s="5">
        <v>-75</v>
      </c>
    </row>
    <row r="371" spans="2:8" x14ac:dyDescent="0.45">
      <c r="B371" s="26" t="s">
        <v>273</v>
      </c>
      <c r="C371" s="26" t="s">
        <v>258</v>
      </c>
      <c r="D371" s="27">
        <v>20210812</v>
      </c>
      <c r="E371" s="26" t="s">
        <v>257</v>
      </c>
      <c r="F371" s="26" t="s">
        <v>256</v>
      </c>
      <c r="G371" s="26" t="s">
        <v>252</v>
      </c>
      <c r="H371" s="5">
        <v>-385.52</v>
      </c>
    </row>
    <row r="372" spans="2:8" x14ac:dyDescent="0.45">
      <c r="B372" s="26"/>
      <c r="C372" s="26"/>
      <c r="D372" s="27"/>
      <c r="E372" s="26"/>
      <c r="F372" s="26" t="s">
        <v>256</v>
      </c>
      <c r="G372" s="26"/>
      <c r="H372" s="5">
        <v>385.52</v>
      </c>
    </row>
    <row r="374" spans="2:8" x14ac:dyDescent="0.45">
      <c r="B374" s="26" t="s">
        <v>272</v>
      </c>
      <c r="C374" s="26" t="s">
        <v>258</v>
      </c>
      <c r="D374" s="27">
        <v>20210813</v>
      </c>
      <c r="E374" s="26" t="s">
        <v>257</v>
      </c>
      <c r="F374" s="26" t="s">
        <v>256</v>
      </c>
      <c r="G374" s="26" t="s">
        <v>252</v>
      </c>
      <c r="H374" s="5">
        <v>-379.57</v>
      </c>
    </row>
    <row r="375" spans="2:8" x14ac:dyDescent="0.45">
      <c r="B375" s="26"/>
      <c r="C375" s="26"/>
      <c r="D375" s="27"/>
      <c r="E375" s="26"/>
      <c r="F375" s="26" t="s">
        <v>256</v>
      </c>
      <c r="G375" s="26"/>
      <c r="H375" s="5">
        <v>379.57</v>
      </c>
    </row>
    <row r="377" spans="2:8" x14ac:dyDescent="0.45">
      <c r="B377" s="26" t="s">
        <v>271</v>
      </c>
      <c r="C377" s="26" t="s">
        <v>258</v>
      </c>
      <c r="D377" s="27">
        <v>277799142</v>
      </c>
      <c r="E377" s="26" t="s">
        <v>261</v>
      </c>
      <c r="F377" s="26"/>
      <c r="G377" s="26" t="s">
        <v>252</v>
      </c>
      <c r="H377" s="5">
        <v>-85.35</v>
      </c>
    </row>
    <row r="378" spans="2:8" x14ac:dyDescent="0.45">
      <c r="B378" s="26"/>
      <c r="C378" s="26"/>
      <c r="D378" s="27"/>
      <c r="E378" s="26"/>
      <c r="F378" s="26" t="s">
        <v>260</v>
      </c>
      <c r="G378" s="26"/>
      <c r="H378" s="5">
        <v>85.35</v>
      </c>
    </row>
    <row r="380" spans="2:8" x14ac:dyDescent="0.45">
      <c r="B380" s="26" t="s">
        <v>271</v>
      </c>
      <c r="C380" s="26" t="s">
        <v>258</v>
      </c>
      <c r="D380" s="27">
        <v>20210816</v>
      </c>
      <c r="E380" s="26" t="s">
        <v>257</v>
      </c>
      <c r="F380" s="26" t="s">
        <v>256</v>
      </c>
      <c r="G380" s="26" t="s">
        <v>252</v>
      </c>
      <c r="H380" s="5">
        <v>-131.76</v>
      </c>
    </row>
    <row r="381" spans="2:8" x14ac:dyDescent="0.45">
      <c r="B381" s="26"/>
      <c r="C381" s="26"/>
      <c r="D381" s="27"/>
      <c r="E381" s="26"/>
      <c r="F381" s="26" t="s">
        <v>256</v>
      </c>
      <c r="G381" s="26"/>
      <c r="H381" s="5">
        <v>131.76</v>
      </c>
    </row>
    <row r="383" spans="2:8" x14ac:dyDescent="0.45">
      <c r="B383" s="26" t="s">
        <v>270</v>
      </c>
      <c r="C383" s="26" t="s">
        <v>254</v>
      </c>
      <c r="D383" s="27">
        <v>99038090</v>
      </c>
      <c r="E383" s="26" t="s">
        <v>253</v>
      </c>
      <c r="F383" s="26"/>
      <c r="G383" s="26" t="s">
        <v>252</v>
      </c>
      <c r="H383" s="5">
        <v>-39.82</v>
      </c>
    </row>
    <row r="384" spans="2:8" x14ac:dyDescent="0.45">
      <c r="B384" s="26"/>
      <c r="C384" s="26"/>
      <c r="D384" s="27"/>
      <c r="E384" s="26"/>
      <c r="F384" s="26"/>
      <c r="G384" s="26"/>
      <c r="H384" s="5">
        <v>-39.82</v>
      </c>
    </row>
    <row r="386" spans="2:8" x14ac:dyDescent="0.45">
      <c r="B386" s="26" t="s">
        <v>269</v>
      </c>
      <c r="C386" s="26" t="s">
        <v>258</v>
      </c>
      <c r="D386" s="27">
        <v>20210819</v>
      </c>
      <c r="E386" s="26" t="s">
        <v>257</v>
      </c>
      <c r="F386" s="26" t="s">
        <v>256</v>
      </c>
      <c r="G386" s="26" t="s">
        <v>252</v>
      </c>
      <c r="H386" s="5">
        <v>-131.81</v>
      </c>
    </row>
    <row r="387" spans="2:8" x14ac:dyDescent="0.45">
      <c r="B387" s="26"/>
      <c r="C387" s="26"/>
      <c r="D387" s="27"/>
      <c r="E387" s="26"/>
      <c r="F387" s="26" t="s">
        <v>256</v>
      </c>
      <c r="G387" s="26"/>
      <c r="H387" s="5">
        <v>131.81</v>
      </c>
    </row>
    <row r="389" spans="2:8" x14ac:dyDescent="0.45">
      <c r="B389" s="26" t="s">
        <v>269</v>
      </c>
      <c r="C389" s="26" t="s">
        <v>258</v>
      </c>
      <c r="D389" s="27">
        <v>20210819</v>
      </c>
      <c r="E389" s="26" t="s">
        <v>257</v>
      </c>
      <c r="F389" s="26" t="s">
        <v>256</v>
      </c>
      <c r="G389" s="26" t="s">
        <v>252</v>
      </c>
      <c r="H389" s="5">
        <v>-173.2</v>
      </c>
    </row>
    <row r="390" spans="2:8" x14ac:dyDescent="0.45">
      <c r="B390" s="26"/>
      <c r="C390" s="26"/>
      <c r="D390" s="27"/>
      <c r="E390" s="26"/>
      <c r="F390" s="26" t="s">
        <v>256</v>
      </c>
      <c r="G390" s="26"/>
      <c r="H390" s="5">
        <v>173.2</v>
      </c>
    </row>
    <row r="392" spans="2:8" x14ac:dyDescent="0.45">
      <c r="B392" s="26" t="s">
        <v>268</v>
      </c>
      <c r="C392" s="26" t="s">
        <v>258</v>
      </c>
      <c r="D392" s="27">
        <v>20210823</v>
      </c>
      <c r="E392" s="26" t="s">
        <v>264</v>
      </c>
      <c r="F392" s="26" t="s">
        <v>263</v>
      </c>
      <c r="G392" s="26" t="s">
        <v>252</v>
      </c>
      <c r="H392" s="5">
        <v>-135</v>
      </c>
    </row>
    <row r="393" spans="2:8" x14ac:dyDescent="0.45">
      <c r="B393" s="26"/>
      <c r="C393" s="26"/>
      <c r="D393" s="27"/>
      <c r="E393" s="26"/>
      <c r="F393" s="26" t="s">
        <v>263</v>
      </c>
      <c r="G393" s="26"/>
      <c r="H393" s="5">
        <v>-135</v>
      </c>
    </row>
    <row r="395" spans="2:8" x14ac:dyDescent="0.45">
      <c r="B395" s="26" t="s">
        <v>268</v>
      </c>
      <c r="C395" s="26" t="s">
        <v>258</v>
      </c>
      <c r="D395" s="27">
        <v>277815262</v>
      </c>
      <c r="E395" s="26" t="s">
        <v>261</v>
      </c>
      <c r="F395" s="26"/>
      <c r="G395" s="26" t="s">
        <v>252</v>
      </c>
      <c r="H395" s="5">
        <v>-53.58</v>
      </c>
    </row>
    <row r="396" spans="2:8" x14ac:dyDescent="0.45">
      <c r="B396" s="26"/>
      <c r="C396" s="26"/>
      <c r="D396" s="27"/>
      <c r="E396" s="26"/>
      <c r="F396" s="26" t="s">
        <v>260</v>
      </c>
      <c r="G396" s="26"/>
      <c r="H396" s="5">
        <v>53.58</v>
      </c>
    </row>
    <row r="398" spans="2:8" x14ac:dyDescent="0.45">
      <c r="B398" s="26" t="s">
        <v>267</v>
      </c>
      <c r="C398" s="26" t="s">
        <v>258</v>
      </c>
      <c r="D398" s="27">
        <v>20210824</v>
      </c>
      <c r="E398" s="26" t="s">
        <v>257</v>
      </c>
      <c r="F398" s="26" t="s">
        <v>256</v>
      </c>
      <c r="G398" s="26" t="s">
        <v>252</v>
      </c>
      <c r="H398" s="5">
        <v>-225.8</v>
      </c>
    </row>
    <row r="399" spans="2:8" x14ac:dyDescent="0.45">
      <c r="B399" s="26"/>
      <c r="C399" s="26"/>
      <c r="D399" s="27"/>
      <c r="E399" s="26"/>
      <c r="F399" s="26" t="s">
        <v>256</v>
      </c>
      <c r="G399" s="26"/>
      <c r="H399" s="5">
        <v>225.8</v>
      </c>
    </row>
    <row r="401" spans="2:8" x14ac:dyDescent="0.45">
      <c r="B401" s="26" t="s">
        <v>266</v>
      </c>
      <c r="C401" s="26" t="s">
        <v>254</v>
      </c>
      <c r="D401" s="27">
        <v>99890906</v>
      </c>
      <c r="E401" s="26" t="s">
        <v>253</v>
      </c>
      <c r="F401" s="26"/>
      <c r="G401" s="26" t="s">
        <v>252</v>
      </c>
      <c r="H401" s="5">
        <v>-414.14</v>
      </c>
    </row>
    <row r="402" spans="2:8" x14ac:dyDescent="0.45">
      <c r="B402" s="26"/>
      <c r="C402" s="26"/>
      <c r="D402" s="27"/>
      <c r="E402" s="26"/>
      <c r="F402" s="26"/>
      <c r="G402" s="26"/>
      <c r="H402" s="5">
        <v>-414.14</v>
      </c>
    </row>
    <row r="404" spans="2:8" x14ac:dyDescent="0.45">
      <c r="B404" s="26" t="s">
        <v>265</v>
      </c>
      <c r="C404" s="26" t="s">
        <v>258</v>
      </c>
      <c r="D404" s="27">
        <v>20210826</v>
      </c>
      <c r="E404" s="26" t="s">
        <v>257</v>
      </c>
      <c r="F404" s="26" t="s">
        <v>256</v>
      </c>
      <c r="G404" s="26" t="s">
        <v>252</v>
      </c>
      <c r="H404" s="5">
        <v>-79.84</v>
      </c>
    </row>
    <row r="405" spans="2:8" x14ac:dyDescent="0.45">
      <c r="B405" s="26"/>
      <c r="C405" s="26"/>
      <c r="D405" s="27"/>
      <c r="E405" s="26"/>
      <c r="F405" s="26" t="s">
        <v>256</v>
      </c>
      <c r="G405" s="26"/>
      <c r="H405" s="5">
        <v>79.84</v>
      </c>
    </row>
    <row r="407" spans="2:8" x14ac:dyDescent="0.45">
      <c r="B407" s="26" t="s">
        <v>262</v>
      </c>
      <c r="C407" s="26" t="s">
        <v>258</v>
      </c>
      <c r="D407" s="27">
        <v>20210827</v>
      </c>
      <c r="E407" s="26" t="s">
        <v>264</v>
      </c>
      <c r="F407" s="26" t="s">
        <v>263</v>
      </c>
      <c r="G407" s="26" t="s">
        <v>252</v>
      </c>
      <c r="H407" s="5">
        <v>-135</v>
      </c>
    </row>
    <row r="408" spans="2:8" x14ac:dyDescent="0.45">
      <c r="B408" s="26"/>
      <c r="C408" s="26"/>
      <c r="D408" s="27"/>
      <c r="E408" s="26"/>
      <c r="F408" s="26" t="s">
        <v>263</v>
      </c>
      <c r="G408" s="26"/>
      <c r="H408" s="5">
        <v>-135</v>
      </c>
    </row>
    <row r="410" spans="2:8" x14ac:dyDescent="0.45">
      <c r="B410" s="26" t="s">
        <v>262</v>
      </c>
      <c r="C410" s="26" t="s">
        <v>258</v>
      </c>
      <c r="D410" s="27">
        <v>20210827</v>
      </c>
      <c r="E410" s="26" t="s">
        <v>257</v>
      </c>
      <c r="F410" s="26" t="s">
        <v>256</v>
      </c>
      <c r="G410" s="26" t="s">
        <v>252</v>
      </c>
      <c r="H410" s="5">
        <v>-187.95</v>
      </c>
    </row>
    <row r="411" spans="2:8" x14ac:dyDescent="0.45">
      <c r="B411" s="26"/>
      <c r="C411" s="26"/>
      <c r="D411" s="27"/>
      <c r="E411" s="26"/>
      <c r="F411" s="26" t="s">
        <v>256</v>
      </c>
      <c r="G411" s="26"/>
      <c r="H411" s="5">
        <v>187.95</v>
      </c>
    </row>
    <row r="413" spans="2:8" x14ac:dyDescent="0.45">
      <c r="B413" s="26" t="s">
        <v>259</v>
      </c>
      <c r="C413" s="26" t="s">
        <v>258</v>
      </c>
      <c r="D413" s="27">
        <v>277848658</v>
      </c>
      <c r="E413" s="26" t="s">
        <v>261</v>
      </c>
      <c r="F413" s="26"/>
      <c r="G413" s="26" t="s">
        <v>252</v>
      </c>
      <c r="H413" s="5">
        <v>-50.19</v>
      </c>
    </row>
    <row r="414" spans="2:8" x14ac:dyDescent="0.45">
      <c r="B414" s="26"/>
      <c r="C414" s="26"/>
      <c r="D414" s="27"/>
      <c r="E414" s="26"/>
      <c r="F414" s="26" t="s">
        <v>260</v>
      </c>
      <c r="G414" s="26"/>
      <c r="H414" s="5">
        <v>50.19</v>
      </c>
    </row>
    <row r="416" spans="2:8" x14ac:dyDescent="0.45">
      <c r="B416" s="26" t="s">
        <v>259</v>
      </c>
      <c r="C416" s="26" t="s">
        <v>258</v>
      </c>
      <c r="D416" s="27">
        <v>20210830</v>
      </c>
      <c r="E416" s="26" t="s">
        <v>257</v>
      </c>
      <c r="F416" s="26" t="s">
        <v>256</v>
      </c>
      <c r="G416" s="26" t="s">
        <v>252</v>
      </c>
      <c r="H416" s="5">
        <v>-103.32</v>
      </c>
    </row>
    <row r="417" spans="1:8" x14ac:dyDescent="0.45">
      <c r="B417" s="26"/>
      <c r="C417" s="26"/>
      <c r="D417" s="27"/>
      <c r="E417" s="26"/>
      <c r="F417" s="26" t="s">
        <v>256</v>
      </c>
      <c r="G417" s="26"/>
      <c r="H417" s="5">
        <v>103.32</v>
      </c>
    </row>
    <row r="419" spans="1:8" x14ac:dyDescent="0.45">
      <c r="B419" s="26" t="s">
        <v>255</v>
      </c>
      <c r="C419" s="26" t="s">
        <v>254</v>
      </c>
      <c r="D419" s="27">
        <v>99289354</v>
      </c>
      <c r="E419" s="26" t="s">
        <v>253</v>
      </c>
      <c r="F419" s="26"/>
      <c r="G419" s="26" t="s">
        <v>252</v>
      </c>
      <c r="H419" s="5">
        <v>-357.91</v>
      </c>
    </row>
    <row r="420" spans="1:8" x14ac:dyDescent="0.45">
      <c r="B420" s="26"/>
      <c r="C420" s="26"/>
      <c r="D420" s="27"/>
      <c r="E420" s="26"/>
      <c r="F420" s="26"/>
      <c r="G420" s="26"/>
      <c r="H420" s="5">
        <v>-357.91</v>
      </c>
    </row>
    <row r="425" spans="1:8" x14ac:dyDescent="0.45">
      <c r="A425" s="23" t="s">
        <v>251</v>
      </c>
      <c r="B425" s="14"/>
      <c r="C425" s="14"/>
      <c r="D425" s="14"/>
      <c r="E425" s="14"/>
      <c r="F425" s="14"/>
      <c r="G425" s="14"/>
      <c r="H425" s="14"/>
    </row>
  </sheetData>
  <mergeCells count="4">
    <mergeCell ref="A425:H425"/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Profit and Loss</vt:lpstr>
      <vt:lpstr>Budget vs. Actuals</vt:lpstr>
      <vt:lpstr>Statement of Cash Flows</vt:lpstr>
      <vt:lpstr>Check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Denise Clayton-Purvis</cp:lastModifiedBy>
  <dcterms:created xsi:type="dcterms:W3CDTF">2021-09-22T01:24:31Z</dcterms:created>
  <dcterms:modified xsi:type="dcterms:W3CDTF">2021-09-22T01:31:56Z</dcterms:modified>
</cp:coreProperties>
</file>