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.holder\Documents\GLOBE ACADEMY\GLOBE Academy\GLOBE\"/>
    </mc:Choice>
  </mc:AlternateContent>
  <xr:revisionPtr revIDLastSave="0" documentId="8_{4B2B03F7-4157-41E8-9E2F-2F79D4A9278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Budget vs. Actua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8" i="1" l="1"/>
  <c r="N167" i="1"/>
  <c r="K167" i="1"/>
  <c r="M167" i="1" s="1"/>
  <c r="J167" i="1"/>
  <c r="L167" i="1" s="1"/>
  <c r="H167" i="1"/>
  <c r="G167" i="1"/>
  <c r="F167" i="1"/>
  <c r="C167" i="1"/>
  <c r="B167" i="1"/>
  <c r="P166" i="1"/>
  <c r="O166" i="1"/>
  <c r="Q166" i="1" s="1"/>
  <c r="N166" i="1"/>
  <c r="M166" i="1"/>
  <c r="L166" i="1"/>
  <c r="I166" i="1"/>
  <c r="H166" i="1"/>
  <c r="E166" i="1"/>
  <c r="D166" i="1"/>
  <c r="G165" i="1"/>
  <c r="B165" i="1"/>
  <c r="N164" i="1"/>
  <c r="M164" i="1"/>
  <c r="L164" i="1"/>
  <c r="K164" i="1"/>
  <c r="G164" i="1"/>
  <c r="E164" i="1"/>
  <c r="C164" i="1"/>
  <c r="D164" i="1" s="1"/>
  <c r="O163" i="1"/>
  <c r="Q163" i="1" s="1"/>
  <c r="M163" i="1"/>
  <c r="L163" i="1"/>
  <c r="J163" i="1"/>
  <c r="I163" i="1"/>
  <c r="H163" i="1"/>
  <c r="F163" i="1"/>
  <c r="E163" i="1"/>
  <c r="B163" i="1"/>
  <c r="O162" i="1"/>
  <c r="Q162" i="1" s="1"/>
  <c r="N162" i="1"/>
  <c r="P162" i="1" s="1"/>
  <c r="M162" i="1"/>
  <c r="L162" i="1"/>
  <c r="K162" i="1"/>
  <c r="I162" i="1"/>
  <c r="H162" i="1"/>
  <c r="G162" i="1"/>
  <c r="E162" i="1"/>
  <c r="D162" i="1"/>
  <c r="C162" i="1"/>
  <c r="L161" i="1"/>
  <c r="K161" i="1"/>
  <c r="M161" i="1" s="1"/>
  <c r="J161" i="1"/>
  <c r="G161" i="1"/>
  <c r="O161" i="1" s="1"/>
  <c r="F161" i="1"/>
  <c r="D161" i="1"/>
  <c r="C161" i="1"/>
  <c r="E161" i="1" s="1"/>
  <c r="B161" i="1"/>
  <c r="N160" i="1"/>
  <c r="L160" i="1"/>
  <c r="K160" i="1"/>
  <c r="M160" i="1" s="1"/>
  <c r="J160" i="1"/>
  <c r="G160" i="1"/>
  <c r="I160" i="1" s="1"/>
  <c r="F160" i="1"/>
  <c r="D160" i="1"/>
  <c r="C160" i="1"/>
  <c r="E160" i="1" s="1"/>
  <c r="B160" i="1"/>
  <c r="L159" i="1"/>
  <c r="K159" i="1"/>
  <c r="M159" i="1" s="1"/>
  <c r="G159" i="1"/>
  <c r="F159" i="1"/>
  <c r="E159" i="1"/>
  <c r="C159" i="1"/>
  <c r="D159" i="1" s="1"/>
  <c r="K158" i="1"/>
  <c r="J158" i="1"/>
  <c r="G158" i="1"/>
  <c r="F158" i="1"/>
  <c r="D158" i="1"/>
  <c r="C158" i="1"/>
  <c r="B158" i="1"/>
  <c r="O157" i="1"/>
  <c r="Q157" i="1" s="1"/>
  <c r="M157" i="1"/>
  <c r="L157" i="1"/>
  <c r="I157" i="1"/>
  <c r="H157" i="1"/>
  <c r="F157" i="1"/>
  <c r="E157" i="1"/>
  <c r="D157" i="1"/>
  <c r="B157" i="1"/>
  <c r="N157" i="1" s="1"/>
  <c r="P157" i="1" s="1"/>
  <c r="K156" i="1"/>
  <c r="J156" i="1"/>
  <c r="G156" i="1"/>
  <c r="F156" i="1"/>
  <c r="C156" i="1"/>
  <c r="B156" i="1"/>
  <c r="N155" i="1"/>
  <c r="K155" i="1"/>
  <c r="J155" i="1"/>
  <c r="I155" i="1"/>
  <c r="H155" i="1"/>
  <c r="G155" i="1"/>
  <c r="F155" i="1"/>
  <c r="C155" i="1"/>
  <c r="B155" i="1"/>
  <c r="Q154" i="1"/>
  <c r="O154" i="1"/>
  <c r="N154" i="1"/>
  <c r="P154" i="1" s="1"/>
  <c r="M154" i="1"/>
  <c r="L154" i="1"/>
  <c r="I154" i="1"/>
  <c r="H154" i="1"/>
  <c r="E154" i="1"/>
  <c r="D154" i="1"/>
  <c r="K153" i="1"/>
  <c r="C153" i="1"/>
  <c r="O152" i="1"/>
  <c r="Q152" i="1" s="1"/>
  <c r="M152" i="1"/>
  <c r="J152" i="1"/>
  <c r="L152" i="1" s="1"/>
  <c r="I152" i="1"/>
  <c r="F152" i="1"/>
  <c r="E152" i="1"/>
  <c r="D152" i="1"/>
  <c r="O151" i="1"/>
  <c r="L151" i="1"/>
  <c r="K151" i="1"/>
  <c r="M151" i="1" s="1"/>
  <c r="J151" i="1"/>
  <c r="G151" i="1"/>
  <c r="G153" i="1" s="1"/>
  <c r="F151" i="1"/>
  <c r="D151" i="1"/>
  <c r="C151" i="1"/>
  <c r="E151" i="1" s="1"/>
  <c r="Q150" i="1"/>
  <c r="O150" i="1"/>
  <c r="N150" i="1"/>
  <c r="P150" i="1" s="1"/>
  <c r="M150" i="1"/>
  <c r="L150" i="1"/>
  <c r="I150" i="1"/>
  <c r="H150" i="1"/>
  <c r="F150" i="1"/>
  <c r="E150" i="1"/>
  <c r="B150" i="1"/>
  <c r="D150" i="1" s="1"/>
  <c r="O149" i="1"/>
  <c r="Q149" i="1" s="1"/>
  <c r="M149" i="1"/>
  <c r="L149" i="1"/>
  <c r="I149" i="1"/>
  <c r="F149" i="1"/>
  <c r="E149" i="1"/>
  <c r="D149" i="1"/>
  <c r="B149" i="1"/>
  <c r="N149" i="1" s="1"/>
  <c r="P149" i="1" s="1"/>
  <c r="Q148" i="1"/>
  <c r="P148" i="1"/>
  <c r="O148" i="1"/>
  <c r="N148" i="1"/>
  <c r="M148" i="1"/>
  <c r="L148" i="1"/>
  <c r="I148" i="1"/>
  <c r="H148" i="1"/>
  <c r="E148" i="1"/>
  <c r="D148" i="1"/>
  <c r="B147" i="1"/>
  <c r="N146" i="1"/>
  <c r="M146" i="1"/>
  <c r="L146" i="1"/>
  <c r="K146" i="1"/>
  <c r="K147" i="1" s="1"/>
  <c r="G146" i="1"/>
  <c r="E146" i="1"/>
  <c r="C146" i="1"/>
  <c r="D146" i="1" s="1"/>
  <c r="O145" i="1"/>
  <c r="N145" i="1"/>
  <c r="M145" i="1"/>
  <c r="L145" i="1"/>
  <c r="K145" i="1"/>
  <c r="I145" i="1"/>
  <c r="H145" i="1"/>
  <c r="G145" i="1"/>
  <c r="E145" i="1"/>
  <c r="C145" i="1"/>
  <c r="L144" i="1"/>
  <c r="K144" i="1"/>
  <c r="J144" i="1"/>
  <c r="G144" i="1"/>
  <c r="I144" i="1" s="1"/>
  <c r="F144" i="1"/>
  <c r="F147" i="1" s="1"/>
  <c r="E144" i="1"/>
  <c r="D144" i="1"/>
  <c r="C144" i="1"/>
  <c r="Q143" i="1"/>
  <c r="P143" i="1"/>
  <c r="O143" i="1"/>
  <c r="N143" i="1"/>
  <c r="M143" i="1"/>
  <c r="L143" i="1"/>
  <c r="I143" i="1"/>
  <c r="H143" i="1"/>
  <c r="E143" i="1"/>
  <c r="D143" i="1"/>
  <c r="C142" i="1"/>
  <c r="B142" i="1"/>
  <c r="N141" i="1"/>
  <c r="K141" i="1"/>
  <c r="L141" i="1" s="1"/>
  <c r="G141" i="1"/>
  <c r="C141" i="1"/>
  <c r="O140" i="1"/>
  <c r="Q140" i="1" s="1"/>
  <c r="M140" i="1"/>
  <c r="L140" i="1"/>
  <c r="I140" i="1"/>
  <c r="H140" i="1"/>
  <c r="F140" i="1"/>
  <c r="N140" i="1" s="1"/>
  <c r="P140" i="1" s="1"/>
  <c r="E140" i="1"/>
  <c r="D140" i="1"/>
  <c r="M139" i="1"/>
  <c r="K139" i="1"/>
  <c r="J139" i="1"/>
  <c r="L139" i="1" s="1"/>
  <c r="G139" i="1"/>
  <c r="I139" i="1" s="1"/>
  <c r="F139" i="1"/>
  <c r="H139" i="1" s="1"/>
  <c r="E139" i="1"/>
  <c r="C139" i="1"/>
  <c r="O139" i="1" s="1"/>
  <c r="B139" i="1"/>
  <c r="O138" i="1"/>
  <c r="Q138" i="1" s="1"/>
  <c r="M138" i="1"/>
  <c r="J138" i="1"/>
  <c r="L138" i="1" s="1"/>
  <c r="I138" i="1"/>
  <c r="F138" i="1"/>
  <c r="H138" i="1" s="1"/>
  <c r="E138" i="1"/>
  <c r="B138" i="1"/>
  <c r="D138" i="1" s="1"/>
  <c r="O137" i="1"/>
  <c r="Q137" i="1" s="1"/>
  <c r="M137" i="1"/>
  <c r="L137" i="1"/>
  <c r="K137" i="1"/>
  <c r="J137" i="1"/>
  <c r="G137" i="1"/>
  <c r="I137" i="1" s="1"/>
  <c r="F137" i="1"/>
  <c r="E137" i="1"/>
  <c r="D137" i="1"/>
  <c r="C137" i="1"/>
  <c r="B137" i="1"/>
  <c r="N137" i="1" s="1"/>
  <c r="P137" i="1" s="1"/>
  <c r="K136" i="1"/>
  <c r="M136" i="1" s="1"/>
  <c r="J136" i="1"/>
  <c r="H136" i="1"/>
  <c r="G136" i="1"/>
  <c r="I136" i="1" s="1"/>
  <c r="F136" i="1"/>
  <c r="C136" i="1"/>
  <c r="B136" i="1"/>
  <c r="P135" i="1"/>
  <c r="O135" i="1"/>
  <c r="Q135" i="1" s="1"/>
  <c r="M135" i="1"/>
  <c r="K135" i="1"/>
  <c r="J135" i="1"/>
  <c r="L135" i="1" s="1"/>
  <c r="G135" i="1"/>
  <c r="F135" i="1"/>
  <c r="E135" i="1"/>
  <c r="D135" i="1"/>
  <c r="C135" i="1"/>
  <c r="B135" i="1"/>
  <c r="N135" i="1" s="1"/>
  <c r="K134" i="1"/>
  <c r="M134" i="1" s="1"/>
  <c r="J134" i="1"/>
  <c r="G134" i="1"/>
  <c r="I134" i="1" s="1"/>
  <c r="F134" i="1"/>
  <c r="D134" i="1"/>
  <c r="C134" i="1"/>
  <c r="B134" i="1"/>
  <c r="N134" i="1" s="1"/>
  <c r="K133" i="1"/>
  <c r="J133" i="1"/>
  <c r="H133" i="1"/>
  <c r="G133" i="1"/>
  <c r="I133" i="1" s="1"/>
  <c r="F133" i="1"/>
  <c r="E133" i="1"/>
  <c r="D133" i="1"/>
  <c r="C133" i="1"/>
  <c r="B133" i="1"/>
  <c r="O132" i="1"/>
  <c r="M132" i="1"/>
  <c r="K132" i="1"/>
  <c r="J132" i="1"/>
  <c r="L132" i="1" s="1"/>
  <c r="G132" i="1"/>
  <c r="I132" i="1" s="1"/>
  <c r="F132" i="1"/>
  <c r="E132" i="1"/>
  <c r="D132" i="1"/>
  <c r="C132" i="1"/>
  <c r="B132" i="1"/>
  <c r="L131" i="1"/>
  <c r="K131" i="1"/>
  <c r="M131" i="1" s="1"/>
  <c r="J131" i="1"/>
  <c r="G131" i="1"/>
  <c r="I131" i="1" s="1"/>
  <c r="F131" i="1"/>
  <c r="C131" i="1"/>
  <c r="B131" i="1"/>
  <c r="M130" i="1"/>
  <c r="L130" i="1"/>
  <c r="K130" i="1"/>
  <c r="J130" i="1"/>
  <c r="G130" i="1"/>
  <c r="I130" i="1" s="1"/>
  <c r="F130" i="1"/>
  <c r="D130" i="1"/>
  <c r="C130" i="1"/>
  <c r="O130" i="1" s="1"/>
  <c r="B130" i="1"/>
  <c r="N130" i="1" s="1"/>
  <c r="O129" i="1"/>
  <c r="N129" i="1"/>
  <c r="M129" i="1"/>
  <c r="K129" i="1"/>
  <c r="L129" i="1" s="1"/>
  <c r="G129" i="1"/>
  <c r="H129" i="1" s="1"/>
  <c r="C129" i="1"/>
  <c r="Q128" i="1"/>
  <c r="P128" i="1"/>
  <c r="K128" i="1"/>
  <c r="J128" i="1"/>
  <c r="M128" i="1" s="1"/>
  <c r="H128" i="1"/>
  <c r="G128" i="1"/>
  <c r="O128" i="1" s="1"/>
  <c r="F128" i="1"/>
  <c r="C128" i="1"/>
  <c r="B128" i="1"/>
  <c r="N128" i="1" s="1"/>
  <c r="L127" i="1"/>
  <c r="K127" i="1"/>
  <c r="J127" i="1"/>
  <c r="M127" i="1" s="1"/>
  <c r="G127" i="1"/>
  <c r="F127" i="1"/>
  <c r="C127" i="1"/>
  <c r="B127" i="1"/>
  <c r="N127" i="1" s="1"/>
  <c r="M126" i="1"/>
  <c r="K126" i="1"/>
  <c r="J126" i="1"/>
  <c r="L126" i="1" s="1"/>
  <c r="G126" i="1"/>
  <c r="F126" i="1"/>
  <c r="E126" i="1"/>
  <c r="C126" i="1"/>
  <c r="B126" i="1"/>
  <c r="N126" i="1" s="1"/>
  <c r="N125" i="1"/>
  <c r="M125" i="1"/>
  <c r="L125" i="1"/>
  <c r="K125" i="1"/>
  <c r="G125" i="1"/>
  <c r="E125" i="1"/>
  <c r="C125" i="1"/>
  <c r="D125" i="1" s="1"/>
  <c r="M124" i="1"/>
  <c r="L124" i="1"/>
  <c r="K124" i="1"/>
  <c r="I124" i="1"/>
  <c r="H124" i="1"/>
  <c r="G124" i="1"/>
  <c r="F124" i="1"/>
  <c r="N124" i="1" s="1"/>
  <c r="P124" i="1" s="1"/>
  <c r="C124" i="1"/>
  <c r="O124" i="1" s="1"/>
  <c r="Q124" i="1" s="1"/>
  <c r="B124" i="1"/>
  <c r="K123" i="1"/>
  <c r="M123" i="1" s="1"/>
  <c r="J123" i="1"/>
  <c r="G123" i="1"/>
  <c r="F123" i="1"/>
  <c r="C123" i="1"/>
  <c r="O123" i="1" s="1"/>
  <c r="B123" i="1"/>
  <c r="Q122" i="1"/>
  <c r="O122" i="1"/>
  <c r="N122" i="1"/>
  <c r="P122" i="1" s="1"/>
  <c r="M122" i="1"/>
  <c r="L122" i="1"/>
  <c r="I122" i="1"/>
  <c r="H122" i="1"/>
  <c r="E122" i="1"/>
  <c r="D122" i="1"/>
  <c r="F121" i="1"/>
  <c r="M120" i="1"/>
  <c r="K120" i="1"/>
  <c r="J120" i="1"/>
  <c r="L120" i="1" s="1"/>
  <c r="G120" i="1"/>
  <c r="F120" i="1"/>
  <c r="H120" i="1" s="1"/>
  <c r="C120" i="1"/>
  <c r="O120" i="1" s="1"/>
  <c r="B120" i="1"/>
  <c r="O119" i="1"/>
  <c r="Q119" i="1" s="1"/>
  <c r="M119" i="1"/>
  <c r="L119" i="1"/>
  <c r="I119" i="1"/>
  <c r="H119" i="1"/>
  <c r="E119" i="1"/>
  <c r="B119" i="1"/>
  <c r="N118" i="1"/>
  <c r="K118" i="1"/>
  <c r="L118" i="1" s="1"/>
  <c r="H118" i="1"/>
  <c r="G118" i="1"/>
  <c r="I118" i="1" s="1"/>
  <c r="C118" i="1"/>
  <c r="K117" i="1"/>
  <c r="M117" i="1" s="1"/>
  <c r="J117" i="1"/>
  <c r="G117" i="1"/>
  <c r="F117" i="1"/>
  <c r="H117" i="1" s="1"/>
  <c r="C117" i="1"/>
  <c r="B117" i="1"/>
  <c r="O116" i="1"/>
  <c r="K116" i="1"/>
  <c r="M116" i="1" s="1"/>
  <c r="J116" i="1"/>
  <c r="G116" i="1"/>
  <c r="F116" i="1"/>
  <c r="H116" i="1" s="1"/>
  <c r="E116" i="1"/>
  <c r="C116" i="1"/>
  <c r="B116" i="1"/>
  <c r="D116" i="1" s="1"/>
  <c r="N115" i="1"/>
  <c r="M115" i="1"/>
  <c r="K115" i="1"/>
  <c r="L115" i="1" s="1"/>
  <c r="I115" i="1"/>
  <c r="G115" i="1"/>
  <c r="H115" i="1" s="1"/>
  <c r="E115" i="1"/>
  <c r="D115" i="1"/>
  <c r="C115" i="1"/>
  <c r="O114" i="1"/>
  <c r="M114" i="1"/>
  <c r="L114" i="1"/>
  <c r="K114" i="1"/>
  <c r="J114" i="1"/>
  <c r="H114" i="1"/>
  <c r="G114" i="1"/>
  <c r="I114" i="1" s="1"/>
  <c r="F114" i="1"/>
  <c r="E114" i="1"/>
  <c r="D114" i="1"/>
  <c r="C114" i="1"/>
  <c r="B114" i="1"/>
  <c r="K113" i="1"/>
  <c r="J113" i="1"/>
  <c r="L113" i="1" s="1"/>
  <c r="H113" i="1"/>
  <c r="G113" i="1"/>
  <c r="I113" i="1" s="1"/>
  <c r="F113" i="1"/>
  <c r="C113" i="1"/>
  <c r="B113" i="1"/>
  <c r="M112" i="1"/>
  <c r="L112" i="1"/>
  <c r="K112" i="1"/>
  <c r="J112" i="1"/>
  <c r="J121" i="1" s="1"/>
  <c r="G112" i="1"/>
  <c r="F112" i="1"/>
  <c r="E112" i="1"/>
  <c r="C112" i="1"/>
  <c r="B112" i="1"/>
  <c r="N112" i="1" s="1"/>
  <c r="O111" i="1"/>
  <c r="Q111" i="1" s="1"/>
  <c r="N111" i="1"/>
  <c r="M111" i="1"/>
  <c r="L111" i="1"/>
  <c r="I111" i="1"/>
  <c r="H111" i="1"/>
  <c r="E111" i="1"/>
  <c r="D111" i="1"/>
  <c r="O109" i="1"/>
  <c r="K109" i="1"/>
  <c r="J109" i="1"/>
  <c r="I109" i="1"/>
  <c r="G109" i="1"/>
  <c r="F109" i="1"/>
  <c r="H109" i="1" s="1"/>
  <c r="C109" i="1"/>
  <c r="B109" i="1"/>
  <c r="O108" i="1"/>
  <c r="Q108" i="1" s="1"/>
  <c r="N108" i="1"/>
  <c r="M108" i="1"/>
  <c r="L108" i="1"/>
  <c r="K108" i="1"/>
  <c r="I108" i="1"/>
  <c r="H108" i="1"/>
  <c r="G108" i="1"/>
  <c r="E108" i="1"/>
  <c r="C108" i="1"/>
  <c r="D108" i="1" s="1"/>
  <c r="K107" i="1"/>
  <c r="J107" i="1"/>
  <c r="L107" i="1" s="1"/>
  <c r="G107" i="1"/>
  <c r="I107" i="1" s="1"/>
  <c r="F107" i="1"/>
  <c r="C107" i="1"/>
  <c r="E107" i="1" s="1"/>
  <c r="N106" i="1"/>
  <c r="K106" i="1"/>
  <c r="M106" i="1" s="1"/>
  <c r="J106" i="1"/>
  <c r="G106" i="1"/>
  <c r="E106" i="1"/>
  <c r="D106" i="1"/>
  <c r="C106" i="1"/>
  <c r="B106" i="1"/>
  <c r="M105" i="1"/>
  <c r="L105" i="1"/>
  <c r="K105" i="1"/>
  <c r="J105" i="1"/>
  <c r="G105" i="1"/>
  <c r="F105" i="1"/>
  <c r="N105" i="1" s="1"/>
  <c r="P105" i="1" s="1"/>
  <c r="E105" i="1"/>
  <c r="D105" i="1"/>
  <c r="C105" i="1"/>
  <c r="O105" i="1" s="1"/>
  <c r="M104" i="1"/>
  <c r="L104" i="1"/>
  <c r="K104" i="1"/>
  <c r="J104" i="1"/>
  <c r="I104" i="1"/>
  <c r="H104" i="1"/>
  <c r="G104" i="1"/>
  <c r="F104" i="1"/>
  <c r="E104" i="1"/>
  <c r="D104" i="1"/>
  <c r="C104" i="1"/>
  <c r="O104" i="1" s="1"/>
  <c r="B104" i="1"/>
  <c r="N104" i="1" s="1"/>
  <c r="P104" i="1" s="1"/>
  <c r="Q103" i="1"/>
  <c r="O103" i="1"/>
  <c r="M103" i="1"/>
  <c r="L103" i="1"/>
  <c r="I103" i="1"/>
  <c r="F103" i="1"/>
  <c r="H103" i="1" s="1"/>
  <c r="E103" i="1"/>
  <c r="D103" i="1"/>
  <c r="O102" i="1"/>
  <c r="Q102" i="1" s="1"/>
  <c r="M102" i="1"/>
  <c r="L102" i="1"/>
  <c r="I102" i="1"/>
  <c r="H102" i="1"/>
  <c r="E102" i="1"/>
  <c r="D102" i="1"/>
  <c r="B102" i="1"/>
  <c r="N102" i="1" s="1"/>
  <c r="P102" i="1" s="1"/>
  <c r="N101" i="1"/>
  <c r="K101" i="1"/>
  <c r="I101" i="1"/>
  <c r="H101" i="1"/>
  <c r="G101" i="1"/>
  <c r="E101" i="1"/>
  <c r="D101" i="1"/>
  <c r="C101" i="1"/>
  <c r="O100" i="1"/>
  <c r="N100" i="1"/>
  <c r="M100" i="1"/>
  <c r="J100" i="1"/>
  <c r="L100" i="1" s="1"/>
  <c r="I100" i="1"/>
  <c r="F100" i="1"/>
  <c r="H100" i="1" s="1"/>
  <c r="E100" i="1"/>
  <c r="D100" i="1"/>
  <c r="B100" i="1"/>
  <c r="M99" i="1"/>
  <c r="K99" i="1"/>
  <c r="L99" i="1" s="1"/>
  <c r="J99" i="1"/>
  <c r="G99" i="1"/>
  <c r="I99" i="1" s="1"/>
  <c r="F99" i="1"/>
  <c r="H99" i="1" s="1"/>
  <c r="C99" i="1"/>
  <c r="B99" i="1"/>
  <c r="N98" i="1"/>
  <c r="M98" i="1"/>
  <c r="L98" i="1"/>
  <c r="K98" i="1"/>
  <c r="I98" i="1"/>
  <c r="G98" i="1"/>
  <c r="H98" i="1" s="1"/>
  <c r="C98" i="1"/>
  <c r="K97" i="1"/>
  <c r="M97" i="1" s="1"/>
  <c r="J97" i="1"/>
  <c r="L97" i="1" s="1"/>
  <c r="I97" i="1"/>
  <c r="H97" i="1"/>
  <c r="G97" i="1"/>
  <c r="F97" i="1"/>
  <c r="C97" i="1"/>
  <c r="O97" i="1" s="1"/>
  <c r="B97" i="1"/>
  <c r="K96" i="1"/>
  <c r="J96" i="1"/>
  <c r="L96" i="1" s="1"/>
  <c r="I96" i="1"/>
  <c r="H96" i="1"/>
  <c r="G96" i="1"/>
  <c r="F96" i="1"/>
  <c r="C96" i="1"/>
  <c r="O96" i="1" s="1"/>
  <c r="B96" i="1"/>
  <c r="K95" i="1"/>
  <c r="J95" i="1"/>
  <c r="L95" i="1" s="1"/>
  <c r="I95" i="1"/>
  <c r="H95" i="1"/>
  <c r="G95" i="1"/>
  <c r="F95" i="1"/>
  <c r="C95" i="1"/>
  <c r="O95" i="1" s="1"/>
  <c r="B95" i="1"/>
  <c r="P94" i="1"/>
  <c r="N94" i="1"/>
  <c r="K94" i="1"/>
  <c r="M94" i="1" s="1"/>
  <c r="I94" i="1"/>
  <c r="H94" i="1"/>
  <c r="G94" i="1"/>
  <c r="D94" i="1"/>
  <c r="C94" i="1"/>
  <c r="O94" i="1" s="1"/>
  <c r="Q94" i="1" s="1"/>
  <c r="O93" i="1"/>
  <c r="Q93" i="1" s="1"/>
  <c r="M93" i="1"/>
  <c r="J93" i="1"/>
  <c r="L93" i="1" s="1"/>
  <c r="I93" i="1"/>
  <c r="F93" i="1"/>
  <c r="H93" i="1" s="1"/>
  <c r="E93" i="1"/>
  <c r="B93" i="1"/>
  <c r="N93" i="1" s="1"/>
  <c r="K92" i="1"/>
  <c r="J92" i="1"/>
  <c r="L92" i="1" s="1"/>
  <c r="G92" i="1"/>
  <c r="I92" i="1" s="1"/>
  <c r="F92" i="1"/>
  <c r="H92" i="1" s="1"/>
  <c r="C92" i="1"/>
  <c r="B92" i="1"/>
  <c r="N92" i="1" s="1"/>
  <c r="K91" i="1"/>
  <c r="J91" i="1"/>
  <c r="G91" i="1"/>
  <c r="I91" i="1" s="1"/>
  <c r="F91" i="1"/>
  <c r="H91" i="1" s="1"/>
  <c r="C91" i="1"/>
  <c r="B91" i="1"/>
  <c r="O90" i="1"/>
  <c r="Q90" i="1" s="1"/>
  <c r="N90" i="1"/>
  <c r="P90" i="1" s="1"/>
  <c r="M90" i="1"/>
  <c r="L90" i="1"/>
  <c r="I90" i="1"/>
  <c r="H90" i="1"/>
  <c r="E90" i="1"/>
  <c r="D90" i="1"/>
  <c r="N88" i="1"/>
  <c r="M88" i="1"/>
  <c r="L88" i="1"/>
  <c r="K88" i="1"/>
  <c r="I88" i="1"/>
  <c r="G88" i="1"/>
  <c r="H88" i="1" s="1"/>
  <c r="C88" i="1"/>
  <c r="Q87" i="1"/>
  <c r="O87" i="1"/>
  <c r="M87" i="1"/>
  <c r="L87" i="1"/>
  <c r="I87" i="1"/>
  <c r="H87" i="1"/>
  <c r="F87" i="1"/>
  <c r="N87" i="1" s="1"/>
  <c r="P87" i="1" s="1"/>
  <c r="E87" i="1"/>
  <c r="D87" i="1"/>
  <c r="M86" i="1"/>
  <c r="L86" i="1"/>
  <c r="K86" i="1"/>
  <c r="J86" i="1"/>
  <c r="G86" i="1"/>
  <c r="F86" i="1"/>
  <c r="E86" i="1"/>
  <c r="D86" i="1"/>
  <c r="C86" i="1"/>
  <c r="B86" i="1"/>
  <c r="N85" i="1"/>
  <c r="M85" i="1"/>
  <c r="L85" i="1"/>
  <c r="K85" i="1"/>
  <c r="I85" i="1"/>
  <c r="G85" i="1"/>
  <c r="H85" i="1" s="1"/>
  <c r="C85" i="1"/>
  <c r="K84" i="1"/>
  <c r="M84" i="1" s="1"/>
  <c r="J84" i="1"/>
  <c r="I84" i="1"/>
  <c r="G84" i="1"/>
  <c r="H84" i="1" s="1"/>
  <c r="F84" i="1"/>
  <c r="C84" i="1"/>
  <c r="B84" i="1"/>
  <c r="K83" i="1"/>
  <c r="I83" i="1"/>
  <c r="H83" i="1"/>
  <c r="G83" i="1"/>
  <c r="F83" i="1"/>
  <c r="N83" i="1" s="1"/>
  <c r="C83" i="1"/>
  <c r="P82" i="1"/>
  <c r="O82" i="1"/>
  <c r="Q82" i="1" s="1"/>
  <c r="K82" i="1"/>
  <c r="J82" i="1"/>
  <c r="M82" i="1" s="1"/>
  <c r="I82" i="1"/>
  <c r="H82" i="1"/>
  <c r="G82" i="1"/>
  <c r="F82" i="1"/>
  <c r="N82" i="1" s="1"/>
  <c r="E82" i="1"/>
  <c r="C82" i="1"/>
  <c r="D82" i="1" s="1"/>
  <c r="O81" i="1"/>
  <c r="Q81" i="1" s="1"/>
  <c r="N81" i="1"/>
  <c r="K81" i="1"/>
  <c r="M81" i="1" s="1"/>
  <c r="J81" i="1"/>
  <c r="G81" i="1"/>
  <c r="I81" i="1" s="1"/>
  <c r="F81" i="1"/>
  <c r="H81" i="1" s="1"/>
  <c r="C81" i="1"/>
  <c r="E81" i="1" s="1"/>
  <c r="B81" i="1"/>
  <c r="D81" i="1" s="1"/>
  <c r="O80" i="1"/>
  <c r="K80" i="1"/>
  <c r="M80" i="1" s="1"/>
  <c r="G80" i="1"/>
  <c r="I80" i="1" s="1"/>
  <c r="F80" i="1"/>
  <c r="E80" i="1"/>
  <c r="C80" i="1"/>
  <c r="B80" i="1"/>
  <c r="D80" i="1" s="1"/>
  <c r="O79" i="1"/>
  <c r="Q79" i="1" s="1"/>
  <c r="M79" i="1"/>
  <c r="L79" i="1"/>
  <c r="I79" i="1"/>
  <c r="F79" i="1"/>
  <c r="H79" i="1" s="1"/>
  <c r="E79" i="1"/>
  <c r="B79" i="1"/>
  <c r="N79" i="1" s="1"/>
  <c r="Q78" i="1"/>
  <c r="O78" i="1"/>
  <c r="M78" i="1"/>
  <c r="L78" i="1"/>
  <c r="I78" i="1"/>
  <c r="H78" i="1"/>
  <c r="F78" i="1"/>
  <c r="E78" i="1"/>
  <c r="D78" i="1"/>
  <c r="B78" i="1"/>
  <c r="N77" i="1"/>
  <c r="M77" i="1"/>
  <c r="K77" i="1"/>
  <c r="K89" i="1" s="1"/>
  <c r="G77" i="1"/>
  <c r="F77" i="1"/>
  <c r="E77" i="1"/>
  <c r="D77" i="1"/>
  <c r="C77" i="1"/>
  <c r="B77" i="1"/>
  <c r="O76" i="1"/>
  <c r="Q76" i="1" s="1"/>
  <c r="N76" i="1"/>
  <c r="P76" i="1" s="1"/>
  <c r="M76" i="1"/>
  <c r="L76" i="1"/>
  <c r="I76" i="1"/>
  <c r="H76" i="1"/>
  <c r="E76" i="1"/>
  <c r="D76" i="1"/>
  <c r="O74" i="1"/>
  <c r="Q74" i="1" s="1"/>
  <c r="N74" i="1"/>
  <c r="K74" i="1"/>
  <c r="M74" i="1" s="1"/>
  <c r="H74" i="1"/>
  <c r="G74" i="1"/>
  <c r="I74" i="1" s="1"/>
  <c r="E74" i="1"/>
  <c r="D74" i="1"/>
  <c r="C74" i="1"/>
  <c r="B74" i="1"/>
  <c r="N73" i="1"/>
  <c r="M73" i="1"/>
  <c r="L73" i="1"/>
  <c r="K73" i="1"/>
  <c r="I73" i="1"/>
  <c r="G73" i="1"/>
  <c r="H73" i="1" s="1"/>
  <c r="E73" i="1"/>
  <c r="C73" i="1"/>
  <c r="O73" i="1" s="1"/>
  <c r="Q73" i="1" s="1"/>
  <c r="K72" i="1"/>
  <c r="J72" i="1"/>
  <c r="L72" i="1" s="1"/>
  <c r="I72" i="1"/>
  <c r="G72" i="1"/>
  <c r="F72" i="1"/>
  <c r="H72" i="1" s="1"/>
  <c r="C72" i="1"/>
  <c r="B72" i="1"/>
  <c r="Q71" i="1"/>
  <c r="O71" i="1"/>
  <c r="M71" i="1"/>
  <c r="L71" i="1"/>
  <c r="J71" i="1"/>
  <c r="I71" i="1"/>
  <c r="H71" i="1"/>
  <c r="F71" i="1"/>
  <c r="E71" i="1"/>
  <c r="B71" i="1"/>
  <c r="N71" i="1" s="1"/>
  <c r="P71" i="1" s="1"/>
  <c r="N70" i="1"/>
  <c r="L70" i="1"/>
  <c r="K70" i="1"/>
  <c r="M70" i="1" s="1"/>
  <c r="J70" i="1"/>
  <c r="G70" i="1"/>
  <c r="H70" i="1" s="1"/>
  <c r="F70" i="1"/>
  <c r="F75" i="1" s="1"/>
  <c r="D70" i="1"/>
  <c r="C70" i="1"/>
  <c r="E70" i="1" s="1"/>
  <c r="B70" i="1"/>
  <c r="B75" i="1" s="1"/>
  <c r="O69" i="1"/>
  <c r="Q69" i="1" s="1"/>
  <c r="N69" i="1"/>
  <c r="P69" i="1" s="1"/>
  <c r="M69" i="1"/>
  <c r="L69" i="1"/>
  <c r="I69" i="1"/>
  <c r="H69" i="1"/>
  <c r="E69" i="1"/>
  <c r="D69" i="1"/>
  <c r="J68" i="1"/>
  <c r="F68" i="1"/>
  <c r="C68" i="1"/>
  <c r="B68" i="1"/>
  <c r="K67" i="1"/>
  <c r="H67" i="1"/>
  <c r="G67" i="1"/>
  <c r="I67" i="1" s="1"/>
  <c r="F67" i="1"/>
  <c r="C67" i="1"/>
  <c r="E67" i="1" s="1"/>
  <c r="B67" i="1"/>
  <c r="N66" i="1"/>
  <c r="K66" i="1"/>
  <c r="M66" i="1" s="1"/>
  <c r="G66" i="1"/>
  <c r="E66" i="1"/>
  <c r="D66" i="1"/>
  <c r="C66" i="1"/>
  <c r="P65" i="1"/>
  <c r="O65" i="1"/>
  <c r="Q65" i="1" s="1"/>
  <c r="N65" i="1"/>
  <c r="M65" i="1"/>
  <c r="L65" i="1"/>
  <c r="I65" i="1"/>
  <c r="H65" i="1"/>
  <c r="E65" i="1"/>
  <c r="D65" i="1"/>
  <c r="G64" i="1"/>
  <c r="B64" i="1"/>
  <c r="O63" i="1"/>
  <c r="Q63" i="1" s="1"/>
  <c r="N63" i="1"/>
  <c r="M63" i="1"/>
  <c r="K63" i="1"/>
  <c r="L63" i="1" s="1"/>
  <c r="I63" i="1"/>
  <c r="H63" i="1"/>
  <c r="G63" i="1"/>
  <c r="E63" i="1"/>
  <c r="D63" i="1"/>
  <c r="C63" i="1"/>
  <c r="K62" i="1"/>
  <c r="J62" i="1"/>
  <c r="G62" i="1"/>
  <c r="I62" i="1" s="1"/>
  <c r="C62" i="1"/>
  <c r="Q61" i="1"/>
  <c r="O61" i="1"/>
  <c r="M61" i="1"/>
  <c r="L61" i="1"/>
  <c r="I61" i="1"/>
  <c r="F61" i="1"/>
  <c r="F64" i="1" s="1"/>
  <c r="E61" i="1"/>
  <c r="B61" i="1"/>
  <c r="D61" i="1" s="1"/>
  <c r="Q60" i="1"/>
  <c r="O60" i="1"/>
  <c r="N60" i="1"/>
  <c r="P60" i="1" s="1"/>
  <c r="M60" i="1"/>
  <c r="L60" i="1"/>
  <c r="I60" i="1"/>
  <c r="H60" i="1"/>
  <c r="E60" i="1"/>
  <c r="D60" i="1"/>
  <c r="B59" i="1"/>
  <c r="K58" i="1"/>
  <c r="M58" i="1" s="1"/>
  <c r="J58" i="1"/>
  <c r="L58" i="1" s="1"/>
  <c r="G58" i="1"/>
  <c r="F58" i="1"/>
  <c r="C58" i="1"/>
  <c r="E58" i="1" s="1"/>
  <c r="M57" i="1"/>
  <c r="K57" i="1"/>
  <c r="J57" i="1"/>
  <c r="L57" i="1" s="1"/>
  <c r="G57" i="1"/>
  <c r="G59" i="1" s="1"/>
  <c r="F57" i="1"/>
  <c r="E57" i="1"/>
  <c r="C57" i="1"/>
  <c r="D57" i="1" s="1"/>
  <c r="Q56" i="1"/>
  <c r="O56" i="1"/>
  <c r="N56" i="1"/>
  <c r="P56" i="1" s="1"/>
  <c r="M56" i="1"/>
  <c r="L56" i="1"/>
  <c r="I56" i="1"/>
  <c r="F56" i="1"/>
  <c r="H56" i="1" s="1"/>
  <c r="E56" i="1"/>
  <c r="D56" i="1"/>
  <c r="O55" i="1"/>
  <c r="P55" i="1" s="1"/>
  <c r="N55" i="1"/>
  <c r="L55" i="1"/>
  <c r="K55" i="1"/>
  <c r="M55" i="1" s="1"/>
  <c r="G55" i="1"/>
  <c r="I55" i="1" s="1"/>
  <c r="E55" i="1"/>
  <c r="C55" i="1"/>
  <c r="D55" i="1" s="1"/>
  <c r="N54" i="1"/>
  <c r="P54" i="1" s="1"/>
  <c r="M54" i="1"/>
  <c r="L54" i="1"/>
  <c r="K54" i="1"/>
  <c r="J54" i="1"/>
  <c r="G54" i="1"/>
  <c r="O54" i="1" s="1"/>
  <c r="F54" i="1"/>
  <c r="E54" i="1"/>
  <c r="D54" i="1"/>
  <c r="C54" i="1"/>
  <c r="B54" i="1"/>
  <c r="M53" i="1"/>
  <c r="L53" i="1"/>
  <c r="K53" i="1"/>
  <c r="J53" i="1"/>
  <c r="G53" i="1"/>
  <c r="F53" i="1"/>
  <c r="E53" i="1"/>
  <c r="D53" i="1"/>
  <c r="C53" i="1"/>
  <c r="O53" i="1" s="1"/>
  <c r="B53" i="1"/>
  <c r="N52" i="1"/>
  <c r="M52" i="1"/>
  <c r="L52" i="1"/>
  <c r="K52" i="1"/>
  <c r="J52" i="1"/>
  <c r="G52" i="1"/>
  <c r="F52" i="1"/>
  <c r="E52" i="1"/>
  <c r="D52" i="1"/>
  <c r="C52" i="1"/>
  <c r="O52" i="1" s="1"/>
  <c r="Q52" i="1" s="1"/>
  <c r="B52" i="1"/>
  <c r="N51" i="1"/>
  <c r="M51" i="1"/>
  <c r="L51" i="1"/>
  <c r="K51" i="1"/>
  <c r="J51" i="1"/>
  <c r="G51" i="1"/>
  <c r="F51" i="1"/>
  <c r="E51" i="1"/>
  <c r="D51" i="1"/>
  <c r="C51" i="1"/>
  <c r="O51" i="1" s="1"/>
  <c r="Q51" i="1" s="1"/>
  <c r="B51" i="1"/>
  <c r="M50" i="1"/>
  <c r="L50" i="1"/>
  <c r="K50" i="1"/>
  <c r="J50" i="1"/>
  <c r="G50" i="1"/>
  <c r="F50" i="1"/>
  <c r="E50" i="1"/>
  <c r="D50" i="1"/>
  <c r="C50" i="1"/>
  <c r="O50" i="1" s="1"/>
  <c r="B50" i="1"/>
  <c r="N49" i="1"/>
  <c r="M49" i="1"/>
  <c r="L49" i="1"/>
  <c r="K49" i="1"/>
  <c r="J49" i="1"/>
  <c r="G49" i="1"/>
  <c r="F49" i="1"/>
  <c r="E49" i="1"/>
  <c r="D49" i="1"/>
  <c r="C49" i="1"/>
  <c r="O49" i="1" s="1"/>
  <c r="Q49" i="1" s="1"/>
  <c r="B49" i="1"/>
  <c r="Q48" i="1"/>
  <c r="O48" i="1"/>
  <c r="N48" i="1"/>
  <c r="P48" i="1" s="1"/>
  <c r="M48" i="1"/>
  <c r="L48" i="1"/>
  <c r="I48" i="1"/>
  <c r="H48" i="1"/>
  <c r="E48" i="1"/>
  <c r="D48" i="1"/>
  <c r="K46" i="1"/>
  <c r="G46" i="1"/>
  <c r="F46" i="1"/>
  <c r="H46" i="1" s="1"/>
  <c r="C46" i="1"/>
  <c r="B46" i="1"/>
  <c r="K45" i="1"/>
  <c r="J45" i="1"/>
  <c r="L45" i="1" s="1"/>
  <c r="G45" i="1"/>
  <c r="F45" i="1"/>
  <c r="H45" i="1" s="1"/>
  <c r="E45" i="1"/>
  <c r="C45" i="1"/>
  <c r="B45" i="1"/>
  <c r="D45" i="1" s="1"/>
  <c r="O44" i="1"/>
  <c r="Q44" i="1" s="1"/>
  <c r="N44" i="1"/>
  <c r="M44" i="1"/>
  <c r="K44" i="1"/>
  <c r="L44" i="1" s="1"/>
  <c r="I44" i="1"/>
  <c r="G44" i="1"/>
  <c r="F44" i="1"/>
  <c r="H44" i="1" s="1"/>
  <c r="E44" i="1"/>
  <c r="D44" i="1"/>
  <c r="C44" i="1"/>
  <c r="B44" i="1"/>
  <c r="N43" i="1"/>
  <c r="P43" i="1" s="1"/>
  <c r="M43" i="1"/>
  <c r="L43" i="1"/>
  <c r="K43" i="1"/>
  <c r="J43" i="1"/>
  <c r="G43" i="1"/>
  <c r="F43" i="1"/>
  <c r="H43" i="1" s="1"/>
  <c r="E43" i="1"/>
  <c r="D43" i="1"/>
  <c r="C43" i="1"/>
  <c r="O43" i="1" s="1"/>
  <c r="B43" i="1"/>
  <c r="M42" i="1"/>
  <c r="L42" i="1"/>
  <c r="K42" i="1"/>
  <c r="J42" i="1"/>
  <c r="G42" i="1"/>
  <c r="F42" i="1"/>
  <c r="H42" i="1" s="1"/>
  <c r="E42" i="1"/>
  <c r="D42" i="1"/>
  <c r="C42" i="1"/>
  <c r="O42" i="1" s="1"/>
  <c r="B42" i="1"/>
  <c r="L41" i="1"/>
  <c r="Q40" i="1"/>
  <c r="O40" i="1"/>
  <c r="N40" i="1"/>
  <c r="P40" i="1" s="1"/>
  <c r="M40" i="1"/>
  <c r="L40" i="1"/>
  <c r="J40" i="1"/>
  <c r="I40" i="1"/>
  <c r="H40" i="1"/>
  <c r="F40" i="1"/>
  <c r="E40" i="1"/>
  <c r="D40" i="1"/>
  <c r="Q39" i="1"/>
  <c r="O39" i="1"/>
  <c r="M39" i="1"/>
  <c r="L39" i="1"/>
  <c r="I39" i="1"/>
  <c r="F39" i="1"/>
  <c r="H39" i="1" s="1"/>
  <c r="E39" i="1"/>
  <c r="B39" i="1"/>
  <c r="D39" i="1" s="1"/>
  <c r="N38" i="1"/>
  <c r="M38" i="1"/>
  <c r="L38" i="1"/>
  <c r="K38" i="1"/>
  <c r="K41" i="1" s="1"/>
  <c r="J38" i="1"/>
  <c r="J41" i="1" s="1"/>
  <c r="M41" i="1" s="1"/>
  <c r="G38" i="1"/>
  <c r="G41" i="1" s="1"/>
  <c r="F38" i="1"/>
  <c r="H38" i="1" s="1"/>
  <c r="E38" i="1"/>
  <c r="D38" i="1"/>
  <c r="C38" i="1"/>
  <c r="C41" i="1" s="1"/>
  <c r="B38" i="1"/>
  <c r="B41" i="1" s="1"/>
  <c r="N37" i="1"/>
  <c r="M37" i="1"/>
  <c r="L37" i="1"/>
  <c r="K37" i="1"/>
  <c r="J37" i="1"/>
  <c r="I37" i="1"/>
  <c r="G37" i="1"/>
  <c r="F37" i="1"/>
  <c r="H37" i="1" s="1"/>
  <c r="E37" i="1"/>
  <c r="D37" i="1"/>
  <c r="C37" i="1"/>
  <c r="O37" i="1" s="1"/>
  <c r="Q37" i="1" s="1"/>
  <c r="B37" i="1"/>
  <c r="Q36" i="1"/>
  <c r="O36" i="1"/>
  <c r="M36" i="1"/>
  <c r="L36" i="1"/>
  <c r="I36" i="1"/>
  <c r="F36" i="1"/>
  <c r="H36" i="1" s="1"/>
  <c r="E36" i="1"/>
  <c r="D36" i="1"/>
  <c r="N35" i="1"/>
  <c r="L35" i="1"/>
  <c r="K35" i="1"/>
  <c r="M35" i="1" s="1"/>
  <c r="G35" i="1"/>
  <c r="I35" i="1" s="1"/>
  <c r="E35" i="1"/>
  <c r="C35" i="1"/>
  <c r="D35" i="1" s="1"/>
  <c r="Q34" i="1"/>
  <c r="O34" i="1"/>
  <c r="M34" i="1"/>
  <c r="L34" i="1"/>
  <c r="I34" i="1"/>
  <c r="F34" i="1"/>
  <c r="E34" i="1"/>
  <c r="D34" i="1"/>
  <c r="O33" i="1"/>
  <c r="Q33" i="1" s="1"/>
  <c r="M33" i="1"/>
  <c r="L33" i="1"/>
  <c r="I33" i="1"/>
  <c r="F33" i="1"/>
  <c r="E33" i="1"/>
  <c r="D33" i="1"/>
  <c r="N32" i="1"/>
  <c r="K32" i="1"/>
  <c r="M32" i="1" s="1"/>
  <c r="I32" i="1"/>
  <c r="G32" i="1"/>
  <c r="H32" i="1" s="1"/>
  <c r="E32" i="1"/>
  <c r="D32" i="1"/>
  <c r="C32" i="1"/>
  <c r="O31" i="1"/>
  <c r="Q31" i="1" s="1"/>
  <c r="N31" i="1"/>
  <c r="L31" i="1"/>
  <c r="K31" i="1"/>
  <c r="M31" i="1" s="1"/>
  <c r="H31" i="1"/>
  <c r="G31" i="1"/>
  <c r="I31" i="1" s="1"/>
  <c r="E31" i="1"/>
  <c r="C31" i="1"/>
  <c r="D31" i="1" s="1"/>
  <c r="N30" i="1"/>
  <c r="M30" i="1"/>
  <c r="L30" i="1"/>
  <c r="K30" i="1"/>
  <c r="J30" i="1"/>
  <c r="G30" i="1"/>
  <c r="F30" i="1"/>
  <c r="H30" i="1" s="1"/>
  <c r="E30" i="1"/>
  <c r="D30" i="1"/>
  <c r="C30" i="1"/>
  <c r="O30" i="1" s="1"/>
  <c r="B30" i="1"/>
  <c r="N29" i="1"/>
  <c r="M29" i="1"/>
  <c r="L29" i="1"/>
  <c r="K29" i="1"/>
  <c r="J29" i="1"/>
  <c r="G29" i="1"/>
  <c r="F29" i="1"/>
  <c r="H29" i="1" s="1"/>
  <c r="C29" i="1"/>
  <c r="O29" i="1" s="1"/>
  <c r="Q29" i="1" s="1"/>
  <c r="B29" i="1"/>
  <c r="N28" i="1"/>
  <c r="K28" i="1"/>
  <c r="M28" i="1" s="1"/>
  <c r="J28" i="1"/>
  <c r="I28" i="1"/>
  <c r="G28" i="1"/>
  <c r="F28" i="1"/>
  <c r="H28" i="1" s="1"/>
  <c r="D28" i="1"/>
  <c r="C28" i="1"/>
  <c r="B28" i="1"/>
  <c r="N27" i="1"/>
  <c r="M27" i="1"/>
  <c r="K27" i="1"/>
  <c r="L27" i="1" s="1"/>
  <c r="J27" i="1"/>
  <c r="G27" i="1"/>
  <c r="F27" i="1"/>
  <c r="H27" i="1" s="1"/>
  <c r="E27" i="1"/>
  <c r="D27" i="1"/>
  <c r="C27" i="1"/>
  <c r="B27" i="1"/>
  <c r="K26" i="1"/>
  <c r="M26" i="1" s="1"/>
  <c r="J26" i="1"/>
  <c r="G26" i="1"/>
  <c r="F26" i="1"/>
  <c r="H26" i="1" s="1"/>
  <c r="C26" i="1"/>
  <c r="E26" i="1" s="1"/>
  <c r="B26" i="1"/>
  <c r="L25" i="1"/>
  <c r="K25" i="1"/>
  <c r="J25" i="1"/>
  <c r="J47" i="1" s="1"/>
  <c r="G25" i="1"/>
  <c r="F25" i="1"/>
  <c r="C25" i="1"/>
  <c r="O25" i="1" s="1"/>
  <c r="B25" i="1"/>
  <c r="Q24" i="1"/>
  <c r="O24" i="1"/>
  <c r="N24" i="1"/>
  <c r="P24" i="1" s="1"/>
  <c r="M24" i="1"/>
  <c r="L24" i="1"/>
  <c r="I24" i="1"/>
  <c r="H24" i="1"/>
  <c r="E24" i="1"/>
  <c r="D24" i="1"/>
  <c r="G20" i="1"/>
  <c r="O19" i="1"/>
  <c r="Q19" i="1" s="1"/>
  <c r="M19" i="1"/>
  <c r="J19" i="1"/>
  <c r="I19" i="1"/>
  <c r="H19" i="1"/>
  <c r="E19" i="1"/>
  <c r="D19" i="1"/>
  <c r="Q18" i="1"/>
  <c r="O18" i="1"/>
  <c r="N18" i="1"/>
  <c r="P18" i="1" s="1"/>
  <c r="M18" i="1"/>
  <c r="L18" i="1"/>
  <c r="I18" i="1"/>
  <c r="H18" i="1"/>
  <c r="E18" i="1"/>
  <c r="D18" i="1"/>
  <c r="B18" i="1"/>
  <c r="K17" i="1"/>
  <c r="M17" i="1" s="1"/>
  <c r="J17" i="1"/>
  <c r="I17" i="1"/>
  <c r="H17" i="1"/>
  <c r="G17" i="1"/>
  <c r="F17" i="1"/>
  <c r="C17" i="1"/>
  <c r="B17" i="1"/>
  <c r="N17" i="1" s="1"/>
  <c r="K16" i="1"/>
  <c r="M16" i="1" s="1"/>
  <c r="J16" i="1"/>
  <c r="L16" i="1" s="1"/>
  <c r="I16" i="1"/>
  <c r="H16" i="1"/>
  <c r="G16" i="1"/>
  <c r="C16" i="1"/>
  <c r="O16" i="1" s="1"/>
  <c r="B16" i="1"/>
  <c r="D16" i="1" s="1"/>
  <c r="O15" i="1"/>
  <c r="Q15" i="1" s="1"/>
  <c r="K15" i="1"/>
  <c r="M15" i="1" s="1"/>
  <c r="J15" i="1"/>
  <c r="L15" i="1" s="1"/>
  <c r="H15" i="1"/>
  <c r="G15" i="1"/>
  <c r="I15" i="1" s="1"/>
  <c r="F15" i="1"/>
  <c r="N15" i="1" s="1"/>
  <c r="C15" i="1"/>
  <c r="E15" i="1" s="1"/>
  <c r="O14" i="1"/>
  <c r="Q14" i="1" s="1"/>
  <c r="N14" i="1"/>
  <c r="P14" i="1" s="1"/>
  <c r="M14" i="1"/>
  <c r="J14" i="1"/>
  <c r="L14" i="1" s="1"/>
  <c r="I14" i="1"/>
  <c r="H14" i="1"/>
  <c r="E14" i="1"/>
  <c r="D14" i="1"/>
  <c r="Q13" i="1"/>
  <c r="O13" i="1"/>
  <c r="M13" i="1"/>
  <c r="J13" i="1"/>
  <c r="N13" i="1" s="1"/>
  <c r="P13" i="1" s="1"/>
  <c r="I13" i="1"/>
  <c r="H13" i="1"/>
  <c r="F13" i="1"/>
  <c r="E13" i="1"/>
  <c r="D13" i="1"/>
  <c r="N12" i="1"/>
  <c r="P12" i="1" s="1"/>
  <c r="M12" i="1"/>
  <c r="K12" i="1"/>
  <c r="J12" i="1"/>
  <c r="L12" i="1" s="1"/>
  <c r="G12" i="1"/>
  <c r="O12" i="1" s="1"/>
  <c r="F12" i="1"/>
  <c r="H12" i="1" s="1"/>
  <c r="E12" i="1"/>
  <c r="C12" i="1"/>
  <c r="B12" i="1"/>
  <c r="D12" i="1" s="1"/>
  <c r="N11" i="1"/>
  <c r="P11" i="1" s="1"/>
  <c r="M11" i="1"/>
  <c r="K11" i="1"/>
  <c r="J11" i="1"/>
  <c r="L11" i="1" s="1"/>
  <c r="G11" i="1"/>
  <c r="O11" i="1" s="1"/>
  <c r="F11" i="1"/>
  <c r="E11" i="1"/>
  <c r="C11" i="1"/>
  <c r="B11" i="1"/>
  <c r="N10" i="1"/>
  <c r="M10" i="1"/>
  <c r="K10" i="1"/>
  <c r="L10" i="1" s="1"/>
  <c r="G10" i="1"/>
  <c r="I10" i="1" s="1"/>
  <c r="C10" i="1"/>
  <c r="D10" i="1" s="1"/>
  <c r="K9" i="1"/>
  <c r="J9" i="1"/>
  <c r="G9" i="1"/>
  <c r="I9" i="1" s="1"/>
  <c r="C9" i="1"/>
  <c r="D9" i="1" s="1"/>
  <c r="Q8" i="1"/>
  <c r="P8" i="1"/>
  <c r="O8" i="1"/>
  <c r="N8" i="1"/>
  <c r="M8" i="1"/>
  <c r="L8" i="1"/>
  <c r="I8" i="1"/>
  <c r="H8" i="1"/>
  <c r="E8" i="1"/>
  <c r="D8" i="1"/>
  <c r="G21" i="1" l="1"/>
  <c r="O92" i="1"/>
  <c r="Q92" i="1" s="1"/>
  <c r="E92" i="1"/>
  <c r="D92" i="1"/>
  <c r="N91" i="1"/>
  <c r="B110" i="1"/>
  <c r="D91" i="1"/>
  <c r="J20" i="1"/>
  <c r="L9" i="1"/>
  <c r="N9" i="1"/>
  <c r="O88" i="1"/>
  <c r="Q88" i="1" s="1"/>
  <c r="E88" i="1"/>
  <c r="D88" i="1"/>
  <c r="H151" i="1"/>
  <c r="I151" i="1"/>
  <c r="N151" i="1"/>
  <c r="P30" i="1"/>
  <c r="Q30" i="1"/>
  <c r="H64" i="1"/>
  <c r="N147" i="1"/>
  <c r="D147" i="1"/>
  <c r="P15" i="1"/>
  <c r="H34" i="1"/>
  <c r="N34" i="1"/>
  <c r="P34" i="1" s="1"/>
  <c r="O99" i="1"/>
  <c r="E99" i="1"/>
  <c r="D99" i="1"/>
  <c r="I77" i="1"/>
  <c r="G89" i="1"/>
  <c r="I89" i="1" s="1"/>
  <c r="O77" i="1"/>
  <c r="P10" i="1"/>
  <c r="H25" i="1"/>
  <c r="N25" i="1"/>
  <c r="I25" i="1"/>
  <c r="M101" i="1"/>
  <c r="L101" i="1"/>
  <c r="I50" i="1"/>
  <c r="H50" i="1"/>
  <c r="N50" i="1"/>
  <c r="P50" i="1" s="1"/>
  <c r="F59" i="1"/>
  <c r="K20" i="1"/>
  <c r="M9" i="1"/>
  <c r="H58" i="1"/>
  <c r="N58" i="1"/>
  <c r="O10" i="1"/>
  <c r="Q10" i="1" s="1"/>
  <c r="E10" i="1"/>
  <c r="O98" i="1"/>
  <c r="Q98" i="1" s="1"/>
  <c r="E98" i="1"/>
  <c r="D98" i="1"/>
  <c r="L19" i="1"/>
  <c r="N19" i="1"/>
  <c r="P19" i="1" s="1"/>
  <c r="H57" i="1"/>
  <c r="N57" i="1"/>
  <c r="Q11" i="1"/>
  <c r="O41" i="1"/>
  <c r="E41" i="1"/>
  <c r="D41" i="1"/>
  <c r="Q42" i="1"/>
  <c r="N119" i="1"/>
  <c r="P119" i="1" s="1"/>
  <c r="D119" i="1"/>
  <c r="D68" i="1"/>
  <c r="N68" i="1"/>
  <c r="Q100" i="1"/>
  <c r="P100" i="1"/>
  <c r="H86" i="1"/>
  <c r="N86" i="1"/>
  <c r="D46" i="1"/>
  <c r="N46" i="1"/>
  <c r="E46" i="1"/>
  <c r="F20" i="1"/>
  <c r="H11" i="1"/>
  <c r="N41" i="1"/>
  <c r="P41" i="1" s="1"/>
  <c r="Q12" i="1"/>
  <c r="D142" i="1"/>
  <c r="H146" i="1"/>
  <c r="I146" i="1"/>
  <c r="I53" i="1"/>
  <c r="H53" i="1"/>
  <c r="M89" i="1"/>
  <c r="D120" i="1"/>
  <c r="N120" i="1"/>
  <c r="P120" i="1" s="1"/>
  <c r="H35" i="1"/>
  <c r="Q130" i="1"/>
  <c r="P130" i="1"/>
  <c r="O17" i="1"/>
  <c r="Q17" i="1" s="1"/>
  <c r="I30" i="1"/>
  <c r="H61" i="1"/>
  <c r="I11" i="1"/>
  <c r="D17" i="1"/>
  <c r="L17" i="1"/>
  <c r="B47" i="1"/>
  <c r="K47" i="1"/>
  <c r="N26" i="1"/>
  <c r="P26" i="1" s="1"/>
  <c r="I27" i="1"/>
  <c r="O28" i="1"/>
  <c r="Q28" i="1" s="1"/>
  <c r="L28" i="1"/>
  <c r="O32" i="1"/>
  <c r="Q32" i="1" s="1"/>
  <c r="N42" i="1"/>
  <c r="P42" i="1" s="1"/>
  <c r="I43" i="1"/>
  <c r="P44" i="1"/>
  <c r="I46" i="1"/>
  <c r="P52" i="1"/>
  <c r="I54" i="1"/>
  <c r="H54" i="1"/>
  <c r="Q55" i="1"/>
  <c r="J64" i="1"/>
  <c r="N64" i="1" s="1"/>
  <c r="N62" i="1"/>
  <c r="I64" i="1"/>
  <c r="G68" i="1"/>
  <c r="I68" i="1" s="1"/>
  <c r="I66" i="1"/>
  <c r="H66" i="1"/>
  <c r="Q80" i="1"/>
  <c r="P81" i="1"/>
  <c r="I112" i="1"/>
  <c r="H112" i="1"/>
  <c r="O112" i="1"/>
  <c r="G121" i="1"/>
  <c r="I121" i="1" s="1"/>
  <c r="E142" i="1"/>
  <c r="D156" i="1"/>
  <c r="O156" i="1"/>
  <c r="E156" i="1"/>
  <c r="C47" i="1"/>
  <c r="I58" i="1"/>
  <c r="D64" i="1"/>
  <c r="C110" i="1"/>
  <c r="O91" i="1"/>
  <c r="Q91" i="1" s="1"/>
  <c r="E91" i="1"/>
  <c r="P101" i="1"/>
  <c r="L32" i="1"/>
  <c r="I45" i="1"/>
  <c r="E29" i="1"/>
  <c r="O70" i="1"/>
  <c r="G75" i="1"/>
  <c r="I75" i="1" s="1"/>
  <c r="H10" i="1"/>
  <c r="I12" i="1"/>
  <c r="B20" i="1"/>
  <c r="D15" i="1"/>
  <c r="P37" i="1"/>
  <c r="M46" i="1"/>
  <c r="L46" i="1"/>
  <c r="I49" i="1"/>
  <c r="H49" i="1"/>
  <c r="Q54" i="1"/>
  <c r="K64" i="1"/>
  <c r="M64" i="1" s="1"/>
  <c r="M62" i="1"/>
  <c r="I70" i="1"/>
  <c r="F142" i="1"/>
  <c r="I123" i="1"/>
  <c r="N123" i="1"/>
  <c r="H123" i="1"/>
  <c r="I127" i="1"/>
  <c r="O127" i="1"/>
  <c r="I156" i="1"/>
  <c r="H156" i="1"/>
  <c r="N156" i="1"/>
  <c r="P156" i="1" s="1"/>
  <c r="P51" i="1"/>
  <c r="I57" i="1"/>
  <c r="Q96" i="1"/>
  <c r="O26" i="1"/>
  <c r="P31" i="1"/>
  <c r="D26" i="1"/>
  <c r="F41" i="1"/>
  <c r="H41" i="1" s="1"/>
  <c r="G47" i="1"/>
  <c r="E9" i="1"/>
  <c r="O9" i="1"/>
  <c r="Q9" i="1" s="1"/>
  <c r="E17" i="1"/>
  <c r="C20" i="1"/>
  <c r="M45" i="1"/>
  <c r="Q50" i="1"/>
  <c r="H9" i="1"/>
  <c r="E16" i="1"/>
  <c r="N16" i="1"/>
  <c r="D25" i="1"/>
  <c r="M25" i="1"/>
  <c r="E28" i="1"/>
  <c r="P28" i="1"/>
  <c r="I29" i="1"/>
  <c r="O35" i="1"/>
  <c r="N45" i="1"/>
  <c r="P45" i="1" s="1"/>
  <c r="I52" i="1"/>
  <c r="H52" i="1"/>
  <c r="H55" i="1"/>
  <c r="O57" i="1"/>
  <c r="Q57" i="1" s="1"/>
  <c r="O58" i="1"/>
  <c r="Q58" i="1" s="1"/>
  <c r="L62" i="1"/>
  <c r="P74" i="1"/>
  <c r="P79" i="1"/>
  <c r="P88" i="1"/>
  <c r="P93" i="1"/>
  <c r="M95" i="1"/>
  <c r="Q105" i="1"/>
  <c r="H127" i="1"/>
  <c r="E68" i="1"/>
  <c r="H121" i="1"/>
  <c r="L26" i="1"/>
  <c r="D29" i="1"/>
  <c r="Q43" i="1"/>
  <c r="C64" i="1"/>
  <c r="O62" i="1"/>
  <c r="Q62" i="1" s="1"/>
  <c r="E62" i="1"/>
  <c r="D62" i="1"/>
  <c r="L13" i="1"/>
  <c r="P29" i="1"/>
  <c r="P32" i="1"/>
  <c r="P49" i="1"/>
  <c r="I51" i="1"/>
  <c r="H51" i="1"/>
  <c r="M107" i="1"/>
  <c r="I38" i="1"/>
  <c r="D11" i="1"/>
  <c r="E25" i="1"/>
  <c r="I26" i="1"/>
  <c r="O27" i="1"/>
  <c r="Q27" i="1" s="1"/>
  <c r="N33" i="1"/>
  <c r="P33" i="1" s="1"/>
  <c r="H33" i="1"/>
  <c r="N36" i="1"/>
  <c r="P36" i="1" s="1"/>
  <c r="I42" i="1"/>
  <c r="O45" i="1"/>
  <c r="O46" i="1"/>
  <c r="Q46" i="1" s="1"/>
  <c r="N53" i="1"/>
  <c r="P53" i="1" s="1"/>
  <c r="P63" i="1"/>
  <c r="O66" i="1"/>
  <c r="F89" i="1"/>
  <c r="D79" i="1"/>
  <c r="P92" i="1"/>
  <c r="D93" i="1"/>
  <c r="N95" i="1"/>
  <c r="P95" i="1" s="1"/>
  <c r="D95" i="1"/>
  <c r="H164" i="1"/>
  <c r="I164" i="1"/>
  <c r="I106" i="1"/>
  <c r="H106" i="1"/>
  <c r="N113" i="1"/>
  <c r="E113" i="1"/>
  <c r="D113" i="1"/>
  <c r="L117" i="1"/>
  <c r="P118" i="1"/>
  <c r="I126" i="1"/>
  <c r="H126" i="1"/>
  <c r="Q129" i="1"/>
  <c r="P129" i="1"/>
  <c r="O134" i="1"/>
  <c r="Q134" i="1" s="1"/>
  <c r="E134" i="1"/>
  <c r="L136" i="1"/>
  <c r="P160" i="1"/>
  <c r="O38" i="1"/>
  <c r="Q38" i="1" s="1"/>
  <c r="M67" i="1"/>
  <c r="L67" i="1"/>
  <c r="J75" i="1"/>
  <c r="M72" i="1"/>
  <c r="B89" i="1"/>
  <c r="L84" i="1"/>
  <c r="I86" i="1"/>
  <c r="M96" i="1"/>
  <c r="O101" i="1"/>
  <c r="Q101" i="1" s="1"/>
  <c r="K121" i="1"/>
  <c r="M121" i="1" s="1"/>
  <c r="O115" i="1"/>
  <c r="Q120" i="1"/>
  <c r="O125" i="1"/>
  <c r="D129" i="1"/>
  <c r="E129" i="1"/>
  <c r="N136" i="1"/>
  <c r="P136" i="1" s="1"/>
  <c r="D136" i="1"/>
  <c r="M144" i="1"/>
  <c r="J147" i="1"/>
  <c r="L147" i="1" s="1"/>
  <c r="I159" i="1"/>
  <c r="N159" i="1"/>
  <c r="H159" i="1"/>
  <c r="D167" i="1"/>
  <c r="J59" i="1"/>
  <c r="L59" i="1" s="1"/>
  <c r="D67" i="1"/>
  <c r="N67" i="1"/>
  <c r="N72" i="1"/>
  <c r="C89" i="1"/>
  <c r="H80" i="1"/>
  <c r="M83" i="1"/>
  <c r="L83" i="1"/>
  <c r="N96" i="1"/>
  <c r="P96" i="1" s="1"/>
  <c r="D96" i="1"/>
  <c r="M109" i="1"/>
  <c r="L109" i="1"/>
  <c r="D117" i="1"/>
  <c r="N117" i="1"/>
  <c r="O126" i="1"/>
  <c r="N131" i="1"/>
  <c r="P131" i="1" s="1"/>
  <c r="D131" i="1"/>
  <c r="O136" i="1"/>
  <c r="H161" i="1"/>
  <c r="N161" i="1"/>
  <c r="O167" i="1"/>
  <c r="Q167" i="1" s="1"/>
  <c r="E167" i="1"/>
  <c r="C168" i="1"/>
  <c r="C59" i="1"/>
  <c r="K59" i="1"/>
  <c r="O67" i="1"/>
  <c r="Q67" i="1" s="1"/>
  <c r="L68" i="1"/>
  <c r="O72" i="1"/>
  <c r="Q72" i="1" s="1"/>
  <c r="E72" i="1"/>
  <c r="J110" i="1"/>
  <c r="L110" i="1" s="1"/>
  <c r="I105" i="1"/>
  <c r="H105" i="1"/>
  <c r="O117" i="1"/>
  <c r="Q117" i="1" s="1"/>
  <c r="O131" i="1"/>
  <c r="E131" i="1"/>
  <c r="M133" i="1"/>
  <c r="L133" i="1"/>
  <c r="I135" i="1"/>
  <c r="H135" i="1"/>
  <c r="D141" i="1"/>
  <c r="O141" i="1"/>
  <c r="E141" i="1"/>
  <c r="N39" i="1"/>
  <c r="P39" i="1" s="1"/>
  <c r="D58" i="1"/>
  <c r="N61" i="1"/>
  <c r="P61" i="1" s="1"/>
  <c r="H62" i="1"/>
  <c r="L66" i="1"/>
  <c r="K68" i="1"/>
  <c r="M68" i="1" s="1"/>
  <c r="D72" i="1"/>
  <c r="P73" i="1"/>
  <c r="N78" i="1"/>
  <c r="P78" i="1" s="1"/>
  <c r="N84" i="1"/>
  <c r="P84" i="1" s="1"/>
  <c r="D84" i="1"/>
  <c r="O85" i="1"/>
  <c r="Q85" i="1" s="1"/>
  <c r="E85" i="1"/>
  <c r="K110" i="1"/>
  <c r="M91" i="1"/>
  <c r="M92" i="1"/>
  <c r="N97" i="1"/>
  <c r="P97" i="1" s="1"/>
  <c r="D97" i="1"/>
  <c r="P98" i="1"/>
  <c r="C121" i="1"/>
  <c r="M113" i="1"/>
  <c r="I128" i="1"/>
  <c r="H130" i="1"/>
  <c r="L134" i="1"/>
  <c r="H141" i="1"/>
  <c r="I141" i="1"/>
  <c r="H158" i="1"/>
  <c r="I158" i="1"/>
  <c r="O158" i="1"/>
  <c r="I161" i="1"/>
  <c r="D73" i="1"/>
  <c r="N75" i="1"/>
  <c r="H77" i="1"/>
  <c r="N80" i="1"/>
  <c r="P80" i="1" s="1"/>
  <c r="J89" i="1"/>
  <c r="L89" i="1" s="1"/>
  <c r="O83" i="1"/>
  <c r="Q83" i="1" s="1"/>
  <c r="O84" i="1"/>
  <c r="E84" i="1"/>
  <c r="D85" i="1"/>
  <c r="L91" i="1"/>
  <c r="Q104" i="1"/>
  <c r="N107" i="1"/>
  <c r="N109" i="1"/>
  <c r="P109" i="1" s="1"/>
  <c r="E109" i="1"/>
  <c r="D109" i="1"/>
  <c r="I116" i="1"/>
  <c r="O133" i="1"/>
  <c r="P134" i="1"/>
  <c r="P155" i="1"/>
  <c r="M158" i="1"/>
  <c r="J165" i="1"/>
  <c r="L158" i="1"/>
  <c r="O86" i="1"/>
  <c r="Q86" i="1" s="1"/>
  <c r="N99" i="1"/>
  <c r="P99" i="1" s="1"/>
  <c r="N103" i="1"/>
  <c r="P103" i="1" s="1"/>
  <c r="F110" i="1"/>
  <c r="G142" i="1"/>
  <c r="I142" i="1" s="1"/>
  <c r="N133" i="1"/>
  <c r="P133" i="1" s="1"/>
  <c r="N138" i="1"/>
  <c r="P138" i="1" s="1"/>
  <c r="O144" i="1"/>
  <c r="G147" i="1"/>
  <c r="I147" i="1" s="1"/>
  <c r="I153" i="1"/>
  <c r="B153" i="1"/>
  <c r="O160" i="1"/>
  <c r="Q160" i="1" s="1"/>
  <c r="D83" i="1"/>
  <c r="L94" i="1"/>
  <c r="D107" i="1"/>
  <c r="O107" i="1"/>
  <c r="Q107" i="1" s="1"/>
  <c r="G110" i="1"/>
  <c r="I110" i="1" s="1"/>
  <c r="P111" i="1"/>
  <c r="L116" i="1"/>
  <c r="E117" i="1"/>
  <c r="M118" i="1"/>
  <c r="E120" i="1"/>
  <c r="H125" i="1"/>
  <c r="H132" i="1"/>
  <c r="J142" i="1"/>
  <c r="L142" i="1" s="1"/>
  <c r="O153" i="1"/>
  <c r="K165" i="1"/>
  <c r="M165" i="1" s="1"/>
  <c r="L155" i="1"/>
  <c r="M155" i="1"/>
  <c r="N158" i="1"/>
  <c r="P158" i="1" s="1"/>
  <c r="H160" i="1"/>
  <c r="I167" i="1"/>
  <c r="D71" i="1"/>
  <c r="C75" i="1"/>
  <c r="K75" i="1"/>
  <c r="M75" i="1" s="1"/>
  <c r="L82" i="1"/>
  <c r="E83" i="1"/>
  <c r="E95" i="1"/>
  <c r="E96" i="1"/>
  <c r="E97" i="1"/>
  <c r="L106" i="1"/>
  <c r="H107" i="1"/>
  <c r="O113" i="1"/>
  <c r="Q113" i="1" s="1"/>
  <c r="D124" i="1"/>
  <c r="I125" i="1"/>
  <c r="D128" i="1"/>
  <c r="L128" i="1"/>
  <c r="I129" i="1"/>
  <c r="E136" i="1"/>
  <c r="H137" i="1"/>
  <c r="M141" i="1"/>
  <c r="K142" i="1"/>
  <c r="C147" i="1"/>
  <c r="D145" i="1"/>
  <c r="N152" i="1"/>
  <c r="P152" i="1" s="1"/>
  <c r="H152" i="1"/>
  <c r="E153" i="1"/>
  <c r="N163" i="1"/>
  <c r="P163" i="1" s="1"/>
  <c r="D163" i="1"/>
  <c r="L74" i="1"/>
  <c r="L80" i="1"/>
  <c r="L81" i="1"/>
  <c r="I117" i="1"/>
  <c r="O118" i="1"/>
  <c r="Q118" i="1" s="1"/>
  <c r="E118" i="1"/>
  <c r="I120" i="1"/>
  <c r="B121" i="1"/>
  <c r="D123" i="1"/>
  <c r="L123" i="1"/>
  <c r="E124" i="1"/>
  <c r="D127" i="1"/>
  <c r="E128" i="1"/>
  <c r="N132" i="1"/>
  <c r="P132" i="1" s="1"/>
  <c r="H134" i="1"/>
  <c r="N139" i="1"/>
  <c r="P139" i="1" s="1"/>
  <c r="D139" i="1"/>
  <c r="P145" i="1"/>
  <c r="Q145" i="1"/>
  <c r="F153" i="1"/>
  <c r="H153" i="1" s="1"/>
  <c r="C165" i="1"/>
  <c r="D155" i="1"/>
  <c r="O155" i="1"/>
  <c r="Q155" i="1" s="1"/>
  <c r="E155" i="1"/>
  <c r="O164" i="1"/>
  <c r="L77" i="1"/>
  <c r="E94" i="1"/>
  <c r="O106" i="1"/>
  <c r="P108" i="1"/>
  <c r="D112" i="1"/>
  <c r="N114" i="1"/>
  <c r="P114" i="1" s="1"/>
  <c r="N116" i="1"/>
  <c r="P116" i="1" s="1"/>
  <c r="D118" i="1"/>
  <c r="E123" i="1"/>
  <c r="D126" i="1"/>
  <c r="E127" i="1"/>
  <c r="E130" i="1"/>
  <c r="H131" i="1"/>
  <c r="O146" i="1"/>
  <c r="H149" i="1"/>
  <c r="J153" i="1"/>
  <c r="F165" i="1"/>
  <c r="H165" i="1" s="1"/>
  <c r="L156" i="1"/>
  <c r="M156" i="1"/>
  <c r="E158" i="1"/>
  <c r="O159" i="1"/>
  <c r="Q159" i="1" s="1"/>
  <c r="N144" i="1"/>
  <c r="P144" i="1" s="1"/>
  <c r="B168" i="1"/>
  <c r="J168" i="1"/>
  <c r="K168" i="1"/>
  <c r="M168" i="1" s="1"/>
  <c r="H144" i="1"/>
  <c r="G168" i="1"/>
  <c r="I168" i="1" s="1"/>
  <c r="K169" i="1" l="1"/>
  <c r="M47" i="1"/>
  <c r="F47" i="1"/>
  <c r="I47" i="1" s="1"/>
  <c r="N110" i="1"/>
  <c r="D110" i="1"/>
  <c r="D121" i="1"/>
  <c r="N121" i="1"/>
  <c r="Q66" i="1"/>
  <c r="P66" i="1"/>
  <c r="P127" i="1"/>
  <c r="Q127" i="1"/>
  <c r="Q126" i="1"/>
  <c r="P126" i="1"/>
  <c r="Q16" i="1"/>
  <c r="P16" i="1"/>
  <c r="D20" i="1"/>
  <c r="B21" i="1"/>
  <c r="N20" i="1"/>
  <c r="P20" i="1" s="1"/>
  <c r="Q112" i="1"/>
  <c r="P112" i="1"/>
  <c r="Q133" i="1"/>
  <c r="Q131" i="1"/>
  <c r="P161" i="1"/>
  <c r="Q161" i="1"/>
  <c r="P117" i="1"/>
  <c r="O68" i="1"/>
  <c r="Q68" i="1" s="1"/>
  <c r="G169" i="1"/>
  <c r="C169" i="1"/>
  <c r="E47" i="1"/>
  <c r="O47" i="1"/>
  <c r="P62" i="1"/>
  <c r="B169" i="1"/>
  <c r="D47" i="1"/>
  <c r="N47" i="1"/>
  <c r="P47" i="1" s="1"/>
  <c r="K21" i="1"/>
  <c r="M20" i="1"/>
  <c r="P91" i="1"/>
  <c r="O165" i="1"/>
  <c r="Q165" i="1" s="1"/>
  <c r="E165" i="1"/>
  <c r="Q144" i="1"/>
  <c r="Q125" i="1"/>
  <c r="P125" i="1"/>
  <c r="P27" i="1"/>
  <c r="L64" i="1"/>
  <c r="Q41" i="1"/>
  <c r="H59" i="1"/>
  <c r="N59" i="1"/>
  <c r="P59" i="1" s="1"/>
  <c r="P25" i="1"/>
  <c r="Q25" i="1"/>
  <c r="Q106" i="1"/>
  <c r="P106" i="1"/>
  <c r="N165" i="1"/>
  <c r="Q84" i="1"/>
  <c r="Q158" i="1"/>
  <c r="M110" i="1"/>
  <c r="M59" i="1"/>
  <c r="M147" i="1"/>
  <c r="P72" i="1"/>
  <c r="Q45" i="1"/>
  <c r="L47" i="1"/>
  <c r="I165" i="1"/>
  <c r="Q116" i="1"/>
  <c r="Q156" i="1"/>
  <c r="P17" i="1"/>
  <c r="Q99" i="1"/>
  <c r="I41" i="1"/>
  <c r="Q146" i="1"/>
  <c r="P146" i="1"/>
  <c r="N153" i="1"/>
  <c r="P153" i="1" s="1"/>
  <c r="D153" i="1"/>
  <c r="E75" i="1"/>
  <c r="O75" i="1"/>
  <c r="Q75" i="1" s="1"/>
  <c r="O89" i="1"/>
  <c r="Q89" i="1" s="1"/>
  <c r="E89" i="1"/>
  <c r="E59" i="1"/>
  <c r="O59" i="1"/>
  <c r="Q136" i="1"/>
  <c r="D75" i="1"/>
  <c r="Q115" i="1"/>
  <c r="P115" i="1"/>
  <c r="L75" i="1"/>
  <c r="P113" i="1"/>
  <c r="J169" i="1"/>
  <c r="L169" i="1" s="1"/>
  <c r="P38" i="1"/>
  <c r="H147" i="1"/>
  <c r="H142" i="1"/>
  <c r="Q114" i="1"/>
  <c r="P46" i="1"/>
  <c r="P9" i="1"/>
  <c r="Q139" i="1"/>
  <c r="P159" i="1"/>
  <c r="O64" i="1"/>
  <c r="Q64" i="1" s="1"/>
  <c r="E64" i="1"/>
  <c r="P167" i="1"/>
  <c r="H68" i="1"/>
  <c r="L168" i="1"/>
  <c r="Q109" i="1"/>
  <c r="H168" i="1"/>
  <c r="C21" i="1"/>
  <c r="E20" i="1"/>
  <c r="O20" i="1"/>
  <c r="L121" i="1"/>
  <c r="O110" i="1"/>
  <c r="Q110" i="1" s="1"/>
  <c r="E110" i="1"/>
  <c r="N142" i="1"/>
  <c r="P142" i="1" s="1"/>
  <c r="P57" i="1"/>
  <c r="Q95" i="1"/>
  <c r="P151" i="1"/>
  <c r="Q151" i="1"/>
  <c r="G22" i="1"/>
  <c r="Q153" i="1"/>
  <c r="D165" i="1"/>
  <c r="Q141" i="1"/>
  <c r="P141" i="1"/>
  <c r="N89" i="1"/>
  <c r="D89" i="1"/>
  <c r="P35" i="1"/>
  <c r="Q35" i="1"/>
  <c r="P123" i="1"/>
  <c r="Q123" i="1"/>
  <c r="F21" i="1"/>
  <c r="I21" i="1" s="1"/>
  <c r="H20" i="1"/>
  <c r="O121" i="1"/>
  <c r="Q121" i="1" s="1"/>
  <c r="E121" i="1"/>
  <c r="L153" i="1"/>
  <c r="M153" i="1"/>
  <c r="O147" i="1"/>
  <c r="Q147" i="1" s="1"/>
  <c r="E147" i="1"/>
  <c r="L165" i="1"/>
  <c r="Q132" i="1"/>
  <c r="P67" i="1"/>
  <c r="D168" i="1"/>
  <c r="N168" i="1"/>
  <c r="P168" i="1" s="1"/>
  <c r="Q164" i="1"/>
  <c r="P164" i="1"/>
  <c r="M142" i="1"/>
  <c r="H110" i="1"/>
  <c r="P107" i="1"/>
  <c r="P85" i="1"/>
  <c r="O168" i="1"/>
  <c r="E168" i="1"/>
  <c r="H89" i="1"/>
  <c r="H75" i="1"/>
  <c r="Q53" i="1"/>
  <c r="Q26" i="1"/>
  <c r="Q70" i="1"/>
  <c r="P70" i="1"/>
  <c r="P83" i="1"/>
  <c r="O142" i="1"/>
  <c r="Q97" i="1"/>
  <c r="D59" i="1"/>
  <c r="P86" i="1"/>
  <c r="I59" i="1"/>
  <c r="P58" i="1"/>
  <c r="Q77" i="1"/>
  <c r="P77" i="1"/>
  <c r="L20" i="1"/>
  <c r="J21" i="1"/>
  <c r="I20" i="1"/>
  <c r="O169" i="1" l="1"/>
  <c r="E169" i="1"/>
  <c r="M21" i="1"/>
  <c r="K22" i="1"/>
  <c r="P110" i="1"/>
  <c r="I169" i="1"/>
  <c r="L21" i="1"/>
  <c r="J22" i="1"/>
  <c r="Q142" i="1"/>
  <c r="D169" i="1"/>
  <c r="D21" i="1"/>
  <c r="B22" i="1"/>
  <c r="N21" i="1"/>
  <c r="F22" i="1"/>
  <c r="H21" i="1"/>
  <c r="P147" i="1"/>
  <c r="G170" i="1"/>
  <c r="F169" i="1"/>
  <c r="H169" i="1" s="1"/>
  <c r="H47" i="1"/>
  <c r="M169" i="1"/>
  <c r="O21" i="1"/>
  <c r="Q21" i="1" s="1"/>
  <c r="C22" i="1"/>
  <c r="E21" i="1"/>
  <c r="Q168" i="1"/>
  <c r="Q20" i="1"/>
  <c r="P89" i="1"/>
  <c r="Q59" i="1"/>
  <c r="P165" i="1"/>
  <c r="P68" i="1"/>
  <c r="P75" i="1"/>
  <c r="Q47" i="1"/>
  <c r="P121" i="1"/>
  <c r="P64" i="1"/>
  <c r="Q169" i="1" l="1"/>
  <c r="C170" i="1"/>
  <c r="E22" i="1"/>
  <c r="O22" i="1"/>
  <c r="Q22" i="1" s="1"/>
  <c r="J170" i="1"/>
  <c r="L22" i="1"/>
  <c r="F170" i="1"/>
  <c r="H22" i="1"/>
  <c r="B170" i="1"/>
  <c r="D22" i="1"/>
  <c r="N22" i="1"/>
  <c r="I22" i="1"/>
  <c r="N169" i="1"/>
  <c r="P169" i="1" s="1"/>
  <c r="P21" i="1"/>
  <c r="K170" i="1"/>
  <c r="M22" i="1"/>
  <c r="I170" i="1"/>
  <c r="G171" i="1"/>
  <c r="D170" i="1" l="1"/>
  <c r="B171" i="1"/>
  <c r="N170" i="1"/>
  <c r="F171" i="1"/>
  <c r="H171" i="1" s="1"/>
  <c r="H170" i="1"/>
  <c r="P22" i="1"/>
  <c r="M170" i="1"/>
  <c r="K171" i="1"/>
  <c r="M171" i="1" s="1"/>
  <c r="L170" i="1"/>
  <c r="J171" i="1"/>
  <c r="O170" i="1"/>
  <c r="Q170" i="1" s="1"/>
  <c r="E170" i="1"/>
  <c r="C171" i="1"/>
  <c r="P170" i="1" l="1"/>
  <c r="O171" i="1"/>
  <c r="E171" i="1"/>
  <c r="I171" i="1"/>
  <c r="L171" i="1"/>
  <c r="N171" i="1"/>
  <c r="P171" i="1" s="1"/>
  <c r="D171" i="1"/>
  <c r="Q171" i="1" l="1"/>
</calcChain>
</file>

<file path=xl/sharedStrings.xml><?xml version="1.0" encoding="utf-8"?>
<sst xmlns="http://schemas.openxmlformats.org/spreadsheetml/2006/main" count="189" uniqueCount="177">
  <si>
    <t>Jul 2019</t>
  </si>
  <si>
    <t>Aug 2019</t>
  </si>
  <si>
    <t>Sep 2019</t>
  </si>
  <si>
    <t>Total</t>
  </si>
  <si>
    <t>Actual</t>
  </si>
  <si>
    <t>Budget</t>
  </si>
  <si>
    <t>over Budget</t>
  </si>
  <si>
    <t>% of Budget</t>
  </si>
  <si>
    <t>Income</t>
  </si>
  <si>
    <t xml:space="preserve">   10-000 Revenues</t>
  </si>
  <si>
    <t xml:space="preserve">      1215 Club Dues</t>
  </si>
  <si>
    <t xml:space="preserve">      1220 Donations</t>
  </si>
  <si>
    <t xml:space="preserve">      1225 Fund raising/Misc. Sales</t>
  </si>
  <si>
    <t xml:space="preserve">      1340 After School Program Revenue</t>
  </si>
  <si>
    <t xml:space="preserve">      1611 Lunch Payments</t>
  </si>
  <si>
    <t xml:space="preserve">      1700 Student Activities</t>
  </si>
  <si>
    <t xml:space="preserve">      1701 Field Trip</t>
  </si>
  <si>
    <t xml:space="preserve">      1910 Rental Income</t>
  </si>
  <si>
    <t xml:space="preserve">      3120 Total Quality Basic Education F</t>
  </si>
  <si>
    <t xml:space="preserve">      4300 CATEGORICAL GRANTS - DIRECT FROM FEDERAL GOVERNMENT</t>
  </si>
  <si>
    <t xml:space="preserve">      5510 Grants Other Than State Or Federal</t>
  </si>
  <si>
    <t xml:space="preserve">   Total 10-000 Revenues</t>
  </si>
  <si>
    <t>Total Income</t>
  </si>
  <si>
    <t>Gross Profit</t>
  </si>
  <si>
    <t>Expenses</t>
  </si>
  <si>
    <t xml:space="preserve">   10-1000 Instruction</t>
  </si>
  <si>
    <t xml:space="preserve">      100-110 Inst-Teachers</t>
  </si>
  <si>
    <t xml:space="preserve">      100-114 Inst-Subs (Non-Certified)</t>
  </si>
  <si>
    <t xml:space="preserve">      100-140 Inst-Aids and Parapro</t>
  </si>
  <si>
    <t xml:space="preserve">      100-200 Inst- Emp Ins Benefits</t>
  </si>
  <si>
    <t xml:space="preserve">      100-220 Inst-Payroll Tax</t>
  </si>
  <si>
    <t xml:space="preserve">      100-230 Inst-TRS</t>
  </si>
  <si>
    <t xml:space="preserve">      100-250 Inst-Unemployment</t>
  </si>
  <si>
    <t xml:space="preserve">      100-260 Inst- Worker's Comp</t>
  </si>
  <si>
    <t xml:space="preserve">      100-290 Inst-Other Employee Benefits</t>
  </si>
  <si>
    <t xml:space="preserve">      100-300 INS - Purchased Professional &amp; Tech Service</t>
  </si>
  <si>
    <t xml:space="preserve">      100-442 Rental of Equipment and Vehicles</t>
  </si>
  <si>
    <t xml:space="preserve">      100-443 Inst-Rental of Computer Equipment</t>
  </si>
  <si>
    <t xml:space="preserve">      100-580 Travel</t>
  </si>
  <si>
    <t xml:space="preserve">      100-609 Inst-Curriculum Material</t>
  </si>
  <si>
    <t xml:space="preserve">         609.6 Inst-Curriculum Material - Band</t>
  </si>
  <si>
    <t xml:space="preserve">         609.7 Inst-Curriculum Material - Orchestra</t>
  </si>
  <si>
    <t xml:space="preserve">      Total 100-609 Inst-Curriculum Material</t>
  </si>
  <si>
    <t xml:space="preserve">      100-610 Inst-Supplies</t>
  </si>
  <si>
    <t xml:space="preserve">      100-611 Supplies Technology</t>
  </si>
  <si>
    <t xml:space="preserve">      100-612 Inst-Software</t>
  </si>
  <si>
    <t xml:space="preserve">      100-615 Inst-Expendable Equip</t>
  </si>
  <si>
    <t xml:space="preserve">      100-616 Inst-Expendable Computer Equip</t>
  </si>
  <si>
    <t xml:space="preserve">   Total 10-1000 Instruction</t>
  </si>
  <si>
    <t xml:space="preserve">   10-2100 Pupil Services</t>
  </si>
  <si>
    <t xml:space="preserve">      210-163 Pupil Services - Nurse</t>
  </si>
  <si>
    <t xml:space="preserve">      210-172 PS-Counselor</t>
  </si>
  <si>
    <t xml:space="preserve">      210-173 PS - Counselor Middle Grades</t>
  </si>
  <si>
    <t xml:space="preserve">      210-200 PS - Employee Benefits</t>
  </si>
  <si>
    <t xml:space="preserve">      210-220 Pupil Services - Payroll Tax</t>
  </si>
  <si>
    <t xml:space="preserve">      210-230 Pupil Services - TRS</t>
  </si>
  <si>
    <t xml:space="preserve">      210-250 PS - UI Benefits</t>
  </si>
  <si>
    <t xml:space="preserve">      210-290 Pupil Services - Other Employee Benefits</t>
  </si>
  <si>
    <t xml:space="preserve">      210-300 PS-Purchased Professional Services</t>
  </si>
  <si>
    <t xml:space="preserve">      210-610 PS-Supplies</t>
  </si>
  <si>
    <t xml:space="preserve">   Total 10-2100 Pupil Services</t>
  </si>
  <si>
    <t xml:space="preserve">   10-2210 Improvement of Instruct Service</t>
  </si>
  <si>
    <t xml:space="preserve">      221-100 IIS - Teacher</t>
  </si>
  <si>
    <t xml:space="preserve">      221-300 IIS-Purchased Prof. Services</t>
  </si>
  <si>
    <t xml:space="preserve">      221-810 IIS-Dues and Fees</t>
  </si>
  <si>
    <t xml:space="preserve">   Total 10-2210 Improvement of Instruct Service</t>
  </si>
  <si>
    <t xml:space="preserve">   10-2213 Instructional Staff Training</t>
  </si>
  <si>
    <t xml:space="preserve">      213-300 Professional Development</t>
  </si>
  <si>
    <t xml:space="preserve">      213-580 Travel</t>
  </si>
  <si>
    <t xml:space="preserve">   Total 10-2213 Instructional Staff Training</t>
  </si>
  <si>
    <t xml:space="preserve">   10-2220 Educational Media Services</t>
  </si>
  <si>
    <t xml:space="preserve">      222-165 EMS-Media Specialist</t>
  </si>
  <si>
    <t xml:space="preserve">      222-220 EMS-FICA</t>
  </si>
  <si>
    <t xml:space="preserve">      222-230 EMS Media - TRS</t>
  </si>
  <si>
    <t xml:space="preserve">      222-250 EMS - State Unemp Insurance</t>
  </si>
  <si>
    <t xml:space="preserve">      222-610 EMS-Supplies</t>
  </si>
  <si>
    <t xml:space="preserve">   Total 10-2220 Educational Media Services</t>
  </si>
  <si>
    <t xml:space="preserve">   10-2300 General Adminstration</t>
  </si>
  <si>
    <t xml:space="preserve">      230-120 GA - Executive Director</t>
  </si>
  <si>
    <t xml:space="preserve">      230-200 GA - Employee Benefits</t>
  </si>
  <si>
    <t xml:space="preserve">      230-220 GA - Payroll Tax</t>
  </si>
  <si>
    <t xml:space="preserve">      230-230 GA - TRS</t>
  </si>
  <si>
    <t xml:space="preserve">      230-300 GA-Purchased Professional &amp; Tech Services</t>
  </si>
  <si>
    <t xml:space="preserve">      230-332 GA-Background Check &amp; Drug Test</t>
  </si>
  <si>
    <t xml:space="preserve">      230-340 GA-Legal Fees</t>
  </si>
  <si>
    <t xml:space="preserve">      230-520 GA-Insurance (Other than benefits)</t>
  </si>
  <si>
    <t xml:space="preserve">      230-531 GA-Commu-Website</t>
  </si>
  <si>
    <t xml:space="preserve">      230-532 GA-Commu-Internet</t>
  </si>
  <si>
    <t xml:space="preserve">      230-580 GA-Travel Employees</t>
  </si>
  <si>
    <t xml:space="preserve">      230-810 GA-Dues &amp; Fees</t>
  </si>
  <si>
    <t xml:space="preserve">   Total 10-2300 General Adminstration</t>
  </si>
  <si>
    <t xml:space="preserve">   10-2400 School Administration</t>
  </si>
  <si>
    <t xml:space="preserve">      240-130 SA-Director</t>
  </si>
  <si>
    <t xml:space="preserve">      240-131 SA-Assistant Principal</t>
  </si>
  <si>
    <t xml:space="preserve">      240-141 SA - Front Office</t>
  </si>
  <si>
    <t xml:space="preserve">      240-142 SA-Clerical</t>
  </si>
  <si>
    <t xml:space="preserve">      240-200 SA-Employee Benefits</t>
  </si>
  <si>
    <t xml:space="preserve">      240-220 SA-FICA</t>
  </si>
  <si>
    <t xml:space="preserve">      240-230 SA-TRS</t>
  </si>
  <si>
    <t xml:space="preserve">      240-250 SA - ER UI Benefits</t>
  </si>
  <si>
    <t xml:space="preserve">      240-300 SA-Purchases Prof. &amp; Tech Svcs.</t>
  </si>
  <si>
    <t xml:space="preserve">      240-303 SA-Purch-Consultant</t>
  </si>
  <si>
    <t xml:space="preserve">      240-361 SA-Travel</t>
  </si>
  <si>
    <t xml:space="preserve">      240-580 SA - Staff Travel</t>
  </si>
  <si>
    <t xml:space="preserve">      240-595 SA-Other Purchased Services</t>
  </si>
  <si>
    <t xml:space="preserve">      240-610 SA-Supplies</t>
  </si>
  <si>
    <t xml:space="preserve">      240-611 SA-Supplies Technology</t>
  </si>
  <si>
    <t xml:space="preserve">      240-615 SA-Expendable Equip</t>
  </si>
  <si>
    <t xml:space="preserve">      240-630 SA - Purchased Food</t>
  </si>
  <si>
    <t xml:space="preserve">      240-810 SA-Dues and Fees</t>
  </si>
  <si>
    <t xml:space="preserve">      240-890 SA - Staff Relations</t>
  </si>
  <si>
    <t xml:space="preserve">   Total 10-2400 School Administration</t>
  </si>
  <si>
    <t xml:space="preserve">   10-2500 Support Services-Business</t>
  </si>
  <si>
    <t xml:space="preserve">      250-142 Support Services - Clerical</t>
  </si>
  <si>
    <t xml:space="preserve">      250-148 SSB-Accountant</t>
  </si>
  <si>
    <t xml:space="preserve">      250-200 SSB-Employee Benefits</t>
  </si>
  <si>
    <t xml:space="preserve">      250-220 Support Services - Payroll Tax</t>
  </si>
  <si>
    <t xml:space="preserve">      250-230 Support Services - TRS</t>
  </si>
  <si>
    <t xml:space="preserve">      250-250 SS - ER UI Benefits</t>
  </si>
  <si>
    <t xml:space="preserve">      250-300 SSB-Purch. Prof &amp; Tech Svcs.</t>
  </si>
  <si>
    <t xml:space="preserve">      250-610 Support Services - Business - Supplies</t>
  </si>
  <si>
    <t xml:space="preserve">      250-810 Support Services - Dues and Fees</t>
  </si>
  <si>
    <t xml:space="preserve">   Total 10-2500 Support Services-Business</t>
  </si>
  <si>
    <t xml:space="preserve">   10-2600 Maint &amp; Oper-Plant Services</t>
  </si>
  <si>
    <t xml:space="preserve">      260-186 MOPS-Custodial</t>
  </si>
  <si>
    <t xml:space="preserve">      260-190 MOPS - Facilities Director</t>
  </si>
  <si>
    <t xml:space="preserve">      260-199 MOPS - Security</t>
  </si>
  <si>
    <t xml:space="preserve">      260-200 MOPS-Employee Benefits</t>
  </si>
  <si>
    <t xml:space="preserve">      260-220 MOPS - Payroll Tax</t>
  </si>
  <si>
    <t xml:space="preserve">      260-230 MOPS - TRS</t>
  </si>
  <si>
    <t xml:space="preserve">      260-260 Worker's Comp Expense</t>
  </si>
  <si>
    <t xml:space="preserve">      260-300 MOPS-Purch. Prof. &amp; Tech Svcs</t>
  </si>
  <si>
    <t xml:space="preserve">      260-410 MOPS-Water, Sewer, Cleaning</t>
  </si>
  <si>
    <t xml:space="preserve">      260-430 MOPS-Repair and Maint. SVcs</t>
  </si>
  <si>
    <t xml:space="preserve">      260-431 MOPS-R&amp;M-Ground</t>
  </si>
  <si>
    <t xml:space="preserve">      260-441 MOPS - Rental Expense</t>
  </si>
  <si>
    <t xml:space="preserve">      260-490 MOPS-Other Purchased Property Services</t>
  </si>
  <si>
    <t xml:space="preserve">      260-530 MOPS-Communications</t>
  </si>
  <si>
    <t xml:space="preserve">      260-610 MOPS-Supplies</t>
  </si>
  <si>
    <t xml:space="preserve">      260-615 MOPS-Expendable Equip</t>
  </si>
  <si>
    <t xml:space="preserve">      260-620 MOPS-Energy</t>
  </si>
  <si>
    <t xml:space="preserve">      260-810 MOPS-Dues and Fees</t>
  </si>
  <si>
    <t xml:space="preserve">      260-990 MOPs Allocation to ECP</t>
  </si>
  <si>
    <t xml:space="preserve">   Total 10-2600 Maint &amp; Oper-Plant Services</t>
  </si>
  <si>
    <t xml:space="preserve">   10-2900 Fundraising Activities-</t>
  </si>
  <si>
    <t xml:space="preserve">      290-300 FD-Purchased Professional &amp; Tech Service</t>
  </si>
  <si>
    <t xml:space="preserve">      290-610 FD - Supplies</t>
  </si>
  <si>
    <t xml:space="preserve">      290-810 FD - Dues &amp; Fees</t>
  </si>
  <si>
    <t xml:space="preserve">   Total 10-2900 Fundraising Activities-</t>
  </si>
  <si>
    <t xml:space="preserve">   10-3100 School Nutrition Program</t>
  </si>
  <si>
    <t xml:space="preserve">      310-190 SNP - School Nutrition Director</t>
  </si>
  <si>
    <t xml:space="preserve">      310-220 SNP - Payroll Tax</t>
  </si>
  <si>
    <t xml:space="preserve">      310-630 Purchased Food</t>
  </si>
  <si>
    <t xml:space="preserve">      310-810 Dues and Fees</t>
  </si>
  <si>
    <t xml:space="preserve">   Total 10-3100 School Nutrition Program</t>
  </si>
  <si>
    <t xml:space="preserve">   10-3300 ASP Operations</t>
  </si>
  <si>
    <t xml:space="preserve">      330-190 ECP - Manager/Admin</t>
  </si>
  <si>
    <t xml:space="preserve">      330-191 ECP - PT Staff</t>
  </si>
  <si>
    <t xml:space="preserve">      330-200 ASP-ER Ins Benefits</t>
  </si>
  <si>
    <t xml:space="preserve">      330-220 ASP - FICA</t>
  </si>
  <si>
    <t xml:space="preserve">      330-300 Enrichments</t>
  </si>
  <si>
    <t xml:space="preserve">      330-301 ASP - Other Purchased Services</t>
  </si>
  <si>
    <t xml:space="preserve">      330-610 ASP - Supplies</t>
  </si>
  <si>
    <t xml:space="preserve">      330-630 ASP-Purchased Food</t>
  </si>
  <si>
    <t xml:space="preserve">      330-810 Community Services Operations - Dues and Fees</t>
  </si>
  <si>
    <t xml:space="preserve">      330-990 ASP Operations-Other</t>
  </si>
  <si>
    <t xml:space="preserve">   Total 10-3300 ASP Operations</t>
  </si>
  <si>
    <t xml:space="preserve">   10-5100 Debt Services</t>
  </si>
  <si>
    <t xml:space="preserve">      510-830 DS-Interest</t>
  </si>
  <si>
    <t xml:space="preserve">   Total 10-5100 Debt Services</t>
  </si>
  <si>
    <t>Total Expenses</t>
  </si>
  <si>
    <t>Net Operating Income</t>
  </si>
  <si>
    <t>Net Income</t>
  </si>
  <si>
    <t>Wednesday, Oct 23, 2019 01:13:42 PM GMT-7 - Accrual Basis</t>
  </si>
  <si>
    <t>The GLOBE Academy</t>
  </si>
  <si>
    <t xml:space="preserve">Budget vs. Actuals: GLOBE Budget FY20 - FY20 P&amp;L </t>
  </si>
  <si>
    <t>July - September,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</si>
</sst>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0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10" fontId="2" fillId="0" borderId="3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5"/>
  <sheetViews>
    <sheetView tabSelected="1" workbookViewId="0">
      <selection sqref="A1:Q1"/>
    </sheetView>
  </sheetViews>
  <sheetFormatPr defaultRowHeight="15" x14ac:dyDescent="0.25"/>
  <cols>
    <col min="1" max="1" width="54.140625" customWidth="1"/>
    <col min="2" max="2" width="10.28515625" customWidth="1"/>
    <col min="3" max="3" width="12" customWidth="1"/>
    <col min="4" max="4" width="11.140625" customWidth="1"/>
    <col min="5" max="5" width="9.42578125" customWidth="1"/>
    <col min="6" max="7" width="12" customWidth="1"/>
    <col min="8" max="8" width="11.140625" customWidth="1"/>
    <col min="9" max="9" width="9.42578125" customWidth="1"/>
    <col min="10" max="11" width="12" customWidth="1"/>
    <col min="12" max="12" width="11.140625" customWidth="1"/>
    <col min="13" max="13" width="9.42578125" customWidth="1"/>
    <col min="14" max="15" width="12" customWidth="1"/>
    <col min="16" max="16" width="11.140625" customWidth="1"/>
    <col min="17" max="17" width="9.42578125" customWidth="1"/>
  </cols>
  <sheetData>
    <row r="1" spans="1:17" ht="18" x14ac:dyDescent="0.25">
      <c r="A1" s="15" t="s">
        <v>174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18" x14ac:dyDescent="0.25">
      <c r="A2" s="15" t="s">
        <v>175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x14ac:dyDescent="0.25">
      <c r="A3" s="16" t="s">
        <v>176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5" spans="1:17" x14ac:dyDescent="0.25">
      <c r="A5" s="1"/>
      <c r="B5" s="11" t="s">
        <v>0</v>
      </c>
      <c r="C5" s="12"/>
      <c r="D5" s="12"/>
      <c r="E5" s="12"/>
      <c r="F5" s="11" t="s">
        <v>1</v>
      </c>
      <c r="G5" s="12"/>
      <c r="H5" s="12"/>
      <c r="I5" s="12"/>
      <c r="J5" s="11" t="s">
        <v>2</v>
      </c>
      <c r="K5" s="12"/>
      <c r="L5" s="12"/>
      <c r="M5" s="12"/>
      <c r="N5" s="11" t="s">
        <v>3</v>
      </c>
      <c r="O5" s="12"/>
      <c r="P5" s="12"/>
      <c r="Q5" s="12"/>
    </row>
    <row r="6" spans="1:17" ht="24.75" x14ac:dyDescent="0.25">
      <c r="A6" s="1"/>
      <c r="B6" s="2" t="s">
        <v>4</v>
      </c>
      <c r="C6" s="2" t="s">
        <v>5</v>
      </c>
      <c r="D6" s="2" t="s">
        <v>6</v>
      </c>
      <c r="E6" s="2" t="s">
        <v>7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4</v>
      </c>
      <c r="K6" s="2" t="s">
        <v>5</v>
      </c>
      <c r="L6" s="2" t="s">
        <v>6</v>
      </c>
      <c r="M6" s="2" t="s">
        <v>7</v>
      </c>
      <c r="N6" s="2" t="s">
        <v>4</v>
      </c>
      <c r="O6" s="2" t="s">
        <v>5</v>
      </c>
      <c r="P6" s="2" t="s">
        <v>6</v>
      </c>
      <c r="Q6" s="2" t="s">
        <v>7</v>
      </c>
    </row>
    <row r="7" spans="1:17" x14ac:dyDescent="0.25">
      <c r="A7" s="3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3" t="s">
        <v>9</v>
      </c>
      <c r="B8" s="4"/>
      <c r="C8" s="4"/>
      <c r="D8" s="5">
        <f t="shared" ref="D8:D22" si="0">(B8)-(C8)</f>
        <v>0</v>
      </c>
      <c r="E8" s="6" t="str">
        <f t="shared" ref="E8:E22" si="1">IF(C8=0,"",(B8)/(C8))</f>
        <v/>
      </c>
      <c r="F8" s="4"/>
      <c r="G8" s="4"/>
      <c r="H8" s="5">
        <f t="shared" ref="H8:H22" si="2">(F8)-(G8)</f>
        <v>0</v>
      </c>
      <c r="I8" s="6" t="str">
        <f t="shared" ref="I8:I22" si="3">IF(G8=0,"",(F8)/(G8))</f>
        <v/>
      </c>
      <c r="J8" s="4"/>
      <c r="K8" s="4"/>
      <c r="L8" s="5">
        <f t="shared" ref="L8:L22" si="4">(J8)-(K8)</f>
        <v>0</v>
      </c>
      <c r="M8" s="6" t="str">
        <f t="shared" ref="M8:M22" si="5">IF(K8=0,"",(J8)/(K8))</f>
        <v/>
      </c>
      <c r="N8" s="5">
        <f t="shared" ref="N8:N22" si="6">((B8)+(F8))+(J8)</f>
        <v>0</v>
      </c>
      <c r="O8" s="5">
        <f t="shared" ref="O8:O22" si="7">((C8)+(G8))+(K8)</f>
        <v>0</v>
      </c>
      <c r="P8" s="5">
        <f t="shared" ref="P8:P22" si="8">(N8)-(O8)</f>
        <v>0</v>
      </c>
      <c r="Q8" s="6" t="str">
        <f t="shared" ref="Q8:Q22" si="9">IF(O8=0,"",(N8)/(O8))</f>
        <v/>
      </c>
    </row>
    <row r="9" spans="1:17" x14ac:dyDescent="0.25">
      <c r="A9" s="3" t="s">
        <v>10</v>
      </c>
      <c r="B9" s="4"/>
      <c r="C9" s="5">
        <f>0</f>
        <v>0</v>
      </c>
      <c r="D9" s="5">
        <f t="shared" si="0"/>
        <v>0</v>
      </c>
      <c r="E9" s="6" t="str">
        <f t="shared" si="1"/>
        <v/>
      </c>
      <c r="F9" s="4"/>
      <c r="G9" s="5">
        <f>2600</f>
        <v>2600</v>
      </c>
      <c r="H9" s="5">
        <f t="shared" si="2"/>
        <v>-2600</v>
      </c>
      <c r="I9" s="6">
        <f t="shared" si="3"/>
        <v>0</v>
      </c>
      <c r="J9" s="5">
        <f>1800</f>
        <v>1800</v>
      </c>
      <c r="K9" s="5">
        <f>100</f>
        <v>100</v>
      </c>
      <c r="L9" s="5">
        <f t="shared" si="4"/>
        <v>1700</v>
      </c>
      <c r="M9" s="6">
        <f t="shared" si="5"/>
        <v>18</v>
      </c>
      <c r="N9" s="5">
        <f t="shared" si="6"/>
        <v>1800</v>
      </c>
      <c r="O9" s="5">
        <f t="shared" si="7"/>
        <v>2700</v>
      </c>
      <c r="P9" s="5">
        <f t="shared" si="8"/>
        <v>-900</v>
      </c>
      <c r="Q9" s="6">
        <f t="shared" si="9"/>
        <v>0.66666666666666663</v>
      </c>
    </row>
    <row r="10" spans="1:17" x14ac:dyDescent="0.25">
      <c r="A10" s="3" t="s">
        <v>11</v>
      </c>
      <c r="B10" s="4"/>
      <c r="C10" s="5">
        <f>0</f>
        <v>0</v>
      </c>
      <c r="D10" s="5">
        <f t="shared" si="0"/>
        <v>0</v>
      </c>
      <c r="E10" s="6" t="str">
        <f t="shared" si="1"/>
        <v/>
      </c>
      <c r="F10" s="4"/>
      <c r="G10" s="5">
        <f>614</f>
        <v>614</v>
      </c>
      <c r="H10" s="5">
        <f t="shared" si="2"/>
        <v>-614</v>
      </c>
      <c r="I10" s="6">
        <f t="shared" si="3"/>
        <v>0</v>
      </c>
      <c r="J10" s="4"/>
      <c r="K10" s="5">
        <f>0</f>
        <v>0</v>
      </c>
      <c r="L10" s="5">
        <f t="shared" si="4"/>
        <v>0</v>
      </c>
      <c r="M10" s="6" t="str">
        <f t="shared" si="5"/>
        <v/>
      </c>
      <c r="N10" s="5">
        <f t="shared" si="6"/>
        <v>0</v>
      </c>
      <c r="O10" s="5">
        <f t="shared" si="7"/>
        <v>614</v>
      </c>
      <c r="P10" s="5">
        <f t="shared" si="8"/>
        <v>-614</v>
      </c>
      <c r="Q10" s="6">
        <f t="shared" si="9"/>
        <v>0</v>
      </c>
    </row>
    <row r="11" spans="1:17" x14ac:dyDescent="0.25">
      <c r="A11" s="3" t="s">
        <v>12</v>
      </c>
      <c r="B11" s="5">
        <f>3133.42</f>
        <v>3133.42</v>
      </c>
      <c r="C11" s="5">
        <f>20000</f>
        <v>20000</v>
      </c>
      <c r="D11" s="5">
        <f t="shared" si="0"/>
        <v>-16866.580000000002</v>
      </c>
      <c r="E11" s="6">
        <f t="shared" si="1"/>
        <v>0.156671</v>
      </c>
      <c r="F11" s="5">
        <f>12663.06</f>
        <v>12663.06</v>
      </c>
      <c r="G11" s="5">
        <f>20000</f>
        <v>20000</v>
      </c>
      <c r="H11" s="5">
        <f t="shared" si="2"/>
        <v>-7336.9400000000005</v>
      </c>
      <c r="I11" s="6">
        <f t="shared" si="3"/>
        <v>0.63315299999999997</v>
      </c>
      <c r="J11" s="5">
        <f>10910.5</f>
        <v>10910.5</v>
      </c>
      <c r="K11" s="5">
        <f>20000</f>
        <v>20000</v>
      </c>
      <c r="L11" s="5">
        <f t="shared" si="4"/>
        <v>-9089.5</v>
      </c>
      <c r="M11" s="6">
        <f t="shared" si="5"/>
        <v>0.54552500000000004</v>
      </c>
      <c r="N11" s="5">
        <f t="shared" si="6"/>
        <v>26706.98</v>
      </c>
      <c r="O11" s="5">
        <f t="shared" si="7"/>
        <v>60000</v>
      </c>
      <c r="P11" s="5">
        <f t="shared" si="8"/>
        <v>-33293.020000000004</v>
      </c>
      <c r="Q11" s="6">
        <f t="shared" si="9"/>
        <v>0.44511633333333334</v>
      </c>
    </row>
    <row r="12" spans="1:17" x14ac:dyDescent="0.25">
      <c r="A12" s="3" t="s">
        <v>13</v>
      </c>
      <c r="B12" s="5">
        <f>260</f>
        <v>260</v>
      </c>
      <c r="C12" s="5">
        <f>40000</f>
        <v>40000</v>
      </c>
      <c r="D12" s="5">
        <f t="shared" si="0"/>
        <v>-39740</v>
      </c>
      <c r="E12" s="6">
        <f t="shared" si="1"/>
        <v>6.4999999999999997E-3</v>
      </c>
      <c r="F12" s="5">
        <f>67166.05</f>
        <v>67166.05</v>
      </c>
      <c r="G12" s="5">
        <f>40000</f>
        <v>40000</v>
      </c>
      <c r="H12" s="5">
        <f t="shared" si="2"/>
        <v>27166.050000000003</v>
      </c>
      <c r="I12" s="6">
        <f t="shared" si="3"/>
        <v>1.6791512500000001</v>
      </c>
      <c r="J12" s="5">
        <f>55141.4</f>
        <v>55141.4</v>
      </c>
      <c r="K12" s="5">
        <f>40000</f>
        <v>40000</v>
      </c>
      <c r="L12" s="5">
        <f t="shared" si="4"/>
        <v>15141.400000000001</v>
      </c>
      <c r="M12" s="6">
        <f t="shared" si="5"/>
        <v>1.3785350000000001</v>
      </c>
      <c r="N12" s="5">
        <f t="shared" si="6"/>
        <v>122567.45000000001</v>
      </c>
      <c r="O12" s="5">
        <f t="shared" si="7"/>
        <v>120000</v>
      </c>
      <c r="P12" s="5">
        <f t="shared" si="8"/>
        <v>2567.4500000000116</v>
      </c>
      <c r="Q12" s="6">
        <f t="shared" si="9"/>
        <v>1.0213954166666668</v>
      </c>
    </row>
    <row r="13" spans="1:17" x14ac:dyDescent="0.25">
      <c r="A13" s="3" t="s">
        <v>14</v>
      </c>
      <c r="B13" s="4"/>
      <c r="C13" s="4"/>
      <c r="D13" s="5">
        <f t="shared" si="0"/>
        <v>0</v>
      </c>
      <c r="E13" s="6" t="str">
        <f t="shared" si="1"/>
        <v/>
      </c>
      <c r="F13" s="5">
        <f>776.49</f>
        <v>776.49</v>
      </c>
      <c r="G13" s="4"/>
      <c r="H13" s="5">
        <f t="shared" si="2"/>
        <v>776.49</v>
      </c>
      <c r="I13" s="6" t="str">
        <f t="shared" si="3"/>
        <v/>
      </c>
      <c r="J13" s="5">
        <f>7183.31</f>
        <v>7183.31</v>
      </c>
      <c r="K13" s="4"/>
      <c r="L13" s="5">
        <f t="shared" si="4"/>
        <v>7183.31</v>
      </c>
      <c r="M13" s="6" t="str">
        <f t="shared" si="5"/>
        <v/>
      </c>
      <c r="N13" s="5">
        <f t="shared" si="6"/>
        <v>7959.8</v>
      </c>
      <c r="O13" s="5">
        <f t="shared" si="7"/>
        <v>0</v>
      </c>
      <c r="P13" s="5">
        <f t="shared" si="8"/>
        <v>7959.8</v>
      </c>
      <c r="Q13" s="6" t="str">
        <f t="shared" si="9"/>
        <v/>
      </c>
    </row>
    <row r="14" spans="1:17" x14ac:dyDescent="0.25">
      <c r="A14" s="3" t="s">
        <v>15</v>
      </c>
      <c r="B14" s="4"/>
      <c r="C14" s="4"/>
      <c r="D14" s="5">
        <f t="shared" si="0"/>
        <v>0</v>
      </c>
      <c r="E14" s="6" t="str">
        <f t="shared" si="1"/>
        <v/>
      </c>
      <c r="F14" s="4"/>
      <c r="G14" s="4"/>
      <c r="H14" s="5">
        <f t="shared" si="2"/>
        <v>0</v>
      </c>
      <c r="I14" s="6" t="str">
        <f t="shared" si="3"/>
        <v/>
      </c>
      <c r="J14" s="5">
        <f>246</f>
        <v>246</v>
      </c>
      <c r="K14" s="4"/>
      <c r="L14" s="5">
        <f t="shared" si="4"/>
        <v>246</v>
      </c>
      <c r="M14" s="6" t="str">
        <f t="shared" si="5"/>
        <v/>
      </c>
      <c r="N14" s="5">
        <f t="shared" si="6"/>
        <v>246</v>
      </c>
      <c r="O14" s="5">
        <f t="shared" si="7"/>
        <v>0</v>
      </c>
      <c r="P14" s="5">
        <f t="shared" si="8"/>
        <v>246</v>
      </c>
      <c r="Q14" s="6" t="str">
        <f t="shared" si="9"/>
        <v/>
      </c>
    </row>
    <row r="15" spans="1:17" x14ac:dyDescent="0.25">
      <c r="A15" s="3" t="s">
        <v>16</v>
      </c>
      <c r="B15" s="4"/>
      <c r="C15" s="5">
        <f>8500</f>
        <v>8500</v>
      </c>
      <c r="D15" s="5">
        <f t="shared" si="0"/>
        <v>-8500</v>
      </c>
      <c r="E15" s="6">
        <f t="shared" si="1"/>
        <v>0</v>
      </c>
      <c r="F15" s="5">
        <f>5041.8</f>
        <v>5041.8</v>
      </c>
      <c r="G15" s="5">
        <f>8500</f>
        <v>8500</v>
      </c>
      <c r="H15" s="5">
        <f t="shared" si="2"/>
        <v>-3458.2</v>
      </c>
      <c r="I15" s="6">
        <f t="shared" si="3"/>
        <v>0.59315294117647066</v>
      </c>
      <c r="J15" s="5">
        <f>19024</f>
        <v>19024</v>
      </c>
      <c r="K15" s="5">
        <f>8500</f>
        <v>8500</v>
      </c>
      <c r="L15" s="5">
        <f t="shared" si="4"/>
        <v>10524</v>
      </c>
      <c r="M15" s="6">
        <f t="shared" si="5"/>
        <v>2.2381176470588233</v>
      </c>
      <c r="N15" s="5">
        <f t="shared" si="6"/>
        <v>24065.8</v>
      </c>
      <c r="O15" s="5">
        <f t="shared" si="7"/>
        <v>25500</v>
      </c>
      <c r="P15" s="5">
        <f t="shared" si="8"/>
        <v>-1434.2000000000007</v>
      </c>
      <c r="Q15" s="6">
        <f t="shared" si="9"/>
        <v>0.94375686274509796</v>
      </c>
    </row>
    <row r="16" spans="1:17" x14ac:dyDescent="0.25">
      <c r="A16" s="3" t="s">
        <v>17</v>
      </c>
      <c r="B16" s="5">
        <f>1400</f>
        <v>1400</v>
      </c>
      <c r="C16" s="5">
        <f>1500</f>
        <v>1500</v>
      </c>
      <c r="D16" s="5">
        <f t="shared" si="0"/>
        <v>-100</v>
      </c>
      <c r="E16" s="6">
        <f t="shared" si="1"/>
        <v>0.93333333333333335</v>
      </c>
      <c r="F16" s="4"/>
      <c r="G16" s="5">
        <f>1500</f>
        <v>1500</v>
      </c>
      <c r="H16" s="5">
        <f t="shared" si="2"/>
        <v>-1500</v>
      </c>
      <c r="I16" s="6">
        <f t="shared" si="3"/>
        <v>0</v>
      </c>
      <c r="J16" s="5">
        <f>3550</f>
        <v>3550</v>
      </c>
      <c r="K16" s="5">
        <f>1500</f>
        <v>1500</v>
      </c>
      <c r="L16" s="5">
        <f t="shared" si="4"/>
        <v>2050</v>
      </c>
      <c r="M16" s="6">
        <f t="shared" si="5"/>
        <v>2.3666666666666667</v>
      </c>
      <c r="N16" s="5">
        <f t="shared" si="6"/>
        <v>4950</v>
      </c>
      <c r="O16" s="5">
        <f t="shared" si="7"/>
        <v>4500</v>
      </c>
      <c r="P16" s="5">
        <f t="shared" si="8"/>
        <v>450</v>
      </c>
      <c r="Q16" s="6">
        <f t="shared" si="9"/>
        <v>1.1000000000000001</v>
      </c>
    </row>
    <row r="17" spans="1:17" x14ac:dyDescent="0.25">
      <c r="A17" s="3" t="s">
        <v>18</v>
      </c>
      <c r="B17" s="5">
        <f>975342.13</f>
        <v>975342.13</v>
      </c>
      <c r="C17" s="5">
        <f>951916</f>
        <v>951916</v>
      </c>
      <c r="D17" s="5">
        <f t="shared" si="0"/>
        <v>23426.130000000005</v>
      </c>
      <c r="E17" s="6">
        <f t="shared" si="1"/>
        <v>1.0246094508338972</v>
      </c>
      <c r="F17" s="5">
        <f>1062002.11</f>
        <v>1062002.1100000001</v>
      </c>
      <c r="G17" s="5">
        <f>951916</f>
        <v>951916</v>
      </c>
      <c r="H17" s="5">
        <f t="shared" si="2"/>
        <v>110086.1100000001</v>
      </c>
      <c r="I17" s="6">
        <f t="shared" si="3"/>
        <v>1.1156468743040353</v>
      </c>
      <c r="J17" s="5">
        <f>1018672.12</f>
        <v>1018672.12</v>
      </c>
      <c r="K17" s="5">
        <f>951916</f>
        <v>951916</v>
      </c>
      <c r="L17" s="5">
        <f t="shared" si="4"/>
        <v>66756.12</v>
      </c>
      <c r="M17" s="6">
        <f t="shared" si="5"/>
        <v>1.0701281625689663</v>
      </c>
      <c r="N17" s="5">
        <f t="shared" si="6"/>
        <v>3056016.3600000003</v>
      </c>
      <c r="O17" s="5">
        <f t="shared" si="7"/>
        <v>2855748</v>
      </c>
      <c r="P17" s="5">
        <f t="shared" si="8"/>
        <v>200268.36000000034</v>
      </c>
      <c r="Q17" s="6">
        <f t="shared" si="9"/>
        <v>1.0701281625689663</v>
      </c>
    </row>
    <row r="18" spans="1:17" ht="23.25" x14ac:dyDescent="0.25">
      <c r="A18" s="3" t="s">
        <v>19</v>
      </c>
      <c r="B18" s="5">
        <f>551.26</f>
        <v>551.26</v>
      </c>
      <c r="C18" s="4"/>
      <c r="D18" s="5">
        <f t="shared" si="0"/>
        <v>551.26</v>
      </c>
      <c r="E18" s="6" t="str">
        <f t="shared" si="1"/>
        <v/>
      </c>
      <c r="F18" s="4"/>
      <c r="G18" s="4"/>
      <c r="H18" s="5">
        <f t="shared" si="2"/>
        <v>0</v>
      </c>
      <c r="I18" s="6" t="str">
        <f t="shared" si="3"/>
        <v/>
      </c>
      <c r="J18" s="4"/>
      <c r="K18" s="4"/>
      <c r="L18" s="5">
        <f t="shared" si="4"/>
        <v>0</v>
      </c>
      <c r="M18" s="6" t="str">
        <f t="shared" si="5"/>
        <v/>
      </c>
      <c r="N18" s="5">
        <f t="shared" si="6"/>
        <v>551.26</v>
      </c>
      <c r="O18" s="5">
        <f t="shared" si="7"/>
        <v>0</v>
      </c>
      <c r="P18" s="5">
        <f t="shared" si="8"/>
        <v>551.26</v>
      </c>
      <c r="Q18" s="6" t="str">
        <f t="shared" si="9"/>
        <v/>
      </c>
    </row>
    <row r="19" spans="1:17" x14ac:dyDescent="0.25">
      <c r="A19" s="3" t="s">
        <v>20</v>
      </c>
      <c r="B19" s="4"/>
      <c r="C19" s="4"/>
      <c r="D19" s="5">
        <f t="shared" si="0"/>
        <v>0</v>
      </c>
      <c r="E19" s="6" t="str">
        <f t="shared" si="1"/>
        <v/>
      </c>
      <c r="F19" s="4"/>
      <c r="G19" s="4"/>
      <c r="H19" s="5">
        <f t="shared" si="2"/>
        <v>0</v>
      </c>
      <c r="I19" s="6" t="str">
        <f t="shared" si="3"/>
        <v/>
      </c>
      <c r="J19" s="5">
        <f>500</f>
        <v>500</v>
      </c>
      <c r="K19" s="4"/>
      <c r="L19" s="5">
        <f t="shared" si="4"/>
        <v>500</v>
      </c>
      <c r="M19" s="6" t="str">
        <f t="shared" si="5"/>
        <v/>
      </c>
      <c r="N19" s="5">
        <f t="shared" si="6"/>
        <v>500</v>
      </c>
      <c r="O19" s="5">
        <f t="shared" si="7"/>
        <v>0</v>
      </c>
      <c r="P19" s="5">
        <f t="shared" si="8"/>
        <v>500</v>
      </c>
      <c r="Q19" s="6" t="str">
        <f t="shared" si="9"/>
        <v/>
      </c>
    </row>
    <row r="20" spans="1:17" x14ac:dyDescent="0.25">
      <c r="A20" s="3" t="s">
        <v>21</v>
      </c>
      <c r="B20" s="7">
        <f>(((((((((((B8)+(B9))+(B10))+(B11))+(B12))+(B13))+(B14))+(B15))+(B16))+(B17))+(B18))+(B19)</f>
        <v>980686.81</v>
      </c>
      <c r="C20" s="7">
        <f>(((((((((((C8)+(C9))+(C10))+(C11))+(C12))+(C13))+(C14))+(C15))+(C16))+(C17))+(C18))+(C19)</f>
        <v>1021916</v>
      </c>
      <c r="D20" s="7">
        <f t="shared" si="0"/>
        <v>-41229.189999999944</v>
      </c>
      <c r="E20" s="8">
        <f t="shared" si="1"/>
        <v>0.95965501078366522</v>
      </c>
      <c r="F20" s="7">
        <f>(((((((((((F8)+(F9))+(F10))+(F11))+(F12))+(F13))+(F14))+(F15))+(F16))+(F17))+(F18))+(F19)</f>
        <v>1147649.51</v>
      </c>
      <c r="G20" s="7">
        <f>(((((((((((G8)+(G9))+(G10))+(G11))+(G12))+(G13))+(G14))+(G15))+(G16))+(G17))+(G18))+(G19)</f>
        <v>1025130</v>
      </c>
      <c r="H20" s="7">
        <f t="shared" si="2"/>
        <v>122519.51000000001</v>
      </c>
      <c r="I20" s="8">
        <f t="shared" si="3"/>
        <v>1.1195160711324417</v>
      </c>
      <c r="J20" s="7">
        <f>(((((((((((J8)+(J9))+(J10))+(J11))+(J12))+(J13))+(J14))+(J15))+(J16))+(J17))+(J18))+(J19)</f>
        <v>1117027.33</v>
      </c>
      <c r="K20" s="7">
        <f>(((((((((((K8)+(K9))+(K10))+(K11))+(K12))+(K13))+(K14))+(K15))+(K16))+(K17))+(K18))+(K19)</f>
        <v>1022016</v>
      </c>
      <c r="L20" s="7">
        <f t="shared" si="4"/>
        <v>95011.330000000075</v>
      </c>
      <c r="M20" s="8">
        <f t="shared" si="5"/>
        <v>1.0929646209061308</v>
      </c>
      <c r="N20" s="7">
        <f t="shared" si="6"/>
        <v>3245363.6500000004</v>
      </c>
      <c r="O20" s="7">
        <f t="shared" si="7"/>
        <v>3069062</v>
      </c>
      <c r="P20" s="7">
        <f t="shared" si="8"/>
        <v>176301.65000000037</v>
      </c>
      <c r="Q20" s="8">
        <f t="shared" si="9"/>
        <v>1.0574447990949678</v>
      </c>
    </row>
    <row r="21" spans="1:17" x14ac:dyDescent="0.25">
      <c r="A21" s="3" t="s">
        <v>22</v>
      </c>
      <c r="B21" s="7">
        <f>B20</f>
        <v>980686.81</v>
      </c>
      <c r="C21" s="7">
        <f>C20</f>
        <v>1021916</v>
      </c>
      <c r="D21" s="7">
        <f t="shared" si="0"/>
        <v>-41229.189999999944</v>
      </c>
      <c r="E21" s="8">
        <f t="shared" si="1"/>
        <v>0.95965501078366522</v>
      </c>
      <c r="F21" s="7">
        <f>F20</f>
        <v>1147649.51</v>
      </c>
      <c r="G21" s="7">
        <f>G20</f>
        <v>1025130</v>
      </c>
      <c r="H21" s="7">
        <f t="shared" si="2"/>
        <v>122519.51000000001</v>
      </c>
      <c r="I21" s="8">
        <f t="shared" si="3"/>
        <v>1.1195160711324417</v>
      </c>
      <c r="J21" s="7">
        <f>J20</f>
        <v>1117027.33</v>
      </c>
      <c r="K21" s="7">
        <f>K20</f>
        <v>1022016</v>
      </c>
      <c r="L21" s="7">
        <f t="shared" si="4"/>
        <v>95011.330000000075</v>
      </c>
      <c r="M21" s="8">
        <f t="shared" si="5"/>
        <v>1.0929646209061308</v>
      </c>
      <c r="N21" s="7">
        <f t="shared" si="6"/>
        <v>3245363.6500000004</v>
      </c>
      <c r="O21" s="7">
        <f t="shared" si="7"/>
        <v>3069062</v>
      </c>
      <c r="P21" s="7">
        <f t="shared" si="8"/>
        <v>176301.65000000037</v>
      </c>
      <c r="Q21" s="8">
        <f t="shared" si="9"/>
        <v>1.0574447990949678</v>
      </c>
    </row>
    <row r="22" spans="1:17" x14ac:dyDescent="0.25">
      <c r="A22" s="3" t="s">
        <v>23</v>
      </c>
      <c r="B22" s="7">
        <f>(B21)-(0)</f>
        <v>980686.81</v>
      </c>
      <c r="C22" s="7">
        <f>(C21)-(0)</f>
        <v>1021916</v>
      </c>
      <c r="D22" s="7">
        <f t="shared" si="0"/>
        <v>-41229.189999999944</v>
      </c>
      <c r="E22" s="8">
        <f t="shared" si="1"/>
        <v>0.95965501078366522</v>
      </c>
      <c r="F22" s="7">
        <f>(F21)-(0)</f>
        <v>1147649.51</v>
      </c>
      <c r="G22" s="7">
        <f>(G21)-(0)</f>
        <v>1025130</v>
      </c>
      <c r="H22" s="7">
        <f t="shared" si="2"/>
        <v>122519.51000000001</v>
      </c>
      <c r="I22" s="8">
        <f t="shared" si="3"/>
        <v>1.1195160711324417</v>
      </c>
      <c r="J22" s="7">
        <f>(J21)-(0)</f>
        <v>1117027.33</v>
      </c>
      <c r="K22" s="7">
        <f>(K21)-(0)</f>
        <v>1022016</v>
      </c>
      <c r="L22" s="7">
        <f t="shared" si="4"/>
        <v>95011.330000000075</v>
      </c>
      <c r="M22" s="8">
        <f t="shared" si="5"/>
        <v>1.0929646209061308</v>
      </c>
      <c r="N22" s="7">
        <f t="shared" si="6"/>
        <v>3245363.6500000004</v>
      </c>
      <c r="O22" s="7">
        <f t="shared" si="7"/>
        <v>3069062</v>
      </c>
      <c r="P22" s="7">
        <f t="shared" si="8"/>
        <v>176301.65000000037</v>
      </c>
      <c r="Q22" s="8">
        <f t="shared" si="9"/>
        <v>1.0574447990949678</v>
      </c>
    </row>
    <row r="23" spans="1:17" x14ac:dyDescent="0.25">
      <c r="A23" s="3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3" t="s">
        <v>25</v>
      </c>
      <c r="B24" s="4"/>
      <c r="C24" s="4"/>
      <c r="D24" s="5">
        <f t="shared" ref="D24:D55" si="10">(B24)-(C24)</f>
        <v>0</v>
      </c>
      <c r="E24" s="6" t="str">
        <f t="shared" ref="E24:E55" si="11">IF(C24=0,"",(B24)/(C24))</f>
        <v/>
      </c>
      <c r="F24" s="4"/>
      <c r="G24" s="4"/>
      <c r="H24" s="5">
        <f t="shared" ref="H24:H55" si="12">(F24)-(G24)</f>
        <v>0</v>
      </c>
      <c r="I24" s="6" t="str">
        <f t="shared" ref="I24:I55" si="13">IF(G24=0,"",(F24)/(G24))</f>
        <v/>
      </c>
      <c r="J24" s="4"/>
      <c r="K24" s="4"/>
      <c r="L24" s="5">
        <f t="shared" ref="L24:L55" si="14">(J24)-(K24)</f>
        <v>0</v>
      </c>
      <c r="M24" s="6" t="str">
        <f t="shared" ref="M24:M55" si="15">IF(K24=0,"",(J24)/(K24))</f>
        <v/>
      </c>
      <c r="N24" s="5">
        <f t="shared" ref="N24:N55" si="16">((B24)+(F24))+(J24)</f>
        <v>0</v>
      </c>
      <c r="O24" s="5">
        <f t="shared" ref="O24:O55" si="17">((C24)+(G24))+(K24)</f>
        <v>0</v>
      </c>
      <c r="P24" s="5">
        <f t="shared" ref="P24:P55" si="18">(N24)-(O24)</f>
        <v>0</v>
      </c>
      <c r="Q24" s="6" t="str">
        <f t="shared" ref="Q24:Q55" si="19">IF(O24=0,"",(N24)/(O24))</f>
        <v/>
      </c>
    </row>
    <row r="25" spans="1:17" x14ac:dyDescent="0.25">
      <c r="A25" s="3" t="s">
        <v>26</v>
      </c>
      <c r="B25" s="5">
        <f>275206.46</f>
        <v>275206.46000000002</v>
      </c>
      <c r="C25" s="5">
        <f>329687</f>
        <v>329687</v>
      </c>
      <c r="D25" s="5">
        <f t="shared" si="10"/>
        <v>-54480.539999999979</v>
      </c>
      <c r="E25" s="6">
        <f t="shared" si="11"/>
        <v>0.83475071810535451</v>
      </c>
      <c r="F25" s="5">
        <f>346177.56</f>
        <v>346177.56</v>
      </c>
      <c r="G25" s="5">
        <f>329687</f>
        <v>329687</v>
      </c>
      <c r="H25" s="5">
        <f t="shared" si="12"/>
        <v>16490.559999999998</v>
      </c>
      <c r="I25" s="6">
        <f t="shared" si="13"/>
        <v>1.0500188360475238</v>
      </c>
      <c r="J25" s="5">
        <f>295742.8</f>
        <v>295742.8</v>
      </c>
      <c r="K25" s="5">
        <f>329687</f>
        <v>329687</v>
      </c>
      <c r="L25" s="5">
        <f t="shared" si="14"/>
        <v>-33944.200000000012</v>
      </c>
      <c r="M25" s="6">
        <f t="shared" si="15"/>
        <v>0.89704113295337695</v>
      </c>
      <c r="N25" s="5">
        <f t="shared" si="16"/>
        <v>917126.82000000007</v>
      </c>
      <c r="O25" s="5">
        <f t="shared" si="17"/>
        <v>989061</v>
      </c>
      <c r="P25" s="5">
        <f t="shared" si="18"/>
        <v>-71934.179999999935</v>
      </c>
      <c r="Q25" s="6">
        <f t="shared" si="19"/>
        <v>0.92727022903541856</v>
      </c>
    </row>
    <row r="26" spans="1:17" x14ac:dyDescent="0.25">
      <c r="A26" s="3" t="s">
        <v>27</v>
      </c>
      <c r="B26" s="5">
        <f>4781.24</f>
        <v>4781.24</v>
      </c>
      <c r="C26" s="5">
        <f>0</f>
        <v>0</v>
      </c>
      <c r="D26" s="5">
        <f t="shared" si="10"/>
        <v>4781.24</v>
      </c>
      <c r="E26" s="6" t="str">
        <f t="shared" si="11"/>
        <v/>
      </c>
      <c r="F26" s="5">
        <f>17351.86</f>
        <v>17351.86</v>
      </c>
      <c r="G26" s="5">
        <f>13000</f>
        <v>13000</v>
      </c>
      <c r="H26" s="5">
        <f t="shared" si="12"/>
        <v>4351.8600000000006</v>
      </c>
      <c r="I26" s="6">
        <f t="shared" si="13"/>
        <v>1.3347584615384616</v>
      </c>
      <c r="J26" s="5">
        <f>17557</f>
        <v>17557</v>
      </c>
      <c r="K26" s="5">
        <f>13000</f>
        <v>13000</v>
      </c>
      <c r="L26" s="5">
        <f t="shared" si="14"/>
        <v>4557</v>
      </c>
      <c r="M26" s="6">
        <f t="shared" si="15"/>
        <v>1.3505384615384615</v>
      </c>
      <c r="N26" s="5">
        <f t="shared" si="16"/>
        <v>39690.1</v>
      </c>
      <c r="O26" s="5">
        <f t="shared" si="17"/>
        <v>26000</v>
      </c>
      <c r="P26" s="5">
        <f t="shared" si="18"/>
        <v>13690.099999999999</v>
      </c>
      <c r="Q26" s="6">
        <f t="shared" si="19"/>
        <v>1.5265423076923077</v>
      </c>
    </row>
    <row r="27" spans="1:17" x14ac:dyDescent="0.25">
      <c r="A27" s="3" t="s">
        <v>28</v>
      </c>
      <c r="B27" s="5">
        <f>56624.91</f>
        <v>56624.91</v>
      </c>
      <c r="C27" s="5">
        <f>65411</f>
        <v>65411</v>
      </c>
      <c r="D27" s="5">
        <f t="shared" si="10"/>
        <v>-8786.0899999999965</v>
      </c>
      <c r="E27" s="6">
        <f t="shared" si="11"/>
        <v>0.86567870847410988</v>
      </c>
      <c r="F27" s="5">
        <f>84052.18</f>
        <v>84052.18</v>
      </c>
      <c r="G27" s="5">
        <f>65411</f>
        <v>65411</v>
      </c>
      <c r="H27" s="5">
        <f t="shared" si="12"/>
        <v>18641.179999999993</v>
      </c>
      <c r="I27" s="6">
        <f t="shared" si="13"/>
        <v>1.2849854000091727</v>
      </c>
      <c r="J27" s="5">
        <f>57082.36</f>
        <v>57082.36</v>
      </c>
      <c r="K27" s="5">
        <f>65411</f>
        <v>65411</v>
      </c>
      <c r="L27" s="5">
        <f t="shared" si="14"/>
        <v>-8328.64</v>
      </c>
      <c r="M27" s="6">
        <f t="shared" si="15"/>
        <v>0.87267218052009599</v>
      </c>
      <c r="N27" s="5">
        <f t="shared" si="16"/>
        <v>197759.45</v>
      </c>
      <c r="O27" s="5">
        <f t="shared" si="17"/>
        <v>196233</v>
      </c>
      <c r="P27" s="5">
        <f t="shared" si="18"/>
        <v>1526.4500000000116</v>
      </c>
      <c r="Q27" s="6">
        <f t="shared" si="19"/>
        <v>1.0077787630011263</v>
      </c>
    </row>
    <row r="28" spans="1:17" x14ac:dyDescent="0.25">
      <c r="A28" s="3" t="s">
        <v>29</v>
      </c>
      <c r="B28" s="5">
        <f>20489.43</f>
        <v>20489.43</v>
      </c>
      <c r="C28" s="5">
        <f>23690</f>
        <v>23690</v>
      </c>
      <c r="D28" s="5">
        <f t="shared" si="10"/>
        <v>-3200.5699999999997</v>
      </c>
      <c r="E28" s="6">
        <f t="shared" si="11"/>
        <v>0.86489784719290841</v>
      </c>
      <c r="F28" s="5">
        <f>18020.67</f>
        <v>18020.669999999998</v>
      </c>
      <c r="G28" s="5">
        <f>23690</f>
        <v>23690</v>
      </c>
      <c r="H28" s="5">
        <f t="shared" si="12"/>
        <v>-5669.3300000000017</v>
      </c>
      <c r="I28" s="6">
        <f t="shared" si="13"/>
        <v>0.76068678767412401</v>
      </c>
      <c r="J28" s="5">
        <f>21102.2</f>
        <v>21102.2</v>
      </c>
      <c r="K28" s="5">
        <f>23690</f>
        <v>23690</v>
      </c>
      <c r="L28" s="5">
        <f t="shared" si="14"/>
        <v>-2587.7999999999993</v>
      </c>
      <c r="M28" s="6">
        <f t="shared" si="15"/>
        <v>0.8907640354579992</v>
      </c>
      <c r="N28" s="5">
        <f t="shared" si="16"/>
        <v>59612.3</v>
      </c>
      <c r="O28" s="5">
        <f t="shared" si="17"/>
        <v>71070</v>
      </c>
      <c r="P28" s="5">
        <f t="shared" si="18"/>
        <v>-11457.699999999997</v>
      </c>
      <c r="Q28" s="6">
        <f t="shared" si="19"/>
        <v>0.83878289010834395</v>
      </c>
    </row>
    <row r="29" spans="1:17" x14ac:dyDescent="0.25">
      <c r="A29" s="3" t="s">
        <v>30</v>
      </c>
      <c r="B29" s="5">
        <f>5744.94</f>
        <v>5744.94</v>
      </c>
      <c r="C29" s="5">
        <f>7624</f>
        <v>7624</v>
      </c>
      <c r="D29" s="5">
        <f t="shared" si="10"/>
        <v>-1879.0600000000004</v>
      </c>
      <c r="E29" s="6">
        <f t="shared" si="11"/>
        <v>0.75353357817418676</v>
      </c>
      <c r="F29" s="5">
        <f>8733.83</f>
        <v>8733.83</v>
      </c>
      <c r="G29" s="5">
        <f>7624</f>
        <v>7624</v>
      </c>
      <c r="H29" s="5">
        <f t="shared" si="12"/>
        <v>1109.83</v>
      </c>
      <c r="I29" s="6">
        <f t="shared" si="13"/>
        <v>1.1455705666316893</v>
      </c>
      <c r="J29" s="5">
        <f>7630.07</f>
        <v>7630.07</v>
      </c>
      <c r="K29" s="5">
        <f>7624</f>
        <v>7624</v>
      </c>
      <c r="L29" s="5">
        <f t="shared" si="14"/>
        <v>6.069999999999709</v>
      </c>
      <c r="M29" s="6">
        <f t="shared" si="15"/>
        <v>1.0007961699895067</v>
      </c>
      <c r="N29" s="5">
        <f t="shared" si="16"/>
        <v>22108.84</v>
      </c>
      <c r="O29" s="5">
        <f t="shared" si="17"/>
        <v>22872</v>
      </c>
      <c r="P29" s="5">
        <f t="shared" si="18"/>
        <v>-763.15999999999985</v>
      </c>
      <c r="Q29" s="6">
        <f t="shared" si="19"/>
        <v>0.96663343826512771</v>
      </c>
    </row>
    <row r="30" spans="1:17" x14ac:dyDescent="0.25">
      <c r="A30" s="3" t="s">
        <v>31</v>
      </c>
      <c r="B30" s="5">
        <f>65776.19</f>
        <v>65776.19</v>
      </c>
      <c r="C30" s="5">
        <f>82613</f>
        <v>82613</v>
      </c>
      <c r="D30" s="5">
        <f t="shared" si="10"/>
        <v>-16836.809999999998</v>
      </c>
      <c r="E30" s="6">
        <f t="shared" si="11"/>
        <v>0.79619660344013654</v>
      </c>
      <c r="F30" s="5">
        <f>85325.65</f>
        <v>85325.65</v>
      </c>
      <c r="G30" s="5">
        <f>82613</f>
        <v>82613</v>
      </c>
      <c r="H30" s="5">
        <f t="shared" si="12"/>
        <v>2712.6499999999942</v>
      </c>
      <c r="I30" s="6">
        <f t="shared" si="13"/>
        <v>1.0328356311960587</v>
      </c>
      <c r="J30" s="5">
        <f>70399.17</f>
        <v>70399.17</v>
      </c>
      <c r="K30" s="5">
        <f>82613</f>
        <v>82613</v>
      </c>
      <c r="L30" s="5">
        <f t="shared" si="14"/>
        <v>-12213.830000000002</v>
      </c>
      <c r="M30" s="6">
        <f t="shared" si="15"/>
        <v>0.85215607713071795</v>
      </c>
      <c r="N30" s="5">
        <f t="shared" si="16"/>
        <v>221501.01</v>
      </c>
      <c r="O30" s="5">
        <f t="shared" si="17"/>
        <v>247839</v>
      </c>
      <c r="P30" s="5">
        <f t="shared" si="18"/>
        <v>-26337.989999999991</v>
      </c>
      <c r="Q30" s="6">
        <f t="shared" si="19"/>
        <v>0.8937294372556378</v>
      </c>
    </row>
    <row r="31" spans="1:17" x14ac:dyDescent="0.25">
      <c r="A31" s="3" t="s">
        <v>32</v>
      </c>
      <c r="B31" s="4"/>
      <c r="C31" s="5">
        <f>10640</f>
        <v>10640</v>
      </c>
      <c r="D31" s="5">
        <f t="shared" si="10"/>
        <v>-10640</v>
      </c>
      <c r="E31" s="6">
        <f t="shared" si="11"/>
        <v>0</v>
      </c>
      <c r="F31" s="4"/>
      <c r="G31" s="5">
        <f>10640</f>
        <v>10640</v>
      </c>
      <c r="H31" s="5">
        <f t="shared" si="12"/>
        <v>-10640</v>
      </c>
      <c r="I31" s="6">
        <f t="shared" si="13"/>
        <v>0</v>
      </c>
      <c r="J31" s="4"/>
      <c r="K31" s="5">
        <f>10640</f>
        <v>10640</v>
      </c>
      <c r="L31" s="5">
        <f t="shared" si="14"/>
        <v>-10640</v>
      </c>
      <c r="M31" s="6">
        <f t="shared" si="15"/>
        <v>0</v>
      </c>
      <c r="N31" s="5">
        <f t="shared" si="16"/>
        <v>0</v>
      </c>
      <c r="O31" s="5">
        <f t="shared" si="17"/>
        <v>31920</v>
      </c>
      <c r="P31" s="5">
        <f t="shared" si="18"/>
        <v>-31920</v>
      </c>
      <c r="Q31" s="6">
        <f t="shared" si="19"/>
        <v>0</v>
      </c>
    </row>
    <row r="32" spans="1:17" x14ac:dyDescent="0.25">
      <c r="A32" s="3" t="s">
        <v>33</v>
      </c>
      <c r="B32" s="4"/>
      <c r="C32" s="5">
        <f>1058</f>
        <v>1058</v>
      </c>
      <c r="D32" s="5">
        <f t="shared" si="10"/>
        <v>-1058</v>
      </c>
      <c r="E32" s="6">
        <f t="shared" si="11"/>
        <v>0</v>
      </c>
      <c r="F32" s="4"/>
      <c r="G32" s="5">
        <f>1058</f>
        <v>1058</v>
      </c>
      <c r="H32" s="5">
        <f t="shared" si="12"/>
        <v>-1058</v>
      </c>
      <c r="I32" s="6">
        <f t="shared" si="13"/>
        <v>0</v>
      </c>
      <c r="J32" s="4"/>
      <c r="K32" s="5">
        <f>1058</f>
        <v>1058</v>
      </c>
      <c r="L32" s="5">
        <f t="shared" si="14"/>
        <v>-1058</v>
      </c>
      <c r="M32" s="6">
        <f t="shared" si="15"/>
        <v>0</v>
      </c>
      <c r="N32" s="5">
        <f t="shared" si="16"/>
        <v>0</v>
      </c>
      <c r="O32" s="5">
        <f t="shared" si="17"/>
        <v>3174</v>
      </c>
      <c r="P32" s="5">
        <f t="shared" si="18"/>
        <v>-3174</v>
      </c>
      <c r="Q32" s="6">
        <f t="shared" si="19"/>
        <v>0</v>
      </c>
    </row>
    <row r="33" spans="1:17" x14ac:dyDescent="0.25">
      <c r="A33" s="3" t="s">
        <v>34</v>
      </c>
      <c r="B33" s="4"/>
      <c r="C33" s="4"/>
      <c r="D33" s="5">
        <f t="shared" si="10"/>
        <v>0</v>
      </c>
      <c r="E33" s="6" t="str">
        <f t="shared" si="11"/>
        <v/>
      </c>
      <c r="F33" s="5">
        <f>150</f>
        <v>150</v>
      </c>
      <c r="G33" s="4"/>
      <c r="H33" s="5">
        <f t="shared" si="12"/>
        <v>150</v>
      </c>
      <c r="I33" s="6" t="str">
        <f t="shared" si="13"/>
        <v/>
      </c>
      <c r="J33" s="4"/>
      <c r="K33" s="4"/>
      <c r="L33" s="5">
        <f t="shared" si="14"/>
        <v>0</v>
      </c>
      <c r="M33" s="6" t="str">
        <f t="shared" si="15"/>
        <v/>
      </c>
      <c r="N33" s="5">
        <f t="shared" si="16"/>
        <v>150</v>
      </c>
      <c r="O33" s="5">
        <f t="shared" si="17"/>
        <v>0</v>
      </c>
      <c r="P33" s="5">
        <f t="shared" si="18"/>
        <v>150</v>
      </c>
      <c r="Q33" s="6" t="str">
        <f t="shared" si="19"/>
        <v/>
      </c>
    </row>
    <row r="34" spans="1:17" x14ac:dyDescent="0.25">
      <c r="A34" s="3" t="s">
        <v>35</v>
      </c>
      <c r="B34" s="4"/>
      <c r="C34" s="4"/>
      <c r="D34" s="5">
        <f t="shared" si="10"/>
        <v>0</v>
      </c>
      <c r="E34" s="6" t="str">
        <f t="shared" si="11"/>
        <v/>
      </c>
      <c r="F34" s="5">
        <f>4890</f>
        <v>4890</v>
      </c>
      <c r="G34" s="4"/>
      <c r="H34" s="5">
        <f t="shared" si="12"/>
        <v>4890</v>
      </c>
      <c r="I34" s="6" t="str">
        <f t="shared" si="13"/>
        <v/>
      </c>
      <c r="J34" s="4"/>
      <c r="K34" s="4"/>
      <c r="L34" s="5">
        <f t="shared" si="14"/>
        <v>0</v>
      </c>
      <c r="M34" s="6" t="str">
        <f t="shared" si="15"/>
        <v/>
      </c>
      <c r="N34" s="5">
        <f t="shared" si="16"/>
        <v>4890</v>
      </c>
      <c r="O34" s="5">
        <f t="shared" si="17"/>
        <v>0</v>
      </c>
      <c r="P34" s="5">
        <f t="shared" si="18"/>
        <v>4890</v>
      </c>
      <c r="Q34" s="6" t="str">
        <f t="shared" si="19"/>
        <v/>
      </c>
    </row>
    <row r="35" spans="1:17" x14ac:dyDescent="0.25">
      <c r="A35" s="3" t="s">
        <v>36</v>
      </c>
      <c r="B35" s="4"/>
      <c r="C35" s="5">
        <f>938</f>
        <v>938</v>
      </c>
      <c r="D35" s="5">
        <f t="shared" si="10"/>
        <v>-938</v>
      </c>
      <c r="E35" s="6">
        <f t="shared" si="11"/>
        <v>0</v>
      </c>
      <c r="F35" s="4"/>
      <c r="G35" s="5">
        <f>938</f>
        <v>938</v>
      </c>
      <c r="H35" s="5">
        <f t="shared" si="12"/>
        <v>-938</v>
      </c>
      <c r="I35" s="6">
        <f t="shared" si="13"/>
        <v>0</v>
      </c>
      <c r="J35" s="4"/>
      <c r="K35" s="5">
        <f>938</f>
        <v>938</v>
      </c>
      <c r="L35" s="5">
        <f t="shared" si="14"/>
        <v>-938</v>
      </c>
      <c r="M35" s="6">
        <f t="shared" si="15"/>
        <v>0</v>
      </c>
      <c r="N35" s="5">
        <f t="shared" si="16"/>
        <v>0</v>
      </c>
      <c r="O35" s="5">
        <f t="shared" si="17"/>
        <v>2814</v>
      </c>
      <c r="P35" s="5">
        <f t="shared" si="18"/>
        <v>-2814</v>
      </c>
      <c r="Q35" s="6">
        <f t="shared" si="19"/>
        <v>0</v>
      </c>
    </row>
    <row r="36" spans="1:17" x14ac:dyDescent="0.25">
      <c r="A36" s="3" t="s">
        <v>37</v>
      </c>
      <c r="B36" s="4"/>
      <c r="C36" s="4"/>
      <c r="D36" s="5">
        <f t="shared" si="10"/>
        <v>0</v>
      </c>
      <c r="E36" s="6" t="str">
        <f t="shared" si="11"/>
        <v/>
      </c>
      <c r="F36" s="5">
        <f>890</f>
        <v>890</v>
      </c>
      <c r="G36" s="4"/>
      <c r="H36" s="5">
        <f t="shared" si="12"/>
        <v>890</v>
      </c>
      <c r="I36" s="6" t="str">
        <f t="shared" si="13"/>
        <v/>
      </c>
      <c r="J36" s="4"/>
      <c r="K36" s="4"/>
      <c r="L36" s="5">
        <f t="shared" si="14"/>
        <v>0</v>
      </c>
      <c r="M36" s="6" t="str">
        <f t="shared" si="15"/>
        <v/>
      </c>
      <c r="N36" s="5">
        <f t="shared" si="16"/>
        <v>890</v>
      </c>
      <c r="O36" s="5">
        <f t="shared" si="17"/>
        <v>0</v>
      </c>
      <c r="P36" s="5">
        <f t="shared" si="18"/>
        <v>890</v>
      </c>
      <c r="Q36" s="6" t="str">
        <f t="shared" si="19"/>
        <v/>
      </c>
    </row>
    <row r="37" spans="1:17" x14ac:dyDescent="0.25">
      <c r="A37" s="3" t="s">
        <v>38</v>
      </c>
      <c r="B37" s="5">
        <f>582.04</f>
        <v>582.04</v>
      </c>
      <c r="C37" s="5">
        <f>2414</f>
        <v>2414</v>
      </c>
      <c r="D37" s="5">
        <f t="shared" si="10"/>
        <v>-1831.96</v>
      </c>
      <c r="E37" s="6">
        <f t="shared" si="11"/>
        <v>0.24111019055509525</v>
      </c>
      <c r="F37" s="5">
        <f>2148.43</f>
        <v>2148.4299999999998</v>
      </c>
      <c r="G37" s="5">
        <f>2414</f>
        <v>2414</v>
      </c>
      <c r="H37" s="5">
        <f t="shared" si="12"/>
        <v>-265.57000000000016</v>
      </c>
      <c r="I37" s="6">
        <f t="shared" si="13"/>
        <v>0.88998757249378613</v>
      </c>
      <c r="J37" s="5">
        <f>98.64</f>
        <v>98.64</v>
      </c>
      <c r="K37" s="5">
        <f>2414</f>
        <v>2414</v>
      </c>
      <c r="L37" s="5">
        <f t="shared" si="14"/>
        <v>-2315.36</v>
      </c>
      <c r="M37" s="6">
        <f t="shared" si="15"/>
        <v>4.0861640430820217E-2</v>
      </c>
      <c r="N37" s="5">
        <f t="shared" si="16"/>
        <v>2829.1099999999997</v>
      </c>
      <c r="O37" s="5">
        <f t="shared" si="17"/>
        <v>7242</v>
      </c>
      <c r="P37" s="5">
        <f t="shared" si="18"/>
        <v>-4412.8900000000003</v>
      </c>
      <c r="Q37" s="6">
        <f t="shared" si="19"/>
        <v>0.39065313449323386</v>
      </c>
    </row>
    <row r="38" spans="1:17" x14ac:dyDescent="0.25">
      <c r="A38" s="3" t="s">
        <v>39</v>
      </c>
      <c r="B38" s="5">
        <f>39540.73</f>
        <v>39540.730000000003</v>
      </c>
      <c r="C38" s="5">
        <f>40000</f>
        <v>40000</v>
      </c>
      <c r="D38" s="5">
        <f t="shared" si="10"/>
        <v>-459.2699999999968</v>
      </c>
      <c r="E38" s="6">
        <f t="shared" si="11"/>
        <v>0.98851825000000004</v>
      </c>
      <c r="F38" s="5">
        <f>3423.05</f>
        <v>3423.05</v>
      </c>
      <c r="G38" s="5">
        <f>40000</f>
        <v>40000</v>
      </c>
      <c r="H38" s="5">
        <f t="shared" si="12"/>
        <v>-36576.949999999997</v>
      </c>
      <c r="I38" s="6">
        <f t="shared" si="13"/>
        <v>8.5576250000000006E-2</v>
      </c>
      <c r="J38" s="5">
        <f>1146.47</f>
        <v>1146.47</v>
      </c>
      <c r="K38" s="5">
        <f>4500</f>
        <v>4500</v>
      </c>
      <c r="L38" s="5">
        <f t="shared" si="14"/>
        <v>-3353.5299999999997</v>
      </c>
      <c r="M38" s="6">
        <f t="shared" si="15"/>
        <v>0.25477111111111111</v>
      </c>
      <c r="N38" s="5">
        <f t="shared" si="16"/>
        <v>44110.250000000007</v>
      </c>
      <c r="O38" s="5">
        <f t="shared" si="17"/>
        <v>84500</v>
      </c>
      <c r="P38" s="5">
        <f t="shared" si="18"/>
        <v>-40389.749999999993</v>
      </c>
      <c r="Q38" s="6">
        <f t="shared" si="19"/>
        <v>0.52201479289940833</v>
      </c>
    </row>
    <row r="39" spans="1:17" x14ac:dyDescent="0.25">
      <c r="A39" s="3" t="s">
        <v>40</v>
      </c>
      <c r="B39" s="5">
        <f>10125.34</f>
        <v>10125.34</v>
      </c>
      <c r="C39" s="4"/>
      <c r="D39" s="5">
        <f t="shared" si="10"/>
        <v>10125.34</v>
      </c>
      <c r="E39" s="6" t="str">
        <f t="shared" si="11"/>
        <v/>
      </c>
      <c r="F39" s="5">
        <f>1047</f>
        <v>1047</v>
      </c>
      <c r="G39" s="4"/>
      <c r="H39" s="5">
        <f t="shared" si="12"/>
        <v>1047</v>
      </c>
      <c r="I39" s="6" t="str">
        <f t="shared" si="13"/>
        <v/>
      </c>
      <c r="J39" s="4"/>
      <c r="K39" s="4"/>
      <c r="L39" s="5">
        <f t="shared" si="14"/>
        <v>0</v>
      </c>
      <c r="M39" s="6" t="str">
        <f t="shared" si="15"/>
        <v/>
      </c>
      <c r="N39" s="5">
        <f t="shared" si="16"/>
        <v>11172.34</v>
      </c>
      <c r="O39" s="5">
        <f t="shared" si="17"/>
        <v>0</v>
      </c>
      <c r="P39" s="5">
        <f t="shared" si="18"/>
        <v>11172.34</v>
      </c>
      <c r="Q39" s="6" t="str">
        <f t="shared" si="19"/>
        <v/>
      </c>
    </row>
    <row r="40" spans="1:17" x14ac:dyDescent="0.25">
      <c r="A40" s="3" t="s">
        <v>41</v>
      </c>
      <c r="B40" s="4"/>
      <c r="C40" s="4"/>
      <c r="D40" s="5">
        <f t="shared" si="10"/>
        <v>0</v>
      </c>
      <c r="E40" s="6" t="str">
        <f t="shared" si="11"/>
        <v/>
      </c>
      <c r="F40" s="5">
        <f>9658.24</f>
        <v>9658.24</v>
      </c>
      <c r="G40" s="4"/>
      <c r="H40" s="5">
        <f t="shared" si="12"/>
        <v>9658.24</v>
      </c>
      <c r="I40" s="6" t="str">
        <f t="shared" si="13"/>
        <v/>
      </c>
      <c r="J40" s="5">
        <f>150</f>
        <v>150</v>
      </c>
      <c r="K40" s="4"/>
      <c r="L40" s="5">
        <f t="shared" si="14"/>
        <v>150</v>
      </c>
      <c r="M40" s="6" t="str">
        <f t="shared" si="15"/>
        <v/>
      </c>
      <c r="N40" s="5">
        <f t="shared" si="16"/>
        <v>9808.24</v>
      </c>
      <c r="O40" s="5">
        <f t="shared" si="17"/>
        <v>0</v>
      </c>
      <c r="P40" s="5">
        <f t="shared" si="18"/>
        <v>9808.24</v>
      </c>
      <c r="Q40" s="6" t="str">
        <f t="shared" si="19"/>
        <v/>
      </c>
    </row>
    <row r="41" spans="1:17" x14ac:dyDescent="0.25">
      <c r="A41" s="3" t="s">
        <v>42</v>
      </c>
      <c r="B41" s="7">
        <f>((B38)+(B39))+(B40)</f>
        <v>49666.070000000007</v>
      </c>
      <c r="C41" s="7">
        <f>((C38)+(C39))+(C40)</f>
        <v>40000</v>
      </c>
      <c r="D41" s="7">
        <f t="shared" si="10"/>
        <v>9666.070000000007</v>
      </c>
      <c r="E41" s="8">
        <f t="shared" si="11"/>
        <v>1.2416517500000002</v>
      </c>
      <c r="F41" s="7">
        <f>((F38)+(F39))+(F40)</f>
        <v>14128.29</v>
      </c>
      <c r="G41" s="7">
        <f>((G38)+(G39))+(G40)</f>
        <v>40000</v>
      </c>
      <c r="H41" s="7">
        <f t="shared" si="12"/>
        <v>-25871.71</v>
      </c>
      <c r="I41" s="8">
        <f t="shared" si="13"/>
        <v>0.35320725000000003</v>
      </c>
      <c r="J41" s="7">
        <f>((J38)+(J39))+(J40)</f>
        <v>1296.47</v>
      </c>
      <c r="K41" s="7">
        <f>((K38)+(K39))+(K40)</f>
        <v>4500</v>
      </c>
      <c r="L41" s="7">
        <f t="shared" si="14"/>
        <v>-3203.5299999999997</v>
      </c>
      <c r="M41" s="8">
        <f t="shared" si="15"/>
        <v>0.28810444444444444</v>
      </c>
      <c r="N41" s="7">
        <f t="shared" si="16"/>
        <v>65090.830000000009</v>
      </c>
      <c r="O41" s="7">
        <f t="shared" si="17"/>
        <v>84500</v>
      </c>
      <c r="P41" s="7">
        <f t="shared" si="18"/>
        <v>-19409.169999999991</v>
      </c>
      <c r="Q41" s="8">
        <f t="shared" si="19"/>
        <v>0.77030568047337289</v>
      </c>
    </row>
    <row r="42" spans="1:17" x14ac:dyDescent="0.25">
      <c r="A42" s="3" t="s">
        <v>43</v>
      </c>
      <c r="B42" s="5">
        <f>12638.22</f>
        <v>12638.22</v>
      </c>
      <c r="C42" s="5">
        <f>9135</f>
        <v>9135</v>
      </c>
      <c r="D42" s="5">
        <f t="shared" si="10"/>
        <v>3503.2199999999993</v>
      </c>
      <c r="E42" s="6">
        <f t="shared" si="11"/>
        <v>1.3834942528735632</v>
      </c>
      <c r="F42" s="5">
        <f>15088.29</f>
        <v>15088.29</v>
      </c>
      <c r="G42" s="5">
        <f>9135</f>
        <v>9135</v>
      </c>
      <c r="H42" s="5">
        <f t="shared" si="12"/>
        <v>5953.2900000000009</v>
      </c>
      <c r="I42" s="6">
        <f t="shared" si="13"/>
        <v>1.6517011494252876</v>
      </c>
      <c r="J42" s="5">
        <f>10344.94</f>
        <v>10344.94</v>
      </c>
      <c r="K42" s="5">
        <f>9135</f>
        <v>9135</v>
      </c>
      <c r="L42" s="5">
        <f t="shared" si="14"/>
        <v>1209.9400000000005</v>
      </c>
      <c r="M42" s="6">
        <f t="shared" si="15"/>
        <v>1.1324510125889438</v>
      </c>
      <c r="N42" s="5">
        <f t="shared" si="16"/>
        <v>38071.450000000004</v>
      </c>
      <c r="O42" s="5">
        <f t="shared" si="17"/>
        <v>27405</v>
      </c>
      <c r="P42" s="5">
        <f t="shared" si="18"/>
        <v>10666.450000000004</v>
      </c>
      <c r="Q42" s="6">
        <f t="shared" si="19"/>
        <v>1.3892154716292648</v>
      </c>
    </row>
    <row r="43" spans="1:17" x14ac:dyDescent="0.25">
      <c r="A43" s="3" t="s">
        <v>44</v>
      </c>
      <c r="B43" s="5">
        <f>7106.04</f>
        <v>7106.04</v>
      </c>
      <c r="C43" s="5">
        <f>3435</f>
        <v>3435</v>
      </c>
      <c r="D43" s="5">
        <f t="shared" si="10"/>
        <v>3671.04</v>
      </c>
      <c r="E43" s="6">
        <f t="shared" si="11"/>
        <v>2.0687161572052402</v>
      </c>
      <c r="F43" s="5">
        <f>14526.18</f>
        <v>14526.18</v>
      </c>
      <c r="G43" s="5">
        <f>3435</f>
        <v>3435</v>
      </c>
      <c r="H43" s="5">
        <f t="shared" si="12"/>
        <v>11091.18</v>
      </c>
      <c r="I43" s="6">
        <f t="shared" si="13"/>
        <v>4.2288733624454151</v>
      </c>
      <c r="J43" s="5">
        <f>747.32</f>
        <v>747.32</v>
      </c>
      <c r="K43" s="5">
        <f>3435</f>
        <v>3435</v>
      </c>
      <c r="L43" s="5">
        <f t="shared" si="14"/>
        <v>-2687.68</v>
      </c>
      <c r="M43" s="6">
        <f t="shared" si="15"/>
        <v>0.21756040756914122</v>
      </c>
      <c r="N43" s="5">
        <f t="shared" si="16"/>
        <v>22379.54</v>
      </c>
      <c r="O43" s="5">
        <f t="shared" si="17"/>
        <v>10305</v>
      </c>
      <c r="P43" s="5">
        <f t="shared" si="18"/>
        <v>12074.54</v>
      </c>
      <c r="Q43" s="6">
        <f t="shared" si="19"/>
        <v>2.171716642406599</v>
      </c>
    </row>
    <row r="44" spans="1:17" x14ac:dyDescent="0.25">
      <c r="A44" s="3" t="s">
        <v>45</v>
      </c>
      <c r="B44" s="5">
        <f>171.43</f>
        <v>171.43</v>
      </c>
      <c r="C44" s="5">
        <f>1076</f>
        <v>1076</v>
      </c>
      <c r="D44" s="5">
        <f t="shared" si="10"/>
        <v>-904.56999999999994</v>
      </c>
      <c r="E44" s="6">
        <f t="shared" si="11"/>
        <v>0.15932156133828998</v>
      </c>
      <c r="F44" s="5">
        <f>14430.14</f>
        <v>14430.14</v>
      </c>
      <c r="G44" s="5">
        <f>1076</f>
        <v>1076</v>
      </c>
      <c r="H44" s="5">
        <f t="shared" si="12"/>
        <v>13354.14</v>
      </c>
      <c r="I44" s="6">
        <f t="shared" si="13"/>
        <v>13.410910780669145</v>
      </c>
      <c r="J44" s="4"/>
      <c r="K44" s="5">
        <f>1076</f>
        <v>1076</v>
      </c>
      <c r="L44" s="5">
        <f t="shared" si="14"/>
        <v>-1076</v>
      </c>
      <c r="M44" s="6">
        <f t="shared" si="15"/>
        <v>0</v>
      </c>
      <c r="N44" s="5">
        <f t="shared" si="16"/>
        <v>14601.57</v>
      </c>
      <c r="O44" s="5">
        <f t="shared" si="17"/>
        <v>3228</v>
      </c>
      <c r="P44" s="5">
        <f t="shared" si="18"/>
        <v>11373.57</v>
      </c>
      <c r="Q44" s="6">
        <f t="shared" si="19"/>
        <v>4.5234107806691446</v>
      </c>
    </row>
    <row r="45" spans="1:17" x14ac:dyDescent="0.25">
      <c r="A45" s="3" t="s">
        <v>46</v>
      </c>
      <c r="B45" s="5">
        <f>20049.81</f>
        <v>20049.810000000001</v>
      </c>
      <c r="C45" s="5">
        <f>3060</f>
        <v>3060</v>
      </c>
      <c r="D45" s="5">
        <f t="shared" si="10"/>
        <v>16989.810000000001</v>
      </c>
      <c r="E45" s="6">
        <f t="shared" si="11"/>
        <v>6.5522254901960792</v>
      </c>
      <c r="F45" s="5">
        <f>2786.47</f>
        <v>2786.47</v>
      </c>
      <c r="G45" s="5">
        <f>3060</f>
        <v>3060</v>
      </c>
      <c r="H45" s="5">
        <f t="shared" si="12"/>
        <v>-273.5300000000002</v>
      </c>
      <c r="I45" s="6">
        <f t="shared" si="13"/>
        <v>0.91061111111111104</v>
      </c>
      <c r="J45" s="5">
        <f>2254.15</f>
        <v>2254.15</v>
      </c>
      <c r="K45" s="5">
        <f>3060</f>
        <v>3060</v>
      </c>
      <c r="L45" s="5">
        <f t="shared" si="14"/>
        <v>-805.84999999999991</v>
      </c>
      <c r="M45" s="6">
        <f t="shared" si="15"/>
        <v>0.73665032679738562</v>
      </c>
      <c r="N45" s="5">
        <f t="shared" si="16"/>
        <v>25090.430000000004</v>
      </c>
      <c r="O45" s="5">
        <f t="shared" si="17"/>
        <v>9180</v>
      </c>
      <c r="P45" s="5">
        <f t="shared" si="18"/>
        <v>15910.430000000004</v>
      </c>
      <c r="Q45" s="6">
        <f t="shared" si="19"/>
        <v>2.733162309368192</v>
      </c>
    </row>
    <row r="46" spans="1:17" x14ac:dyDescent="0.25">
      <c r="A46" s="3" t="s">
        <v>47</v>
      </c>
      <c r="B46" s="5">
        <f>36169.12</f>
        <v>36169.120000000003</v>
      </c>
      <c r="C46" s="5">
        <f>8467</f>
        <v>8467</v>
      </c>
      <c r="D46" s="5">
        <f t="shared" si="10"/>
        <v>27702.120000000003</v>
      </c>
      <c r="E46" s="6">
        <f t="shared" si="11"/>
        <v>4.2717751269635054</v>
      </c>
      <c r="F46" s="5">
        <f>8669.99</f>
        <v>8669.99</v>
      </c>
      <c r="G46" s="5">
        <f>8467</f>
        <v>8467</v>
      </c>
      <c r="H46" s="5">
        <f t="shared" si="12"/>
        <v>202.98999999999978</v>
      </c>
      <c r="I46" s="6">
        <f t="shared" si="13"/>
        <v>1.023974252982166</v>
      </c>
      <c r="J46" s="4"/>
      <c r="K46" s="5">
        <f>8467</f>
        <v>8467</v>
      </c>
      <c r="L46" s="5">
        <f t="shared" si="14"/>
        <v>-8467</v>
      </c>
      <c r="M46" s="6">
        <f t="shared" si="15"/>
        <v>0</v>
      </c>
      <c r="N46" s="5">
        <f t="shared" si="16"/>
        <v>44839.11</v>
      </c>
      <c r="O46" s="5">
        <f t="shared" si="17"/>
        <v>25401</v>
      </c>
      <c r="P46" s="5">
        <f t="shared" si="18"/>
        <v>19438.11</v>
      </c>
      <c r="Q46" s="6">
        <f t="shared" si="19"/>
        <v>1.7652497933152238</v>
      </c>
    </row>
    <row r="47" spans="1:17" x14ac:dyDescent="0.25">
      <c r="A47" s="3" t="s">
        <v>48</v>
      </c>
      <c r="B47" s="7">
        <f>(((((((((((((((((((B24)+(B25))+(B26))+(B27))+(B28))+(B29))+(B30))+(B31))+(B32))+(B33))+(B34))+(B35))+(B36))+(B37))+(B41))+(B42))+(B43))+(B44))+(B45))+(B46)</f>
        <v>555005.89999999991</v>
      </c>
      <c r="C47" s="7">
        <f>(((((((((((((((((((C24)+(C25))+(C26))+(C27))+(C28))+(C29))+(C30))+(C31))+(C32))+(C33))+(C34))+(C35))+(C36))+(C37))+(C41))+(C42))+(C43))+(C44))+(C45))+(C46)</f>
        <v>589248</v>
      </c>
      <c r="D47" s="7">
        <f t="shared" si="10"/>
        <v>-34242.100000000093</v>
      </c>
      <c r="E47" s="8">
        <f t="shared" si="11"/>
        <v>0.94188847480178106</v>
      </c>
      <c r="F47" s="7">
        <f>(((((((((((((((((((F24)+(F25))+(F26))+(F27))+(F28))+(F29))+(F30))+(F31))+(F32))+(F33))+(F34))+(F35))+(F36))+(F37))+(F41))+(F42))+(F43))+(F44))+(F45))+(F46)</f>
        <v>637369.54000000015</v>
      </c>
      <c r="G47" s="7">
        <f>(((((((((((((((((((G24)+(G25))+(G26))+(G27))+(G28))+(G29))+(G30))+(G31))+(G32))+(G33))+(G34))+(G35))+(G36))+(G37))+(G41))+(G42))+(G43))+(G44))+(G45))+(G46)</f>
        <v>602248</v>
      </c>
      <c r="H47" s="7">
        <f t="shared" si="12"/>
        <v>35121.540000000154</v>
      </c>
      <c r="I47" s="8">
        <f t="shared" si="13"/>
        <v>1.0583174041258754</v>
      </c>
      <c r="J47" s="7">
        <f>(((((((((((((((((((J24)+(J25))+(J26))+(J27))+(J28))+(J29))+(J30))+(J31))+(J32))+(J33))+(J34))+(J35))+(J36))+(J37))+(J41))+(J42))+(J43))+(J44))+(J45))+(J46)</f>
        <v>484255.12</v>
      </c>
      <c r="K47" s="7">
        <f>(((((((((((((((((((K24)+(K25))+(K26))+(K27))+(K28))+(K29))+(K30))+(K31))+(K32))+(K33))+(K34))+(K35))+(K36))+(K37))+(K41))+(K42))+(K43))+(K44))+(K45))+(K46)</f>
        <v>566748</v>
      </c>
      <c r="L47" s="7">
        <f t="shared" si="14"/>
        <v>-82492.88</v>
      </c>
      <c r="M47" s="8">
        <f t="shared" si="15"/>
        <v>0.8544452208036023</v>
      </c>
      <c r="N47" s="7">
        <f t="shared" si="16"/>
        <v>1676630.56</v>
      </c>
      <c r="O47" s="7">
        <f t="shared" si="17"/>
        <v>1758244</v>
      </c>
      <c r="P47" s="7">
        <f t="shared" si="18"/>
        <v>-81613.439999999944</v>
      </c>
      <c r="Q47" s="8">
        <f t="shared" si="19"/>
        <v>0.95358241518242071</v>
      </c>
    </row>
    <row r="48" spans="1:17" x14ac:dyDescent="0.25">
      <c r="A48" s="3" t="s">
        <v>49</v>
      </c>
      <c r="B48" s="4"/>
      <c r="C48" s="4"/>
      <c r="D48" s="5">
        <f t="shared" si="10"/>
        <v>0</v>
      </c>
      <c r="E48" s="6" t="str">
        <f t="shared" si="11"/>
        <v/>
      </c>
      <c r="F48" s="4"/>
      <c r="G48" s="4"/>
      <c r="H48" s="5">
        <f t="shared" si="12"/>
        <v>0</v>
      </c>
      <c r="I48" s="6" t="str">
        <f t="shared" si="13"/>
        <v/>
      </c>
      <c r="J48" s="4"/>
      <c r="K48" s="4"/>
      <c r="L48" s="5">
        <f t="shared" si="14"/>
        <v>0</v>
      </c>
      <c r="M48" s="6" t="str">
        <f t="shared" si="15"/>
        <v/>
      </c>
      <c r="N48" s="5">
        <f t="shared" si="16"/>
        <v>0</v>
      </c>
      <c r="O48" s="5">
        <f t="shared" si="17"/>
        <v>0</v>
      </c>
      <c r="P48" s="5">
        <f t="shared" si="18"/>
        <v>0</v>
      </c>
      <c r="Q48" s="6" t="str">
        <f t="shared" si="19"/>
        <v/>
      </c>
    </row>
    <row r="49" spans="1:17" x14ac:dyDescent="0.25">
      <c r="A49" s="3" t="s">
        <v>50</v>
      </c>
      <c r="B49" s="5">
        <f>6741.66</f>
        <v>6741.66</v>
      </c>
      <c r="C49" s="5">
        <f>6876.5</f>
        <v>6876.5</v>
      </c>
      <c r="D49" s="5">
        <f t="shared" si="10"/>
        <v>-134.84000000000015</v>
      </c>
      <c r="E49" s="6">
        <f t="shared" si="11"/>
        <v>0.98039118737729947</v>
      </c>
      <c r="F49" s="5">
        <f>7209.16</f>
        <v>7209.16</v>
      </c>
      <c r="G49" s="5">
        <f>6876.5</f>
        <v>6876.5</v>
      </c>
      <c r="H49" s="5">
        <f t="shared" si="12"/>
        <v>332.65999999999985</v>
      </c>
      <c r="I49" s="6">
        <f t="shared" si="13"/>
        <v>1.0483763542499818</v>
      </c>
      <c r="J49" s="5">
        <f>6827.8</f>
        <v>6827.8</v>
      </c>
      <c r="K49" s="5">
        <f>6876.5</f>
        <v>6876.5</v>
      </c>
      <c r="L49" s="5">
        <f t="shared" si="14"/>
        <v>-48.699999999999818</v>
      </c>
      <c r="M49" s="6">
        <f t="shared" si="15"/>
        <v>0.99291790881989384</v>
      </c>
      <c r="N49" s="5">
        <f t="shared" si="16"/>
        <v>20778.62</v>
      </c>
      <c r="O49" s="5">
        <f t="shared" si="17"/>
        <v>20629.5</v>
      </c>
      <c r="P49" s="5">
        <f t="shared" si="18"/>
        <v>149.11999999999898</v>
      </c>
      <c r="Q49" s="6">
        <f t="shared" si="19"/>
        <v>1.0072284834823917</v>
      </c>
    </row>
    <row r="50" spans="1:17" x14ac:dyDescent="0.25">
      <c r="A50" s="3" t="s">
        <v>51</v>
      </c>
      <c r="B50" s="5">
        <f>5304.5</f>
        <v>5304.5</v>
      </c>
      <c r="C50" s="5">
        <f>5410.6</f>
        <v>5410.6</v>
      </c>
      <c r="D50" s="5">
        <f t="shared" si="10"/>
        <v>-106.10000000000036</v>
      </c>
      <c r="E50" s="6">
        <f t="shared" si="11"/>
        <v>0.98039034487857157</v>
      </c>
      <c r="F50" s="5">
        <f>8042</f>
        <v>8042</v>
      </c>
      <c r="G50" s="5">
        <f>5410.6</f>
        <v>5410.6</v>
      </c>
      <c r="H50" s="5">
        <f t="shared" si="12"/>
        <v>2631.3999999999996</v>
      </c>
      <c r="I50" s="6">
        <f t="shared" si="13"/>
        <v>1.4863416256977044</v>
      </c>
      <c r="J50" s="5">
        <f>5304.5</f>
        <v>5304.5</v>
      </c>
      <c r="K50" s="5">
        <f>5410.6</f>
        <v>5410.6</v>
      </c>
      <c r="L50" s="5">
        <f t="shared" si="14"/>
        <v>-106.10000000000036</v>
      </c>
      <c r="M50" s="6">
        <f t="shared" si="15"/>
        <v>0.98039034487857157</v>
      </c>
      <c r="N50" s="5">
        <f t="shared" si="16"/>
        <v>18651</v>
      </c>
      <c r="O50" s="5">
        <f t="shared" si="17"/>
        <v>16231.800000000001</v>
      </c>
      <c r="P50" s="5">
        <f t="shared" si="18"/>
        <v>2419.1999999999989</v>
      </c>
      <c r="Q50" s="6">
        <f t="shared" si="19"/>
        <v>1.1490407718182825</v>
      </c>
    </row>
    <row r="51" spans="1:17" x14ac:dyDescent="0.25">
      <c r="A51" s="3" t="s">
        <v>52</v>
      </c>
      <c r="B51" s="5">
        <f>4506.66</f>
        <v>4506.66</v>
      </c>
      <c r="C51" s="5">
        <f>10429.75</f>
        <v>10429.75</v>
      </c>
      <c r="D51" s="5">
        <f t="shared" si="10"/>
        <v>-5923.09</v>
      </c>
      <c r="E51" s="6">
        <f t="shared" si="11"/>
        <v>0.43209664661185548</v>
      </c>
      <c r="F51" s="5">
        <f>5649.66</f>
        <v>5649.66</v>
      </c>
      <c r="G51" s="5">
        <f>10429.75</f>
        <v>10429.75</v>
      </c>
      <c r="H51" s="5">
        <f t="shared" si="12"/>
        <v>-4780.09</v>
      </c>
      <c r="I51" s="6">
        <f t="shared" si="13"/>
        <v>0.54168700112658497</v>
      </c>
      <c r="J51" s="5">
        <f>4506.66</f>
        <v>4506.66</v>
      </c>
      <c r="K51" s="5">
        <f>10429.75</f>
        <v>10429.75</v>
      </c>
      <c r="L51" s="5">
        <f t="shared" si="14"/>
        <v>-5923.09</v>
      </c>
      <c r="M51" s="6">
        <f t="shared" si="15"/>
        <v>0.43209664661185548</v>
      </c>
      <c r="N51" s="5">
        <f t="shared" si="16"/>
        <v>14662.98</v>
      </c>
      <c r="O51" s="5">
        <f t="shared" si="17"/>
        <v>31289.25</v>
      </c>
      <c r="P51" s="5">
        <f t="shared" si="18"/>
        <v>-16626.27</v>
      </c>
      <c r="Q51" s="6">
        <f t="shared" si="19"/>
        <v>0.46862676478343201</v>
      </c>
    </row>
    <row r="52" spans="1:17" x14ac:dyDescent="0.25">
      <c r="A52" s="3" t="s">
        <v>53</v>
      </c>
      <c r="B52" s="5">
        <f>1200.86</f>
        <v>1200.8599999999999</v>
      </c>
      <c r="C52" s="5">
        <f>2168.25</f>
        <v>2168.25</v>
      </c>
      <c r="D52" s="5">
        <f t="shared" si="10"/>
        <v>-967.3900000000001</v>
      </c>
      <c r="E52" s="6">
        <f t="shared" si="11"/>
        <v>0.55383834889888151</v>
      </c>
      <c r="F52" s="5">
        <f>901.3</f>
        <v>901.3</v>
      </c>
      <c r="G52" s="5">
        <f>2168.25</f>
        <v>2168.25</v>
      </c>
      <c r="H52" s="5">
        <f t="shared" si="12"/>
        <v>-1266.95</v>
      </c>
      <c r="I52" s="6">
        <f t="shared" si="13"/>
        <v>0.41568084861063065</v>
      </c>
      <c r="J52" s="5">
        <f>1490.84</f>
        <v>1490.84</v>
      </c>
      <c r="K52" s="5">
        <f>2168.25</f>
        <v>2168.25</v>
      </c>
      <c r="L52" s="5">
        <f t="shared" si="14"/>
        <v>-677.41000000000008</v>
      </c>
      <c r="M52" s="6">
        <f t="shared" si="15"/>
        <v>0.68757753949037237</v>
      </c>
      <c r="N52" s="5">
        <f t="shared" si="16"/>
        <v>3593</v>
      </c>
      <c r="O52" s="5">
        <f t="shared" si="17"/>
        <v>6504.75</v>
      </c>
      <c r="P52" s="5">
        <f t="shared" si="18"/>
        <v>-2911.75</v>
      </c>
      <c r="Q52" s="6">
        <f t="shared" si="19"/>
        <v>0.55236557899996153</v>
      </c>
    </row>
    <row r="53" spans="1:17" x14ac:dyDescent="0.25">
      <c r="A53" s="3" t="s">
        <v>54</v>
      </c>
      <c r="B53" s="5">
        <f>228.64</f>
        <v>228.64</v>
      </c>
      <c r="C53" s="5">
        <f>229.5</f>
        <v>229.5</v>
      </c>
      <c r="D53" s="5">
        <f t="shared" si="10"/>
        <v>-0.86000000000001364</v>
      </c>
      <c r="E53" s="6">
        <f t="shared" si="11"/>
        <v>0.9962527233115468</v>
      </c>
      <c r="F53" s="5">
        <f>445.48</f>
        <v>445.48</v>
      </c>
      <c r="G53" s="5">
        <f>229.5</f>
        <v>229.5</v>
      </c>
      <c r="H53" s="5">
        <f t="shared" si="12"/>
        <v>215.98000000000002</v>
      </c>
      <c r="I53" s="6">
        <f t="shared" si="13"/>
        <v>1.9410893246187364</v>
      </c>
      <c r="J53" s="5">
        <f>287.42</f>
        <v>287.42</v>
      </c>
      <c r="K53" s="5">
        <f>229.5</f>
        <v>229.5</v>
      </c>
      <c r="L53" s="5">
        <f t="shared" si="14"/>
        <v>57.920000000000016</v>
      </c>
      <c r="M53" s="6">
        <f t="shared" si="15"/>
        <v>1.2523747276688453</v>
      </c>
      <c r="N53" s="5">
        <f t="shared" si="16"/>
        <v>961.54</v>
      </c>
      <c r="O53" s="5">
        <f t="shared" si="17"/>
        <v>688.5</v>
      </c>
      <c r="P53" s="5">
        <f t="shared" si="18"/>
        <v>273.03999999999996</v>
      </c>
      <c r="Q53" s="6">
        <f t="shared" si="19"/>
        <v>1.3965722585330429</v>
      </c>
    </row>
    <row r="54" spans="1:17" x14ac:dyDescent="0.25">
      <c r="A54" s="3" t="s">
        <v>55</v>
      </c>
      <c r="B54" s="5">
        <f>3459.56</f>
        <v>3459.56</v>
      </c>
      <c r="C54" s="5">
        <f>4745.58</f>
        <v>4745.58</v>
      </c>
      <c r="D54" s="5">
        <f t="shared" si="10"/>
        <v>-1286.02</v>
      </c>
      <c r="E54" s="6">
        <f t="shared" si="11"/>
        <v>0.72900678104678462</v>
      </c>
      <c r="F54" s="5">
        <f>3925.4</f>
        <v>3925.4</v>
      </c>
      <c r="G54" s="5">
        <f>4745.58</f>
        <v>4745.58</v>
      </c>
      <c r="H54" s="5">
        <f t="shared" si="12"/>
        <v>-820.17999999999984</v>
      </c>
      <c r="I54" s="6">
        <f t="shared" si="13"/>
        <v>0.82716970317642946</v>
      </c>
      <c r="J54" s="5">
        <f>3403.26</f>
        <v>3403.26</v>
      </c>
      <c r="K54" s="5">
        <f>4745.58</f>
        <v>4745.58</v>
      </c>
      <c r="L54" s="5">
        <f t="shared" si="14"/>
        <v>-1342.3199999999997</v>
      </c>
      <c r="M54" s="6">
        <f t="shared" si="15"/>
        <v>0.71714311000973541</v>
      </c>
      <c r="N54" s="5">
        <f t="shared" si="16"/>
        <v>10788.220000000001</v>
      </c>
      <c r="O54" s="5">
        <f t="shared" si="17"/>
        <v>14236.74</v>
      </c>
      <c r="P54" s="5">
        <f t="shared" si="18"/>
        <v>-3448.5199999999986</v>
      </c>
      <c r="Q54" s="6">
        <f t="shared" si="19"/>
        <v>0.75777319807764987</v>
      </c>
    </row>
    <row r="55" spans="1:17" x14ac:dyDescent="0.25">
      <c r="A55" s="3" t="s">
        <v>56</v>
      </c>
      <c r="B55" s="4"/>
      <c r="C55" s="5">
        <f>13.58</f>
        <v>13.58</v>
      </c>
      <c r="D55" s="5">
        <f t="shared" si="10"/>
        <v>-13.58</v>
      </c>
      <c r="E55" s="6">
        <f t="shared" si="11"/>
        <v>0</v>
      </c>
      <c r="F55" s="4"/>
      <c r="G55" s="5">
        <f>13.58</f>
        <v>13.58</v>
      </c>
      <c r="H55" s="5">
        <f t="shared" si="12"/>
        <v>-13.58</v>
      </c>
      <c r="I55" s="6">
        <f t="shared" si="13"/>
        <v>0</v>
      </c>
      <c r="J55" s="4"/>
      <c r="K55" s="5">
        <f>13.58</f>
        <v>13.58</v>
      </c>
      <c r="L55" s="5">
        <f t="shared" si="14"/>
        <v>-13.58</v>
      </c>
      <c r="M55" s="6">
        <f t="shared" si="15"/>
        <v>0</v>
      </c>
      <c r="N55" s="5">
        <f t="shared" si="16"/>
        <v>0</v>
      </c>
      <c r="O55" s="5">
        <f t="shared" si="17"/>
        <v>40.74</v>
      </c>
      <c r="P55" s="5">
        <f t="shared" si="18"/>
        <v>-40.74</v>
      </c>
      <c r="Q55" s="6">
        <f t="shared" si="19"/>
        <v>0</v>
      </c>
    </row>
    <row r="56" spans="1:17" x14ac:dyDescent="0.25">
      <c r="A56" s="3" t="s">
        <v>57</v>
      </c>
      <c r="B56" s="4"/>
      <c r="C56" s="4"/>
      <c r="D56" s="5">
        <f t="shared" ref="D56:D87" si="20">(B56)-(C56)</f>
        <v>0</v>
      </c>
      <c r="E56" s="6" t="str">
        <f t="shared" ref="E56:E87" si="21">IF(C56=0,"",(B56)/(C56))</f>
        <v/>
      </c>
      <c r="F56" s="5">
        <f>750</f>
        <v>750</v>
      </c>
      <c r="G56" s="4"/>
      <c r="H56" s="5">
        <f t="shared" ref="H56:H87" si="22">(F56)-(G56)</f>
        <v>750</v>
      </c>
      <c r="I56" s="6" t="str">
        <f t="shared" ref="I56:I87" si="23">IF(G56=0,"",(F56)/(G56))</f>
        <v/>
      </c>
      <c r="J56" s="4"/>
      <c r="K56" s="4"/>
      <c r="L56" s="5">
        <f t="shared" ref="L56:L87" si="24">(J56)-(K56)</f>
        <v>0</v>
      </c>
      <c r="M56" s="6" t="str">
        <f t="shared" ref="M56:M87" si="25">IF(K56=0,"",(J56)/(K56))</f>
        <v/>
      </c>
      <c r="N56" s="5">
        <f t="shared" ref="N56:N87" si="26">((B56)+(F56))+(J56)</f>
        <v>750</v>
      </c>
      <c r="O56" s="5">
        <f t="shared" ref="O56:O87" si="27">((C56)+(G56))+(K56)</f>
        <v>0</v>
      </c>
      <c r="P56" s="5">
        <f t="shared" ref="P56:P87" si="28">(N56)-(O56)</f>
        <v>750</v>
      </c>
      <c r="Q56" s="6" t="str">
        <f t="shared" ref="Q56:Q87" si="29">IF(O56=0,"",(N56)/(O56))</f>
        <v/>
      </c>
    </row>
    <row r="57" spans="1:17" x14ac:dyDescent="0.25">
      <c r="A57" s="3" t="s">
        <v>58</v>
      </c>
      <c r="B57" s="4"/>
      <c r="C57" s="5">
        <f>9164.25</f>
        <v>9164.25</v>
      </c>
      <c r="D57" s="5">
        <f t="shared" si="20"/>
        <v>-9164.25</v>
      </c>
      <c r="E57" s="6">
        <f t="shared" si="21"/>
        <v>0</v>
      </c>
      <c r="F57" s="5">
        <f>4814</f>
        <v>4814</v>
      </c>
      <c r="G57" s="5">
        <f>9164.25</f>
        <v>9164.25</v>
      </c>
      <c r="H57" s="5">
        <f t="shared" si="22"/>
        <v>-4350.25</v>
      </c>
      <c r="I57" s="6">
        <f t="shared" si="23"/>
        <v>0.52530212510570973</v>
      </c>
      <c r="J57" s="5">
        <f>6800</f>
        <v>6800</v>
      </c>
      <c r="K57" s="5">
        <f>9164.25</f>
        <v>9164.25</v>
      </c>
      <c r="L57" s="5">
        <f t="shared" si="24"/>
        <v>-2364.25</v>
      </c>
      <c r="M57" s="6">
        <f t="shared" si="25"/>
        <v>0.74201380363914127</v>
      </c>
      <c r="N57" s="5">
        <f t="shared" si="26"/>
        <v>11614</v>
      </c>
      <c r="O57" s="5">
        <f t="shared" si="27"/>
        <v>27492.75</v>
      </c>
      <c r="P57" s="5">
        <f t="shared" si="28"/>
        <v>-15878.75</v>
      </c>
      <c r="Q57" s="6">
        <f t="shared" si="29"/>
        <v>0.42243864291495031</v>
      </c>
    </row>
    <row r="58" spans="1:17" x14ac:dyDescent="0.25">
      <c r="A58" s="3" t="s">
        <v>59</v>
      </c>
      <c r="B58" s="4"/>
      <c r="C58" s="5">
        <f>188.08</f>
        <v>188.08</v>
      </c>
      <c r="D58" s="5">
        <f t="shared" si="20"/>
        <v>-188.08</v>
      </c>
      <c r="E58" s="6">
        <f t="shared" si="21"/>
        <v>0</v>
      </c>
      <c r="F58" s="5">
        <f>846.16</f>
        <v>846.16</v>
      </c>
      <c r="G58" s="5">
        <f>188.08</f>
        <v>188.08</v>
      </c>
      <c r="H58" s="5">
        <f t="shared" si="22"/>
        <v>658.07999999999993</v>
      </c>
      <c r="I58" s="6">
        <f t="shared" si="23"/>
        <v>4.498936622713738</v>
      </c>
      <c r="J58" s="5">
        <f>606.66</f>
        <v>606.66</v>
      </c>
      <c r="K58" s="5">
        <f>188.08</f>
        <v>188.08</v>
      </c>
      <c r="L58" s="5">
        <f t="shared" si="24"/>
        <v>418.57999999999993</v>
      </c>
      <c r="M58" s="6">
        <f t="shared" si="25"/>
        <v>3.2255423224159929</v>
      </c>
      <c r="N58" s="5">
        <f t="shared" si="26"/>
        <v>1452.82</v>
      </c>
      <c r="O58" s="5">
        <f t="shared" si="27"/>
        <v>564.24</v>
      </c>
      <c r="P58" s="5">
        <f t="shared" si="28"/>
        <v>888.57999999999993</v>
      </c>
      <c r="Q58" s="6">
        <f t="shared" si="29"/>
        <v>2.5748263150432438</v>
      </c>
    </row>
    <row r="59" spans="1:17" x14ac:dyDescent="0.25">
      <c r="A59" s="3" t="s">
        <v>60</v>
      </c>
      <c r="B59" s="7">
        <f>((((((((((B48)+(B49))+(B50))+(B51))+(B52))+(B53))+(B54))+(B55))+(B56))+(B57))+(B58)</f>
        <v>21441.88</v>
      </c>
      <c r="C59" s="7">
        <f>((((((((((C48)+(C49))+(C50))+(C51))+(C52))+(C53))+(C54))+(C55))+(C56))+(C57))+(C58)</f>
        <v>39226.090000000004</v>
      </c>
      <c r="D59" s="7">
        <f t="shared" si="20"/>
        <v>-17784.210000000003</v>
      </c>
      <c r="E59" s="8">
        <f t="shared" si="21"/>
        <v>0.54662292367146459</v>
      </c>
      <c r="F59" s="7">
        <f>((((((((((F48)+(F49))+(F50))+(F51))+(F52))+(F53))+(F54))+(F55))+(F56))+(F57))+(F58)</f>
        <v>32583.16</v>
      </c>
      <c r="G59" s="7">
        <f>((((((((((G48)+(G49))+(G50))+(G51))+(G52))+(G53))+(G54))+(G55))+(G56))+(G57))+(G58)</f>
        <v>39226.090000000004</v>
      </c>
      <c r="H59" s="7">
        <f t="shared" si="22"/>
        <v>-6642.9300000000039</v>
      </c>
      <c r="I59" s="8">
        <f t="shared" si="23"/>
        <v>0.83065021265183447</v>
      </c>
      <c r="J59" s="7">
        <f>((((((((((J48)+(J49))+(J50))+(J51))+(J52))+(J53))+(J54))+(J55))+(J56))+(J57))+(J58)</f>
        <v>29227.139999999996</v>
      </c>
      <c r="K59" s="7">
        <f>((((((((((K48)+(K49))+(K50))+(K51))+(K52))+(K53))+(K54))+(K55))+(K56))+(K57))+(K58)</f>
        <v>39226.090000000004</v>
      </c>
      <c r="L59" s="7">
        <f t="shared" si="24"/>
        <v>-9998.950000000008</v>
      </c>
      <c r="M59" s="8">
        <f t="shared" si="25"/>
        <v>0.74509440018110373</v>
      </c>
      <c r="N59" s="7">
        <f t="shared" si="26"/>
        <v>83252.179999999993</v>
      </c>
      <c r="O59" s="7">
        <f t="shared" si="27"/>
        <v>117678.27000000002</v>
      </c>
      <c r="P59" s="7">
        <f t="shared" si="28"/>
        <v>-34426.090000000026</v>
      </c>
      <c r="Q59" s="8">
        <f t="shared" si="29"/>
        <v>0.70745584550146756</v>
      </c>
    </row>
    <row r="60" spans="1:17" x14ac:dyDescent="0.25">
      <c r="A60" s="3" t="s">
        <v>61</v>
      </c>
      <c r="B60" s="4"/>
      <c r="C60" s="4"/>
      <c r="D60" s="5">
        <f t="shared" si="20"/>
        <v>0</v>
      </c>
      <c r="E60" s="6" t="str">
        <f t="shared" si="21"/>
        <v/>
      </c>
      <c r="F60" s="4"/>
      <c r="G60" s="4"/>
      <c r="H60" s="5">
        <f t="shared" si="22"/>
        <v>0</v>
      </c>
      <c r="I60" s="6" t="str">
        <f t="shared" si="23"/>
        <v/>
      </c>
      <c r="J60" s="4"/>
      <c r="K60" s="4"/>
      <c r="L60" s="5">
        <f t="shared" si="24"/>
        <v>0</v>
      </c>
      <c r="M60" s="6" t="str">
        <f t="shared" si="25"/>
        <v/>
      </c>
      <c r="N60" s="5">
        <f t="shared" si="26"/>
        <v>0</v>
      </c>
      <c r="O60" s="5">
        <f t="shared" si="27"/>
        <v>0</v>
      </c>
      <c r="P60" s="5">
        <f t="shared" si="28"/>
        <v>0</v>
      </c>
      <c r="Q60" s="6" t="str">
        <f t="shared" si="29"/>
        <v/>
      </c>
    </row>
    <row r="61" spans="1:17" x14ac:dyDescent="0.25">
      <c r="A61" s="3" t="s">
        <v>62</v>
      </c>
      <c r="B61" s="5">
        <f>355.6</f>
        <v>355.6</v>
      </c>
      <c r="C61" s="4"/>
      <c r="D61" s="5">
        <f t="shared" si="20"/>
        <v>355.6</v>
      </c>
      <c r="E61" s="6" t="str">
        <f t="shared" si="21"/>
        <v/>
      </c>
      <c r="F61" s="5">
        <f>259.2</f>
        <v>259.2</v>
      </c>
      <c r="G61" s="4"/>
      <c r="H61" s="5">
        <f t="shared" si="22"/>
        <v>259.2</v>
      </c>
      <c r="I61" s="6" t="str">
        <f t="shared" si="23"/>
        <v/>
      </c>
      <c r="J61" s="4"/>
      <c r="K61" s="4"/>
      <c r="L61" s="5">
        <f t="shared" si="24"/>
        <v>0</v>
      </c>
      <c r="M61" s="6" t="str">
        <f t="shared" si="25"/>
        <v/>
      </c>
      <c r="N61" s="5">
        <f t="shared" si="26"/>
        <v>614.79999999999995</v>
      </c>
      <c r="O61" s="5">
        <f t="shared" si="27"/>
        <v>0</v>
      </c>
      <c r="P61" s="5">
        <f t="shared" si="28"/>
        <v>614.79999999999995</v>
      </c>
      <c r="Q61" s="6" t="str">
        <f t="shared" si="29"/>
        <v/>
      </c>
    </row>
    <row r="62" spans="1:17" x14ac:dyDescent="0.25">
      <c r="A62" s="3" t="s">
        <v>63</v>
      </c>
      <c r="B62" s="4"/>
      <c r="C62" s="5">
        <f>666.67</f>
        <v>666.67</v>
      </c>
      <c r="D62" s="5">
        <f t="shared" si="20"/>
        <v>-666.67</v>
      </c>
      <c r="E62" s="6">
        <f t="shared" si="21"/>
        <v>0</v>
      </c>
      <c r="F62" s="4"/>
      <c r="G62" s="5">
        <f>666.67</f>
        <v>666.67</v>
      </c>
      <c r="H62" s="5">
        <f t="shared" si="22"/>
        <v>-666.67</v>
      </c>
      <c r="I62" s="6">
        <f t="shared" si="23"/>
        <v>0</v>
      </c>
      <c r="J62" s="5">
        <f>3500</f>
        <v>3500</v>
      </c>
      <c r="K62" s="5">
        <f>666.67</f>
        <v>666.67</v>
      </c>
      <c r="L62" s="5">
        <f t="shared" si="24"/>
        <v>2833.33</v>
      </c>
      <c r="M62" s="6">
        <f t="shared" si="25"/>
        <v>5.2499737501312493</v>
      </c>
      <c r="N62" s="5">
        <f t="shared" si="26"/>
        <v>3500</v>
      </c>
      <c r="O62" s="5">
        <f t="shared" si="27"/>
        <v>2000.0099999999998</v>
      </c>
      <c r="P62" s="5">
        <f t="shared" si="28"/>
        <v>1499.9900000000002</v>
      </c>
      <c r="Q62" s="6">
        <f t="shared" si="29"/>
        <v>1.74999125004375</v>
      </c>
    </row>
    <row r="63" spans="1:17" x14ac:dyDescent="0.25">
      <c r="A63" s="3" t="s">
        <v>64</v>
      </c>
      <c r="B63" s="4"/>
      <c r="C63" s="5">
        <f>78</f>
        <v>78</v>
      </c>
      <c r="D63" s="5">
        <f t="shared" si="20"/>
        <v>-78</v>
      </c>
      <c r="E63" s="6">
        <f t="shared" si="21"/>
        <v>0</v>
      </c>
      <c r="F63" s="4"/>
      <c r="G63" s="5">
        <f>78</f>
        <v>78</v>
      </c>
      <c r="H63" s="5">
        <f t="shared" si="22"/>
        <v>-78</v>
      </c>
      <c r="I63" s="6">
        <f t="shared" si="23"/>
        <v>0</v>
      </c>
      <c r="J63" s="4"/>
      <c r="K63" s="5">
        <f>78</f>
        <v>78</v>
      </c>
      <c r="L63" s="5">
        <f t="shared" si="24"/>
        <v>-78</v>
      </c>
      <c r="M63" s="6">
        <f t="shared" si="25"/>
        <v>0</v>
      </c>
      <c r="N63" s="5">
        <f t="shared" si="26"/>
        <v>0</v>
      </c>
      <c r="O63" s="5">
        <f t="shared" si="27"/>
        <v>234</v>
      </c>
      <c r="P63" s="5">
        <f t="shared" si="28"/>
        <v>-234</v>
      </c>
      <c r="Q63" s="6">
        <f t="shared" si="29"/>
        <v>0</v>
      </c>
    </row>
    <row r="64" spans="1:17" x14ac:dyDescent="0.25">
      <c r="A64" s="3" t="s">
        <v>65</v>
      </c>
      <c r="B64" s="7">
        <f>(((B60)+(B61))+(B62))+(B63)</f>
        <v>355.6</v>
      </c>
      <c r="C64" s="7">
        <f>(((C60)+(C61))+(C62))+(C63)</f>
        <v>744.67</v>
      </c>
      <c r="D64" s="7">
        <f t="shared" si="20"/>
        <v>-389.06999999999994</v>
      </c>
      <c r="E64" s="8">
        <f t="shared" si="21"/>
        <v>0.47752695824996311</v>
      </c>
      <c r="F64" s="7">
        <f>(((F60)+(F61))+(F62))+(F63)</f>
        <v>259.2</v>
      </c>
      <c r="G64" s="7">
        <f>(((G60)+(G61))+(G62))+(G63)</f>
        <v>744.67</v>
      </c>
      <c r="H64" s="7">
        <f t="shared" si="22"/>
        <v>-485.46999999999997</v>
      </c>
      <c r="I64" s="8">
        <f t="shared" si="23"/>
        <v>0.34807364335880325</v>
      </c>
      <c r="J64" s="7">
        <f>(((J60)+(J61))+(J62))+(J63)</f>
        <v>3500</v>
      </c>
      <c r="K64" s="7">
        <f>(((K60)+(K61))+(K62))+(K63)</f>
        <v>744.67</v>
      </c>
      <c r="L64" s="7">
        <f t="shared" si="24"/>
        <v>2755.33</v>
      </c>
      <c r="M64" s="8">
        <f t="shared" si="25"/>
        <v>4.7000684867122349</v>
      </c>
      <c r="N64" s="7">
        <f t="shared" si="26"/>
        <v>4114.8</v>
      </c>
      <c r="O64" s="7">
        <f t="shared" si="27"/>
        <v>2234.0099999999998</v>
      </c>
      <c r="P64" s="7">
        <f t="shared" si="28"/>
        <v>1880.7900000000004</v>
      </c>
      <c r="Q64" s="8">
        <f t="shared" si="29"/>
        <v>1.8418896961070006</v>
      </c>
    </row>
    <row r="65" spans="1:17" x14ac:dyDescent="0.25">
      <c r="A65" s="3" t="s">
        <v>66</v>
      </c>
      <c r="B65" s="4"/>
      <c r="C65" s="4"/>
      <c r="D65" s="5">
        <f t="shared" si="20"/>
        <v>0</v>
      </c>
      <c r="E65" s="6" t="str">
        <f t="shared" si="21"/>
        <v/>
      </c>
      <c r="F65" s="4"/>
      <c r="G65" s="4"/>
      <c r="H65" s="5">
        <f t="shared" si="22"/>
        <v>0</v>
      </c>
      <c r="I65" s="6" t="str">
        <f t="shared" si="23"/>
        <v/>
      </c>
      <c r="J65" s="4"/>
      <c r="K65" s="4"/>
      <c r="L65" s="5">
        <f t="shared" si="24"/>
        <v>0</v>
      </c>
      <c r="M65" s="6" t="str">
        <f t="shared" si="25"/>
        <v/>
      </c>
      <c r="N65" s="5">
        <f t="shared" si="26"/>
        <v>0</v>
      </c>
      <c r="O65" s="5">
        <f t="shared" si="27"/>
        <v>0</v>
      </c>
      <c r="P65" s="5">
        <f t="shared" si="28"/>
        <v>0</v>
      </c>
      <c r="Q65" s="6" t="str">
        <f t="shared" si="29"/>
        <v/>
      </c>
    </row>
    <row r="66" spans="1:17" x14ac:dyDescent="0.25">
      <c r="A66" s="3" t="s">
        <v>67</v>
      </c>
      <c r="B66" s="4"/>
      <c r="C66" s="5">
        <f>8830</f>
        <v>8830</v>
      </c>
      <c r="D66" s="5">
        <f t="shared" si="20"/>
        <v>-8830</v>
      </c>
      <c r="E66" s="6">
        <f t="shared" si="21"/>
        <v>0</v>
      </c>
      <c r="F66" s="4"/>
      <c r="G66" s="5">
        <f>8830</f>
        <v>8830</v>
      </c>
      <c r="H66" s="5">
        <f t="shared" si="22"/>
        <v>-8830</v>
      </c>
      <c r="I66" s="6">
        <f t="shared" si="23"/>
        <v>0</v>
      </c>
      <c r="J66" s="4"/>
      <c r="K66" s="5">
        <f>8830</f>
        <v>8830</v>
      </c>
      <c r="L66" s="5">
        <f t="shared" si="24"/>
        <v>-8830</v>
      </c>
      <c r="M66" s="6">
        <f t="shared" si="25"/>
        <v>0</v>
      </c>
      <c r="N66" s="5">
        <f t="shared" si="26"/>
        <v>0</v>
      </c>
      <c r="O66" s="5">
        <f t="shared" si="27"/>
        <v>26490</v>
      </c>
      <c r="P66" s="5">
        <f t="shared" si="28"/>
        <v>-26490</v>
      </c>
      <c r="Q66" s="6">
        <f t="shared" si="29"/>
        <v>0</v>
      </c>
    </row>
    <row r="67" spans="1:17" x14ac:dyDescent="0.25">
      <c r="A67" s="3" t="s">
        <v>68</v>
      </c>
      <c r="B67" s="5">
        <f>0</f>
        <v>0</v>
      </c>
      <c r="C67" s="5">
        <f>901.25</f>
        <v>901.25</v>
      </c>
      <c r="D67" s="5">
        <f t="shared" si="20"/>
        <v>-901.25</v>
      </c>
      <c r="E67" s="6">
        <f t="shared" si="21"/>
        <v>0</v>
      </c>
      <c r="F67" s="5">
        <f>21398.59</f>
        <v>21398.59</v>
      </c>
      <c r="G67" s="5">
        <f>901.25</f>
        <v>901.25</v>
      </c>
      <c r="H67" s="5">
        <f t="shared" si="22"/>
        <v>20497.34</v>
      </c>
      <c r="I67" s="6">
        <f t="shared" si="23"/>
        <v>23.743234396671291</v>
      </c>
      <c r="J67" s="4"/>
      <c r="K67" s="5">
        <f>901.25</f>
        <v>901.25</v>
      </c>
      <c r="L67" s="5">
        <f t="shared" si="24"/>
        <v>-901.25</v>
      </c>
      <c r="M67" s="6">
        <f t="shared" si="25"/>
        <v>0</v>
      </c>
      <c r="N67" s="5">
        <f t="shared" si="26"/>
        <v>21398.59</v>
      </c>
      <c r="O67" s="5">
        <f t="shared" si="27"/>
        <v>2703.75</v>
      </c>
      <c r="P67" s="5">
        <f t="shared" si="28"/>
        <v>18694.84</v>
      </c>
      <c r="Q67" s="6">
        <f t="shared" si="29"/>
        <v>7.9144114655570963</v>
      </c>
    </row>
    <row r="68" spans="1:17" x14ac:dyDescent="0.25">
      <c r="A68" s="3" t="s">
        <v>69</v>
      </c>
      <c r="B68" s="7">
        <f>((B65)+(B66))+(B67)</f>
        <v>0</v>
      </c>
      <c r="C68" s="7">
        <f>((C65)+(C66))+(C67)</f>
        <v>9731.25</v>
      </c>
      <c r="D68" s="7">
        <f t="shared" si="20"/>
        <v>-9731.25</v>
      </c>
      <c r="E68" s="8">
        <f t="shared" si="21"/>
        <v>0</v>
      </c>
      <c r="F68" s="7">
        <f>((F65)+(F66))+(F67)</f>
        <v>21398.59</v>
      </c>
      <c r="G68" s="7">
        <f>((G65)+(G66))+(G67)</f>
        <v>9731.25</v>
      </c>
      <c r="H68" s="7">
        <f t="shared" si="22"/>
        <v>11667.34</v>
      </c>
      <c r="I68" s="8">
        <f t="shared" si="23"/>
        <v>2.1989559409120103</v>
      </c>
      <c r="J68" s="7">
        <f>((J65)+(J66))+(J67)</f>
        <v>0</v>
      </c>
      <c r="K68" s="7">
        <f>((K65)+(K66))+(K67)</f>
        <v>9731.25</v>
      </c>
      <c r="L68" s="7">
        <f t="shared" si="24"/>
        <v>-9731.25</v>
      </c>
      <c r="M68" s="8">
        <f t="shared" si="25"/>
        <v>0</v>
      </c>
      <c r="N68" s="7">
        <f t="shared" si="26"/>
        <v>21398.59</v>
      </c>
      <c r="O68" s="7">
        <f t="shared" si="27"/>
        <v>29193.75</v>
      </c>
      <c r="P68" s="7">
        <f t="shared" si="28"/>
        <v>-7795.16</v>
      </c>
      <c r="Q68" s="8">
        <f t="shared" si="29"/>
        <v>0.73298531363733677</v>
      </c>
    </row>
    <row r="69" spans="1:17" x14ac:dyDescent="0.25">
      <c r="A69" s="3" t="s">
        <v>70</v>
      </c>
      <c r="B69" s="4"/>
      <c r="C69" s="4"/>
      <c r="D69" s="5">
        <f t="shared" si="20"/>
        <v>0</v>
      </c>
      <c r="E69" s="6" t="str">
        <f t="shared" si="21"/>
        <v/>
      </c>
      <c r="F69" s="4"/>
      <c r="G69" s="4"/>
      <c r="H69" s="5">
        <f t="shared" si="22"/>
        <v>0</v>
      </c>
      <c r="I69" s="6" t="str">
        <f t="shared" si="23"/>
        <v/>
      </c>
      <c r="J69" s="4"/>
      <c r="K69" s="4"/>
      <c r="L69" s="5">
        <f t="shared" si="24"/>
        <v>0</v>
      </c>
      <c r="M69" s="6" t="str">
        <f t="shared" si="25"/>
        <v/>
      </c>
      <c r="N69" s="5">
        <f t="shared" si="26"/>
        <v>0</v>
      </c>
      <c r="O69" s="5">
        <f t="shared" si="27"/>
        <v>0</v>
      </c>
      <c r="P69" s="5">
        <f t="shared" si="28"/>
        <v>0</v>
      </c>
      <c r="Q69" s="6" t="str">
        <f t="shared" si="29"/>
        <v/>
      </c>
    </row>
    <row r="70" spans="1:17" x14ac:dyDescent="0.25">
      <c r="A70" s="3" t="s">
        <v>71</v>
      </c>
      <c r="B70" s="5">
        <f>2474.17</f>
        <v>2474.17</v>
      </c>
      <c r="C70" s="5">
        <f>4166.67</f>
        <v>4166.67</v>
      </c>
      <c r="D70" s="5">
        <f t="shared" si="20"/>
        <v>-1692.5</v>
      </c>
      <c r="E70" s="6">
        <f t="shared" si="21"/>
        <v>0.59380032495974</v>
      </c>
      <c r="F70" s="5">
        <f>2474.17</f>
        <v>2474.17</v>
      </c>
      <c r="G70" s="5">
        <f>4166.67</f>
        <v>4166.67</v>
      </c>
      <c r="H70" s="5">
        <f t="shared" si="22"/>
        <v>-1692.5</v>
      </c>
      <c r="I70" s="6">
        <f t="shared" si="23"/>
        <v>0.59380032495974</v>
      </c>
      <c r="J70" s="5">
        <f>4635.78</f>
        <v>4635.78</v>
      </c>
      <c r="K70" s="5">
        <f>4166.67</f>
        <v>4166.67</v>
      </c>
      <c r="L70" s="5">
        <f t="shared" si="24"/>
        <v>469.10999999999967</v>
      </c>
      <c r="M70" s="6">
        <f t="shared" si="25"/>
        <v>1.1125863099309519</v>
      </c>
      <c r="N70" s="5">
        <f t="shared" si="26"/>
        <v>9584.119999999999</v>
      </c>
      <c r="O70" s="5">
        <f t="shared" si="27"/>
        <v>12500.01</v>
      </c>
      <c r="P70" s="5">
        <f t="shared" si="28"/>
        <v>-2915.8900000000012</v>
      </c>
      <c r="Q70" s="6">
        <f t="shared" si="29"/>
        <v>0.76672898661681066</v>
      </c>
    </row>
    <row r="71" spans="1:17" x14ac:dyDescent="0.25">
      <c r="A71" s="3" t="s">
        <v>72</v>
      </c>
      <c r="B71" s="5">
        <f>35.88</f>
        <v>35.880000000000003</v>
      </c>
      <c r="C71" s="4"/>
      <c r="D71" s="5">
        <f t="shared" si="20"/>
        <v>35.880000000000003</v>
      </c>
      <c r="E71" s="6" t="str">
        <f t="shared" si="21"/>
        <v/>
      </c>
      <c r="F71" s="5">
        <f>35.88</f>
        <v>35.880000000000003</v>
      </c>
      <c r="G71" s="4"/>
      <c r="H71" s="5">
        <f t="shared" si="22"/>
        <v>35.880000000000003</v>
      </c>
      <c r="I71" s="6" t="str">
        <f t="shared" si="23"/>
        <v/>
      </c>
      <c r="J71" s="5">
        <f>67.22</f>
        <v>67.22</v>
      </c>
      <c r="K71" s="4"/>
      <c r="L71" s="5">
        <f t="shared" si="24"/>
        <v>67.22</v>
      </c>
      <c r="M71" s="6" t="str">
        <f t="shared" si="25"/>
        <v/>
      </c>
      <c r="N71" s="5">
        <f t="shared" si="26"/>
        <v>138.98000000000002</v>
      </c>
      <c r="O71" s="5">
        <f t="shared" si="27"/>
        <v>0</v>
      </c>
      <c r="P71" s="5">
        <f t="shared" si="28"/>
        <v>138.98000000000002</v>
      </c>
      <c r="Q71" s="6" t="str">
        <f t="shared" si="29"/>
        <v/>
      </c>
    </row>
    <row r="72" spans="1:17" x14ac:dyDescent="0.25">
      <c r="A72" s="3" t="s">
        <v>73</v>
      </c>
      <c r="B72" s="5">
        <f>517.1</f>
        <v>517.1</v>
      </c>
      <c r="C72" s="5">
        <f>880.69</f>
        <v>880.69</v>
      </c>
      <c r="D72" s="5">
        <f t="shared" si="20"/>
        <v>-363.59000000000003</v>
      </c>
      <c r="E72" s="6">
        <f t="shared" si="21"/>
        <v>0.5871532548342776</v>
      </c>
      <c r="F72" s="5">
        <f>517.1</f>
        <v>517.1</v>
      </c>
      <c r="G72" s="5">
        <f>880.69</f>
        <v>880.69</v>
      </c>
      <c r="H72" s="5">
        <f t="shared" si="22"/>
        <v>-363.59000000000003</v>
      </c>
      <c r="I72" s="6">
        <f t="shared" si="23"/>
        <v>0.5871532548342776</v>
      </c>
      <c r="J72" s="5">
        <f>968.88</f>
        <v>968.88</v>
      </c>
      <c r="K72" s="5">
        <f>880.69</f>
        <v>880.69</v>
      </c>
      <c r="L72" s="5">
        <f t="shared" si="24"/>
        <v>88.189999999999941</v>
      </c>
      <c r="M72" s="6">
        <f t="shared" si="25"/>
        <v>1.1001373922719686</v>
      </c>
      <c r="N72" s="5">
        <f t="shared" si="26"/>
        <v>2003.08</v>
      </c>
      <c r="O72" s="5">
        <f t="shared" si="27"/>
        <v>2642.07</v>
      </c>
      <c r="P72" s="5">
        <f t="shared" si="28"/>
        <v>-638.99000000000024</v>
      </c>
      <c r="Q72" s="6">
        <f t="shared" si="29"/>
        <v>0.75814796731350786</v>
      </c>
    </row>
    <row r="73" spans="1:17" x14ac:dyDescent="0.25">
      <c r="A73" s="3" t="s">
        <v>74</v>
      </c>
      <c r="B73" s="4"/>
      <c r="C73" s="5">
        <f>4.5</f>
        <v>4.5</v>
      </c>
      <c r="D73" s="5">
        <f t="shared" si="20"/>
        <v>-4.5</v>
      </c>
      <c r="E73" s="6">
        <f t="shared" si="21"/>
        <v>0</v>
      </c>
      <c r="F73" s="4"/>
      <c r="G73" s="5">
        <f>4.5</f>
        <v>4.5</v>
      </c>
      <c r="H73" s="5">
        <f t="shared" si="22"/>
        <v>-4.5</v>
      </c>
      <c r="I73" s="6">
        <f t="shared" si="23"/>
        <v>0</v>
      </c>
      <c r="J73" s="4"/>
      <c r="K73" s="5">
        <f>4.5</f>
        <v>4.5</v>
      </c>
      <c r="L73" s="5">
        <f t="shared" si="24"/>
        <v>-4.5</v>
      </c>
      <c r="M73" s="6">
        <f t="shared" si="25"/>
        <v>0</v>
      </c>
      <c r="N73" s="5">
        <f t="shared" si="26"/>
        <v>0</v>
      </c>
      <c r="O73" s="5">
        <f t="shared" si="27"/>
        <v>13.5</v>
      </c>
      <c r="P73" s="5">
        <f t="shared" si="28"/>
        <v>-13.5</v>
      </c>
      <c r="Q73" s="6">
        <f t="shared" si="29"/>
        <v>0</v>
      </c>
    </row>
    <row r="74" spans="1:17" x14ac:dyDescent="0.25">
      <c r="A74" s="3" t="s">
        <v>75</v>
      </c>
      <c r="B74" s="5">
        <f>316.71</f>
        <v>316.70999999999998</v>
      </c>
      <c r="C74" s="5">
        <f>6.8</f>
        <v>6.8</v>
      </c>
      <c r="D74" s="5">
        <f t="shared" si="20"/>
        <v>309.90999999999997</v>
      </c>
      <c r="E74" s="6">
        <f t="shared" si="21"/>
        <v>46.574999999999996</v>
      </c>
      <c r="F74" s="4"/>
      <c r="G74" s="5">
        <f>6.8</f>
        <v>6.8</v>
      </c>
      <c r="H74" s="5">
        <f t="shared" si="22"/>
        <v>-6.8</v>
      </c>
      <c r="I74" s="6">
        <f t="shared" si="23"/>
        <v>0</v>
      </c>
      <c r="J74" s="4"/>
      <c r="K74" s="5">
        <f>6.8</f>
        <v>6.8</v>
      </c>
      <c r="L74" s="5">
        <f t="shared" si="24"/>
        <v>-6.8</v>
      </c>
      <c r="M74" s="6">
        <f t="shared" si="25"/>
        <v>0</v>
      </c>
      <c r="N74" s="5">
        <f t="shared" si="26"/>
        <v>316.70999999999998</v>
      </c>
      <c r="O74" s="5">
        <f t="shared" si="27"/>
        <v>20.399999999999999</v>
      </c>
      <c r="P74" s="5">
        <f t="shared" si="28"/>
        <v>296.31</v>
      </c>
      <c r="Q74" s="6">
        <f t="shared" si="29"/>
        <v>15.525</v>
      </c>
    </row>
    <row r="75" spans="1:17" x14ac:dyDescent="0.25">
      <c r="A75" s="3" t="s">
        <v>76</v>
      </c>
      <c r="B75" s="7">
        <f>(((((B69)+(B70))+(B71))+(B72))+(B73))+(B74)</f>
        <v>3343.86</v>
      </c>
      <c r="C75" s="7">
        <f>(((((C69)+(C70))+(C71))+(C72))+(C73))+(C74)</f>
        <v>5058.6600000000008</v>
      </c>
      <c r="D75" s="7">
        <f t="shared" si="20"/>
        <v>-1714.8000000000006</v>
      </c>
      <c r="E75" s="8">
        <f t="shared" si="21"/>
        <v>0.66101694915254228</v>
      </c>
      <c r="F75" s="7">
        <f>(((((F69)+(F70))+(F71))+(F72))+(F73))+(F74)</f>
        <v>3027.15</v>
      </c>
      <c r="G75" s="7">
        <f>(((((G69)+(G70))+(G71))+(G72))+(G73))+(G74)</f>
        <v>5058.6600000000008</v>
      </c>
      <c r="H75" s="7">
        <f t="shared" si="22"/>
        <v>-2031.5100000000007</v>
      </c>
      <c r="I75" s="8">
        <f t="shared" si="23"/>
        <v>0.59840946021278352</v>
      </c>
      <c r="J75" s="7">
        <f>(((((J69)+(J70))+(J71))+(J72))+(J73))+(J74)</f>
        <v>5671.88</v>
      </c>
      <c r="K75" s="7">
        <f>(((((K69)+(K70))+(K71))+(K72))+(K73))+(K74)</f>
        <v>5058.6600000000008</v>
      </c>
      <c r="L75" s="7">
        <f t="shared" si="24"/>
        <v>613.21999999999935</v>
      </c>
      <c r="M75" s="8">
        <f t="shared" si="25"/>
        <v>1.1212218255427324</v>
      </c>
      <c r="N75" s="7">
        <f t="shared" si="26"/>
        <v>12042.89</v>
      </c>
      <c r="O75" s="7">
        <f t="shared" si="27"/>
        <v>15175.980000000003</v>
      </c>
      <c r="P75" s="7">
        <f t="shared" si="28"/>
        <v>-3133.0900000000038</v>
      </c>
      <c r="Q75" s="8">
        <f t="shared" si="29"/>
        <v>0.79354941163601933</v>
      </c>
    </row>
    <row r="76" spans="1:17" x14ac:dyDescent="0.25">
      <c r="A76" s="3" t="s">
        <v>77</v>
      </c>
      <c r="B76" s="4"/>
      <c r="C76" s="4"/>
      <c r="D76" s="5">
        <f t="shared" si="20"/>
        <v>0</v>
      </c>
      <c r="E76" s="6" t="str">
        <f t="shared" si="21"/>
        <v/>
      </c>
      <c r="F76" s="4"/>
      <c r="G76" s="4"/>
      <c r="H76" s="5">
        <f t="shared" si="22"/>
        <v>0</v>
      </c>
      <c r="I76" s="6" t="str">
        <f t="shared" si="23"/>
        <v/>
      </c>
      <c r="J76" s="4"/>
      <c r="K76" s="4"/>
      <c r="L76" s="5">
        <f t="shared" si="24"/>
        <v>0</v>
      </c>
      <c r="M76" s="6" t="str">
        <f t="shared" si="25"/>
        <v/>
      </c>
      <c r="N76" s="5">
        <f t="shared" si="26"/>
        <v>0</v>
      </c>
      <c r="O76" s="5">
        <f t="shared" si="27"/>
        <v>0</v>
      </c>
      <c r="P76" s="5">
        <f t="shared" si="28"/>
        <v>0</v>
      </c>
      <c r="Q76" s="6" t="str">
        <f t="shared" si="29"/>
        <v/>
      </c>
    </row>
    <row r="77" spans="1:17" x14ac:dyDescent="0.25">
      <c r="A77" s="3" t="s">
        <v>78</v>
      </c>
      <c r="B77" s="5">
        <f>10416.66</f>
        <v>10416.66</v>
      </c>
      <c r="C77" s="5">
        <f>10416</f>
        <v>10416</v>
      </c>
      <c r="D77" s="5">
        <f t="shared" si="20"/>
        <v>0.65999999999985448</v>
      </c>
      <c r="E77" s="6">
        <f t="shared" si="21"/>
        <v>1.0000633640552996</v>
      </c>
      <c r="F77" s="5">
        <f>10416.66</f>
        <v>10416.66</v>
      </c>
      <c r="G77" s="5">
        <f>10416</f>
        <v>10416</v>
      </c>
      <c r="H77" s="5">
        <f t="shared" si="22"/>
        <v>0.65999999999985448</v>
      </c>
      <c r="I77" s="6">
        <f t="shared" si="23"/>
        <v>1.0000633640552996</v>
      </c>
      <c r="J77" s="4"/>
      <c r="K77" s="5">
        <f>10416</f>
        <v>10416</v>
      </c>
      <c r="L77" s="5">
        <f t="shared" si="24"/>
        <v>-10416</v>
      </c>
      <c r="M77" s="6">
        <f t="shared" si="25"/>
        <v>0</v>
      </c>
      <c r="N77" s="5">
        <f t="shared" si="26"/>
        <v>20833.32</v>
      </c>
      <c r="O77" s="5">
        <f t="shared" si="27"/>
        <v>31248</v>
      </c>
      <c r="P77" s="5">
        <f t="shared" si="28"/>
        <v>-10414.68</v>
      </c>
      <c r="Q77" s="6">
        <f t="shared" si="29"/>
        <v>0.66670890937019966</v>
      </c>
    </row>
    <row r="78" spans="1:17" x14ac:dyDescent="0.25">
      <c r="A78" s="3" t="s">
        <v>79</v>
      </c>
      <c r="B78" s="5">
        <f>4</f>
        <v>4</v>
      </c>
      <c r="C78" s="4"/>
      <c r="D78" s="5">
        <f t="shared" si="20"/>
        <v>4</v>
      </c>
      <c r="E78" s="6" t="str">
        <f t="shared" si="21"/>
        <v/>
      </c>
      <c r="F78" s="5">
        <f>4</f>
        <v>4</v>
      </c>
      <c r="G78" s="4"/>
      <c r="H78" s="5">
        <f t="shared" si="22"/>
        <v>4</v>
      </c>
      <c r="I78" s="6" t="str">
        <f t="shared" si="23"/>
        <v/>
      </c>
      <c r="J78" s="4"/>
      <c r="K78" s="4"/>
      <c r="L78" s="5">
        <f t="shared" si="24"/>
        <v>0</v>
      </c>
      <c r="M78" s="6" t="str">
        <f t="shared" si="25"/>
        <v/>
      </c>
      <c r="N78" s="5">
        <f t="shared" si="26"/>
        <v>8</v>
      </c>
      <c r="O78" s="5">
        <f t="shared" si="27"/>
        <v>0</v>
      </c>
      <c r="P78" s="5">
        <f t="shared" si="28"/>
        <v>8</v>
      </c>
      <c r="Q78" s="6" t="str">
        <f t="shared" si="29"/>
        <v/>
      </c>
    </row>
    <row r="79" spans="1:17" x14ac:dyDescent="0.25">
      <c r="A79" s="3" t="s">
        <v>80</v>
      </c>
      <c r="B79" s="5">
        <f>150.8</f>
        <v>150.80000000000001</v>
      </c>
      <c r="C79" s="4"/>
      <c r="D79" s="5">
        <f t="shared" si="20"/>
        <v>150.80000000000001</v>
      </c>
      <c r="E79" s="6" t="str">
        <f t="shared" si="21"/>
        <v/>
      </c>
      <c r="F79" s="5">
        <f>150.8</f>
        <v>150.80000000000001</v>
      </c>
      <c r="G79" s="4"/>
      <c r="H79" s="5">
        <f t="shared" si="22"/>
        <v>150.80000000000001</v>
      </c>
      <c r="I79" s="6" t="str">
        <f t="shared" si="23"/>
        <v/>
      </c>
      <c r="J79" s="4"/>
      <c r="K79" s="4"/>
      <c r="L79" s="5">
        <f t="shared" si="24"/>
        <v>0</v>
      </c>
      <c r="M79" s="6" t="str">
        <f t="shared" si="25"/>
        <v/>
      </c>
      <c r="N79" s="5">
        <f t="shared" si="26"/>
        <v>301.60000000000002</v>
      </c>
      <c r="O79" s="5">
        <f t="shared" si="27"/>
        <v>0</v>
      </c>
      <c r="P79" s="5">
        <f t="shared" si="28"/>
        <v>301.60000000000002</v>
      </c>
      <c r="Q79" s="6" t="str">
        <f t="shared" si="29"/>
        <v/>
      </c>
    </row>
    <row r="80" spans="1:17" x14ac:dyDescent="0.25">
      <c r="A80" s="3" t="s">
        <v>81</v>
      </c>
      <c r="B80" s="5">
        <f>2177.08</f>
        <v>2177.08</v>
      </c>
      <c r="C80" s="5">
        <f>2202.08</f>
        <v>2202.08</v>
      </c>
      <c r="D80" s="5">
        <f t="shared" si="20"/>
        <v>-25</v>
      </c>
      <c r="E80" s="6">
        <f t="shared" si="21"/>
        <v>0.98864709728983502</v>
      </c>
      <c r="F80" s="5">
        <f>2202.08</f>
        <v>2202.08</v>
      </c>
      <c r="G80" s="5">
        <f>2202.08</f>
        <v>2202.08</v>
      </c>
      <c r="H80" s="5">
        <f t="shared" si="22"/>
        <v>0</v>
      </c>
      <c r="I80" s="6">
        <f t="shared" si="23"/>
        <v>1</v>
      </c>
      <c r="J80" s="4"/>
      <c r="K80" s="5">
        <f>2202.08</f>
        <v>2202.08</v>
      </c>
      <c r="L80" s="5">
        <f t="shared" si="24"/>
        <v>-2202.08</v>
      </c>
      <c r="M80" s="6">
        <f t="shared" si="25"/>
        <v>0</v>
      </c>
      <c r="N80" s="5">
        <f t="shared" si="26"/>
        <v>4379.16</v>
      </c>
      <c r="O80" s="5">
        <f t="shared" si="27"/>
        <v>6606.24</v>
      </c>
      <c r="P80" s="5">
        <f t="shared" si="28"/>
        <v>-2227.08</v>
      </c>
      <c r="Q80" s="6">
        <f t="shared" si="29"/>
        <v>0.6628823657632783</v>
      </c>
    </row>
    <row r="81" spans="1:17" x14ac:dyDescent="0.25">
      <c r="A81" s="3" t="s">
        <v>82</v>
      </c>
      <c r="B81" s="5">
        <f>4761.3</f>
        <v>4761.3</v>
      </c>
      <c r="C81" s="5">
        <f>5333.33</f>
        <v>5333.33</v>
      </c>
      <c r="D81" s="5">
        <f t="shared" si="20"/>
        <v>-572.02999999999975</v>
      </c>
      <c r="E81" s="6">
        <f t="shared" si="21"/>
        <v>0.89274430796519255</v>
      </c>
      <c r="F81" s="5">
        <f>24367</f>
        <v>24367</v>
      </c>
      <c r="G81" s="5">
        <f>5333.33</f>
        <v>5333.33</v>
      </c>
      <c r="H81" s="5">
        <f t="shared" si="22"/>
        <v>19033.669999999998</v>
      </c>
      <c r="I81" s="6">
        <f t="shared" si="23"/>
        <v>4.5688153555095976</v>
      </c>
      <c r="J81" s="5">
        <f>8634.5</f>
        <v>8634.5</v>
      </c>
      <c r="K81" s="5">
        <f>5333.33</f>
        <v>5333.33</v>
      </c>
      <c r="L81" s="5">
        <f t="shared" si="24"/>
        <v>3301.17</v>
      </c>
      <c r="M81" s="6">
        <f t="shared" si="25"/>
        <v>1.6189697618561012</v>
      </c>
      <c r="N81" s="5">
        <f t="shared" si="26"/>
        <v>37762.800000000003</v>
      </c>
      <c r="O81" s="5">
        <f t="shared" si="27"/>
        <v>15999.99</v>
      </c>
      <c r="P81" s="5">
        <f t="shared" si="28"/>
        <v>21762.810000000005</v>
      </c>
      <c r="Q81" s="6">
        <f t="shared" si="29"/>
        <v>2.3601764751102974</v>
      </c>
    </row>
    <row r="82" spans="1:17" x14ac:dyDescent="0.25">
      <c r="A82" s="3" t="s">
        <v>83</v>
      </c>
      <c r="B82" s="4"/>
      <c r="C82" s="5">
        <f>114.25</f>
        <v>114.25</v>
      </c>
      <c r="D82" s="5">
        <f t="shared" si="20"/>
        <v>-114.25</v>
      </c>
      <c r="E82" s="6">
        <f t="shared" si="21"/>
        <v>0</v>
      </c>
      <c r="F82" s="5">
        <f>49.25</f>
        <v>49.25</v>
      </c>
      <c r="G82" s="5">
        <f>114.25</f>
        <v>114.25</v>
      </c>
      <c r="H82" s="5">
        <f t="shared" si="22"/>
        <v>-65</v>
      </c>
      <c r="I82" s="6">
        <f t="shared" si="23"/>
        <v>0.4310722100656455</v>
      </c>
      <c r="J82" s="5">
        <f>1132.75</f>
        <v>1132.75</v>
      </c>
      <c r="K82" s="5">
        <f>114.25</f>
        <v>114.25</v>
      </c>
      <c r="L82" s="5">
        <f t="shared" si="24"/>
        <v>1018.5</v>
      </c>
      <c r="M82" s="6">
        <f t="shared" si="25"/>
        <v>9.9146608315098472</v>
      </c>
      <c r="N82" s="5">
        <f t="shared" si="26"/>
        <v>1182</v>
      </c>
      <c r="O82" s="5">
        <f t="shared" si="27"/>
        <v>342.75</v>
      </c>
      <c r="P82" s="5">
        <f t="shared" si="28"/>
        <v>839.25</v>
      </c>
      <c r="Q82" s="6">
        <f t="shared" si="29"/>
        <v>3.448577680525164</v>
      </c>
    </row>
    <row r="83" spans="1:17" x14ac:dyDescent="0.25">
      <c r="A83" s="3" t="s">
        <v>84</v>
      </c>
      <c r="B83" s="4"/>
      <c r="C83" s="5">
        <f>3062.25</f>
        <v>3062.25</v>
      </c>
      <c r="D83" s="5">
        <f t="shared" si="20"/>
        <v>-3062.25</v>
      </c>
      <c r="E83" s="6">
        <f t="shared" si="21"/>
        <v>0</v>
      </c>
      <c r="F83" s="5">
        <f>2226</f>
        <v>2226</v>
      </c>
      <c r="G83" s="5">
        <f>3062.25</f>
        <v>3062.25</v>
      </c>
      <c r="H83" s="5">
        <f t="shared" si="22"/>
        <v>-836.25</v>
      </c>
      <c r="I83" s="6">
        <f t="shared" si="23"/>
        <v>0.72691648297820233</v>
      </c>
      <c r="J83" s="4"/>
      <c r="K83" s="5">
        <f>3062.25</f>
        <v>3062.25</v>
      </c>
      <c r="L83" s="5">
        <f t="shared" si="24"/>
        <v>-3062.25</v>
      </c>
      <c r="M83" s="6">
        <f t="shared" si="25"/>
        <v>0</v>
      </c>
      <c r="N83" s="5">
        <f t="shared" si="26"/>
        <v>2226</v>
      </c>
      <c r="O83" s="5">
        <f t="shared" si="27"/>
        <v>9186.75</v>
      </c>
      <c r="P83" s="5">
        <f t="shared" si="28"/>
        <v>-6960.75</v>
      </c>
      <c r="Q83" s="6">
        <f t="shared" si="29"/>
        <v>0.24230549432606743</v>
      </c>
    </row>
    <row r="84" spans="1:17" x14ac:dyDescent="0.25">
      <c r="A84" s="3" t="s">
        <v>85</v>
      </c>
      <c r="B84" s="5">
        <f>8164</f>
        <v>8164</v>
      </c>
      <c r="C84" s="5">
        <f>2238.08</f>
        <v>2238.08</v>
      </c>
      <c r="D84" s="5">
        <f t="shared" si="20"/>
        <v>5925.92</v>
      </c>
      <c r="E84" s="6">
        <f t="shared" si="21"/>
        <v>3.6477695167286246</v>
      </c>
      <c r="F84" s="5">
        <f>7603</f>
        <v>7603</v>
      </c>
      <c r="G84" s="5">
        <f>2238.08</f>
        <v>2238.08</v>
      </c>
      <c r="H84" s="5">
        <f t="shared" si="22"/>
        <v>5364.92</v>
      </c>
      <c r="I84" s="6">
        <f t="shared" si="23"/>
        <v>3.3971082356305407</v>
      </c>
      <c r="J84" s="5">
        <f>3920</f>
        <v>3920</v>
      </c>
      <c r="K84" s="5">
        <f>2238.08</f>
        <v>2238.08</v>
      </c>
      <c r="L84" s="5">
        <f t="shared" si="24"/>
        <v>1681.92</v>
      </c>
      <c r="M84" s="6">
        <f t="shared" si="25"/>
        <v>1.7515012868172719</v>
      </c>
      <c r="N84" s="5">
        <f t="shared" si="26"/>
        <v>19687</v>
      </c>
      <c r="O84" s="5">
        <f t="shared" si="27"/>
        <v>6714.24</v>
      </c>
      <c r="P84" s="5">
        <f t="shared" si="28"/>
        <v>12972.76</v>
      </c>
      <c r="Q84" s="6">
        <f t="shared" si="29"/>
        <v>2.9321263463921459</v>
      </c>
    </row>
    <row r="85" spans="1:17" x14ac:dyDescent="0.25">
      <c r="A85" s="3" t="s">
        <v>86</v>
      </c>
      <c r="B85" s="4"/>
      <c r="C85" s="5">
        <f>254.92</f>
        <v>254.92</v>
      </c>
      <c r="D85" s="5">
        <f t="shared" si="20"/>
        <v>-254.92</v>
      </c>
      <c r="E85" s="6">
        <f t="shared" si="21"/>
        <v>0</v>
      </c>
      <c r="F85" s="4"/>
      <c r="G85" s="5">
        <f>254.92</f>
        <v>254.92</v>
      </c>
      <c r="H85" s="5">
        <f t="shared" si="22"/>
        <v>-254.92</v>
      </c>
      <c r="I85" s="6">
        <f t="shared" si="23"/>
        <v>0</v>
      </c>
      <c r="J85" s="4"/>
      <c r="K85" s="5">
        <f>254.92</f>
        <v>254.92</v>
      </c>
      <c r="L85" s="5">
        <f t="shared" si="24"/>
        <v>-254.92</v>
      </c>
      <c r="M85" s="6">
        <f t="shared" si="25"/>
        <v>0</v>
      </c>
      <c r="N85" s="5">
        <f t="shared" si="26"/>
        <v>0</v>
      </c>
      <c r="O85" s="5">
        <f t="shared" si="27"/>
        <v>764.76</v>
      </c>
      <c r="P85" s="5">
        <f t="shared" si="28"/>
        <v>-764.76</v>
      </c>
      <c r="Q85" s="6">
        <f t="shared" si="29"/>
        <v>0</v>
      </c>
    </row>
    <row r="86" spans="1:17" x14ac:dyDescent="0.25">
      <c r="A86" s="3" t="s">
        <v>87</v>
      </c>
      <c r="B86" s="5">
        <f>80</f>
        <v>80</v>
      </c>
      <c r="C86" s="5">
        <f>72.83</f>
        <v>72.83</v>
      </c>
      <c r="D86" s="5">
        <f t="shared" si="20"/>
        <v>7.1700000000000017</v>
      </c>
      <c r="E86" s="6">
        <f t="shared" si="21"/>
        <v>1.0984484415762736</v>
      </c>
      <c r="F86" s="5">
        <f>80</f>
        <v>80</v>
      </c>
      <c r="G86" s="5">
        <f>72.83</f>
        <v>72.83</v>
      </c>
      <c r="H86" s="5">
        <f t="shared" si="22"/>
        <v>7.1700000000000017</v>
      </c>
      <c r="I86" s="6">
        <f t="shared" si="23"/>
        <v>1.0984484415762736</v>
      </c>
      <c r="J86" s="5">
        <f>70</f>
        <v>70</v>
      </c>
      <c r="K86" s="5">
        <f>72.83</f>
        <v>72.83</v>
      </c>
      <c r="L86" s="5">
        <f t="shared" si="24"/>
        <v>-2.8299999999999983</v>
      </c>
      <c r="M86" s="6">
        <f t="shared" si="25"/>
        <v>0.96114238637923932</v>
      </c>
      <c r="N86" s="5">
        <f t="shared" si="26"/>
        <v>230</v>
      </c>
      <c r="O86" s="5">
        <f t="shared" si="27"/>
        <v>218.49</v>
      </c>
      <c r="P86" s="5">
        <f t="shared" si="28"/>
        <v>11.509999999999991</v>
      </c>
      <c r="Q86" s="6">
        <f t="shared" si="29"/>
        <v>1.0526797565105954</v>
      </c>
    </row>
    <row r="87" spans="1:17" x14ac:dyDescent="0.25">
      <c r="A87" s="3" t="s">
        <v>88</v>
      </c>
      <c r="B87" s="4"/>
      <c r="C87" s="4"/>
      <c r="D87" s="5">
        <f t="shared" si="20"/>
        <v>0</v>
      </c>
      <c r="E87" s="6" t="str">
        <f t="shared" si="21"/>
        <v/>
      </c>
      <c r="F87" s="5">
        <f>858.1</f>
        <v>858.1</v>
      </c>
      <c r="G87" s="4"/>
      <c r="H87" s="5">
        <f t="shared" si="22"/>
        <v>858.1</v>
      </c>
      <c r="I87" s="6" t="str">
        <f t="shared" si="23"/>
        <v/>
      </c>
      <c r="J87" s="4"/>
      <c r="K87" s="4"/>
      <c r="L87" s="5">
        <f t="shared" si="24"/>
        <v>0</v>
      </c>
      <c r="M87" s="6" t="str">
        <f t="shared" si="25"/>
        <v/>
      </c>
      <c r="N87" s="5">
        <f t="shared" si="26"/>
        <v>858.1</v>
      </c>
      <c r="O87" s="5">
        <f t="shared" si="27"/>
        <v>0</v>
      </c>
      <c r="P87" s="5">
        <f t="shared" si="28"/>
        <v>858.1</v>
      </c>
      <c r="Q87" s="6" t="str">
        <f t="shared" si="29"/>
        <v/>
      </c>
    </row>
    <row r="88" spans="1:17" x14ac:dyDescent="0.25">
      <c r="A88" s="3" t="s">
        <v>89</v>
      </c>
      <c r="B88" s="4"/>
      <c r="C88" s="5">
        <f>340</f>
        <v>340</v>
      </c>
      <c r="D88" s="5">
        <f t="shared" ref="D88:D119" si="30">(B88)-(C88)</f>
        <v>-340</v>
      </c>
      <c r="E88" s="6">
        <f t="shared" ref="E88:E119" si="31">IF(C88=0,"",(B88)/(C88))</f>
        <v>0</v>
      </c>
      <c r="F88" s="4"/>
      <c r="G88" s="5">
        <f>340</f>
        <v>340</v>
      </c>
      <c r="H88" s="5">
        <f t="shared" ref="H88:H119" si="32">(F88)-(G88)</f>
        <v>-340</v>
      </c>
      <c r="I88" s="6">
        <f t="shared" ref="I88:I119" si="33">IF(G88=0,"",(F88)/(G88))</f>
        <v>0</v>
      </c>
      <c r="J88" s="4"/>
      <c r="K88" s="5">
        <f>340</f>
        <v>340</v>
      </c>
      <c r="L88" s="5">
        <f t="shared" ref="L88:L119" si="34">(J88)-(K88)</f>
        <v>-340</v>
      </c>
      <c r="M88" s="6">
        <f t="shared" ref="M88:M119" si="35">IF(K88=0,"",(J88)/(K88))</f>
        <v>0</v>
      </c>
      <c r="N88" s="5">
        <f t="shared" ref="N88:N119" si="36">((B88)+(F88))+(J88)</f>
        <v>0</v>
      </c>
      <c r="O88" s="5">
        <f t="shared" ref="O88:O119" si="37">((C88)+(G88))+(K88)</f>
        <v>1020</v>
      </c>
      <c r="P88" s="5">
        <f t="shared" ref="P88:P119" si="38">(N88)-(O88)</f>
        <v>-1020</v>
      </c>
      <c r="Q88" s="6">
        <f t="shared" ref="Q88:Q119" si="39">IF(O88=0,"",(N88)/(O88))</f>
        <v>0</v>
      </c>
    </row>
    <row r="89" spans="1:17" x14ac:dyDescent="0.25">
      <c r="A89" s="3" t="s">
        <v>90</v>
      </c>
      <c r="B89" s="7">
        <f>((((((((((((B76)+(B77))+(B78))+(B79))+(B80))+(B81))+(B82))+(B83))+(B84))+(B85))+(B86))+(B87))+(B88)</f>
        <v>25753.84</v>
      </c>
      <c r="C89" s="7">
        <f>((((((((((((C76)+(C77))+(C78))+(C79))+(C80))+(C81))+(C82))+(C83))+(C84))+(C85))+(C86))+(C87))+(C88)</f>
        <v>24033.739999999998</v>
      </c>
      <c r="D89" s="7">
        <f t="shared" si="30"/>
        <v>1720.1000000000022</v>
      </c>
      <c r="E89" s="8">
        <f t="shared" si="31"/>
        <v>1.0715702175358477</v>
      </c>
      <c r="F89" s="7">
        <f>((((((((((((F76)+(F77))+(F78))+(F79))+(F80))+(F81))+(F82))+(F83))+(F84))+(F85))+(F86))+(F87))+(F88)</f>
        <v>47956.89</v>
      </c>
      <c r="G89" s="7">
        <f>((((((((((((G76)+(G77))+(G78))+(G79))+(G80))+(G81))+(G82))+(G83))+(G84))+(G85))+(G86))+(G87))+(G88)</f>
        <v>24033.739999999998</v>
      </c>
      <c r="H89" s="7">
        <f t="shared" si="32"/>
        <v>23923.15</v>
      </c>
      <c r="I89" s="8">
        <f t="shared" si="33"/>
        <v>1.9953985522020294</v>
      </c>
      <c r="J89" s="7">
        <f>((((((((((((J76)+(J77))+(J78))+(J79))+(J80))+(J81))+(J82))+(J83))+(J84))+(J85))+(J86))+(J87))+(J88)</f>
        <v>13757.25</v>
      </c>
      <c r="K89" s="7">
        <f>((((((((((((K76)+(K77))+(K78))+(K79))+(K80))+(K81))+(K82))+(K83))+(K84))+(K85))+(K86))+(K87))+(K88)</f>
        <v>24033.739999999998</v>
      </c>
      <c r="L89" s="7">
        <f t="shared" si="34"/>
        <v>-10276.489999999998</v>
      </c>
      <c r="M89" s="8">
        <f t="shared" si="35"/>
        <v>0.57241403127436685</v>
      </c>
      <c r="N89" s="7">
        <f t="shared" si="36"/>
        <v>87467.98</v>
      </c>
      <c r="O89" s="7">
        <f t="shared" si="37"/>
        <v>72101.22</v>
      </c>
      <c r="P89" s="7">
        <f t="shared" si="38"/>
        <v>15366.759999999995</v>
      </c>
      <c r="Q89" s="8">
        <f t="shared" si="39"/>
        <v>1.2131276003374145</v>
      </c>
    </row>
    <row r="90" spans="1:17" x14ac:dyDescent="0.25">
      <c r="A90" s="3" t="s">
        <v>91</v>
      </c>
      <c r="B90" s="4"/>
      <c r="C90" s="4"/>
      <c r="D90" s="5">
        <f t="shared" si="30"/>
        <v>0</v>
      </c>
      <c r="E90" s="6" t="str">
        <f t="shared" si="31"/>
        <v/>
      </c>
      <c r="F90" s="4"/>
      <c r="G90" s="4"/>
      <c r="H90" s="5">
        <f t="shared" si="32"/>
        <v>0</v>
      </c>
      <c r="I90" s="6" t="str">
        <f t="shared" si="33"/>
        <v/>
      </c>
      <c r="J90" s="4"/>
      <c r="K90" s="4"/>
      <c r="L90" s="5">
        <f t="shared" si="34"/>
        <v>0</v>
      </c>
      <c r="M90" s="6" t="str">
        <f t="shared" si="35"/>
        <v/>
      </c>
      <c r="N90" s="5">
        <f t="shared" si="36"/>
        <v>0</v>
      </c>
      <c r="O90" s="5">
        <f t="shared" si="37"/>
        <v>0</v>
      </c>
      <c r="P90" s="5">
        <f t="shared" si="38"/>
        <v>0</v>
      </c>
      <c r="Q90" s="6" t="str">
        <f t="shared" si="39"/>
        <v/>
      </c>
    </row>
    <row r="91" spans="1:17" x14ac:dyDescent="0.25">
      <c r="A91" s="3" t="s">
        <v>92</v>
      </c>
      <c r="B91" s="5">
        <f>8659.92</f>
        <v>8659.92</v>
      </c>
      <c r="C91" s="5">
        <f>14757.42</f>
        <v>14757.42</v>
      </c>
      <c r="D91" s="5">
        <f t="shared" si="30"/>
        <v>-6097.5</v>
      </c>
      <c r="E91" s="6">
        <f t="shared" si="31"/>
        <v>0.5868180210361974</v>
      </c>
      <c r="F91" s="5">
        <f>8659.92</f>
        <v>8659.92</v>
      </c>
      <c r="G91" s="5">
        <f>14757.42</f>
        <v>14757.42</v>
      </c>
      <c r="H91" s="5">
        <f t="shared" si="32"/>
        <v>-6097.5</v>
      </c>
      <c r="I91" s="6">
        <f t="shared" si="33"/>
        <v>0.5868180210361974</v>
      </c>
      <c r="J91" s="5">
        <f>9566.66</f>
        <v>9566.66</v>
      </c>
      <c r="K91" s="5">
        <f>14757.42</f>
        <v>14757.42</v>
      </c>
      <c r="L91" s="5">
        <f t="shared" si="34"/>
        <v>-5190.76</v>
      </c>
      <c r="M91" s="6">
        <f t="shared" si="35"/>
        <v>0.64826101039341566</v>
      </c>
      <c r="N91" s="5">
        <f t="shared" si="36"/>
        <v>26886.5</v>
      </c>
      <c r="O91" s="5">
        <f t="shared" si="37"/>
        <v>44272.26</v>
      </c>
      <c r="P91" s="5">
        <f t="shared" si="38"/>
        <v>-17385.760000000002</v>
      </c>
      <c r="Q91" s="6">
        <f t="shared" si="39"/>
        <v>0.60729901748860349</v>
      </c>
    </row>
    <row r="92" spans="1:17" x14ac:dyDescent="0.25">
      <c r="A92" s="3" t="s">
        <v>93</v>
      </c>
      <c r="B92" s="5">
        <f>27019.18</f>
        <v>27019.18</v>
      </c>
      <c r="C92" s="5">
        <f>30579.33</f>
        <v>30579.33</v>
      </c>
      <c r="D92" s="5">
        <f t="shared" si="30"/>
        <v>-3560.1500000000015</v>
      </c>
      <c r="E92" s="6">
        <f t="shared" si="31"/>
        <v>0.88357658588334009</v>
      </c>
      <c r="F92" s="5">
        <f>29005.64</f>
        <v>29005.64</v>
      </c>
      <c r="G92" s="5">
        <f>30579.33</f>
        <v>30579.33</v>
      </c>
      <c r="H92" s="5">
        <f t="shared" si="32"/>
        <v>-1573.6900000000023</v>
      </c>
      <c r="I92" s="6">
        <f t="shared" si="33"/>
        <v>0.94853745978083881</v>
      </c>
      <c r="J92" s="5">
        <f>29679.18</f>
        <v>29679.18</v>
      </c>
      <c r="K92" s="5">
        <f>30579.33</f>
        <v>30579.33</v>
      </c>
      <c r="L92" s="5">
        <f t="shared" si="34"/>
        <v>-900.15000000000146</v>
      </c>
      <c r="M92" s="6">
        <f t="shared" si="35"/>
        <v>0.97056344923188309</v>
      </c>
      <c r="N92" s="5">
        <f t="shared" si="36"/>
        <v>85704</v>
      </c>
      <c r="O92" s="5">
        <f t="shared" si="37"/>
        <v>91737.99</v>
      </c>
      <c r="P92" s="5">
        <f t="shared" si="38"/>
        <v>-6033.9900000000052</v>
      </c>
      <c r="Q92" s="6">
        <f t="shared" si="39"/>
        <v>0.93422583163202066</v>
      </c>
    </row>
    <row r="93" spans="1:17" x14ac:dyDescent="0.25">
      <c r="A93" s="3" t="s">
        <v>94</v>
      </c>
      <c r="B93" s="5">
        <f>17279.16</f>
        <v>17279.16</v>
      </c>
      <c r="C93" s="4"/>
      <c r="D93" s="5">
        <f t="shared" si="30"/>
        <v>17279.16</v>
      </c>
      <c r="E93" s="6" t="str">
        <f t="shared" si="31"/>
        <v/>
      </c>
      <c r="F93" s="5">
        <f>19890.08</f>
        <v>19890.080000000002</v>
      </c>
      <c r="G93" s="4"/>
      <c r="H93" s="5">
        <f t="shared" si="32"/>
        <v>19890.080000000002</v>
      </c>
      <c r="I93" s="6" t="str">
        <f t="shared" si="33"/>
        <v/>
      </c>
      <c r="J93" s="5">
        <f>13587.19</f>
        <v>13587.19</v>
      </c>
      <c r="K93" s="4"/>
      <c r="L93" s="5">
        <f t="shared" si="34"/>
        <v>13587.19</v>
      </c>
      <c r="M93" s="6" t="str">
        <f t="shared" si="35"/>
        <v/>
      </c>
      <c r="N93" s="5">
        <f t="shared" si="36"/>
        <v>50756.430000000008</v>
      </c>
      <c r="O93" s="5">
        <f t="shared" si="37"/>
        <v>0</v>
      </c>
      <c r="P93" s="5">
        <f t="shared" si="38"/>
        <v>50756.430000000008</v>
      </c>
      <c r="Q93" s="6" t="str">
        <f t="shared" si="39"/>
        <v/>
      </c>
    </row>
    <row r="94" spans="1:17" x14ac:dyDescent="0.25">
      <c r="A94" s="3" t="s">
        <v>95</v>
      </c>
      <c r="B94" s="4"/>
      <c r="C94" s="5">
        <f>20032.17</f>
        <v>20032.169999999998</v>
      </c>
      <c r="D94" s="5">
        <f t="shared" si="30"/>
        <v>-20032.169999999998</v>
      </c>
      <c r="E94" s="6">
        <f t="shared" si="31"/>
        <v>0</v>
      </c>
      <c r="F94" s="4"/>
      <c r="G94" s="5">
        <f>20032.17</f>
        <v>20032.169999999998</v>
      </c>
      <c r="H94" s="5">
        <f t="shared" si="32"/>
        <v>-20032.169999999998</v>
      </c>
      <c r="I94" s="6">
        <f t="shared" si="33"/>
        <v>0</v>
      </c>
      <c r="J94" s="4"/>
      <c r="K94" s="5">
        <f>20032.17</f>
        <v>20032.169999999998</v>
      </c>
      <c r="L94" s="5">
        <f t="shared" si="34"/>
        <v>-20032.169999999998</v>
      </c>
      <c r="M94" s="6">
        <f t="shared" si="35"/>
        <v>0</v>
      </c>
      <c r="N94" s="5">
        <f t="shared" si="36"/>
        <v>0</v>
      </c>
      <c r="O94" s="5">
        <f t="shared" si="37"/>
        <v>60096.509999999995</v>
      </c>
      <c r="P94" s="5">
        <f t="shared" si="38"/>
        <v>-60096.509999999995</v>
      </c>
      <c r="Q94" s="6">
        <f t="shared" si="39"/>
        <v>0</v>
      </c>
    </row>
    <row r="95" spans="1:17" x14ac:dyDescent="0.25">
      <c r="A95" s="3" t="s">
        <v>96</v>
      </c>
      <c r="B95" s="5">
        <f>2136.8</f>
        <v>2136.8000000000002</v>
      </c>
      <c r="C95" s="5">
        <f>3982.67</f>
        <v>3982.67</v>
      </c>
      <c r="D95" s="5">
        <f t="shared" si="30"/>
        <v>-1845.87</v>
      </c>
      <c r="E95" s="6">
        <f t="shared" si="31"/>
        <v>0.53652449236316346</v>
      </c>
      <c r="F95" s="5">
        <f>1985.02</f>
        <v>1985.02</v>
      </c>
      <c r="G95" s="5">
        <f>3982.67</f>
        <v>3982.67</v>
      </c>
      <c r="H95" s="5">
        <f t="shared" si="32"/>
        <v>-1997.65</v>
      </c>
      <c r="I95" s="6">
        <f t="shared" si="33"/>
        <v>0.49841438030266128</v>
      </c>
      <c r="J95" s="5">
        <f>3040.58</f>
        <v>3040.58</v>
      </c>
      <c r="K95" s="5">
        <f>3982.67</f>
        <v>3982.67</v>
      </c>
      <c r="L95" s="5">
        <f t="shared" si="34"/>
        <v>-942.09000000000015</v>
      </c>
      <c r="M95" s="6">
        <f t="shared" si="35"/>
        <v>0.76345265864357326</v>
      </c>
      <c r="N95" s="5">
        <f t="shared" si="36"/>
        <v>7162.4</v>
      </c>
      <c r="O95" s="5">
        <f t="shared" si="37"/>
        <v>11948.01</v>
      </c>
      <c r="P95" s="5">
        <f t="shared" si="38"/>
        <v>-4785.6100000000006</v>
      </c>
      <c r="Q95" s="6">
        <f t="shared" si="39"/>
        <v>0.59946384376979933</v>
      </c>
    </row>
    <row r="96" spans="1:17" x14ac:dyDescent="0.25">
      <c r="A96" s="3" t="s">
        <v>97</v>
      </c>
      <c r="B96" s="5">
        <f>1306.99</f>
        <v>1306.99</v>
      </c>
      <c r="C96" s="5">
        <f>1156.67</f>
        <v>1156.67</v>
      </c>
      <c r="D96" s="5">
        <f t="shared" si="30"/>
        <v>150.31999999999994</v>
      </c>
      <c r="E96" s="6">
        <f t="shared" si="31"/>
        <v>1.1299592796562545</v>
      </c>
      <c r="F96" s="5">
        <f>1297.55</f>
        <v>1297.55</v>
      </c>
      <c r="G96" s="5">
        <f>1156.67</f>
        <v>1156.67</v>
      </c>
      <c r="H96" s="5">
        <f t="shared" si="32"/>
        <v>140.87999999999988</v>
      </c>
      <c r="I96" s="6">
        <f t="shared" si="33"/>
        <v>1.1217979198907206</v>
      </c>
      <c r="J96" s="5">
        <f>884.38</f>
        <v>884.38</v>
      </c>
      <c r="K96" s="5">
        <f>1156.67</f>
        <v>1156.67</v>
      </c>
      <c r="L96" s="5">
        <f t="shared" si="34"/>
        <v>-272.29000000000008</v>
      </c>
      <c r="M96" s="6">
        <f t="shared" si="35"/>
        <v>0.76459145650877081</v>
      </c>
      <c r="N96" s="5">
        <f t="shared" si="36"/>
        <v>3488.92</v>
      </c>
      <c r="O96" s="5">
        <f t="shared" si="37"/>
        <v>3470.01</v>
      </c>
      <c r="P96" s="5">
        <f t="shared" si="38"/>
        <v>18.909999999999854</v>
      </c>
      <c r="Q96" s="6">
        <f t="shared" si="39"/>
        <v>1.005449552018582</v>
      </c>
    </row>
    <row r="97" spans="1:17" x14ac:dyDescent="0.25">
      <c r="A97" s="3" t="s">
        <v>98</v>
      </c>
      <c r="B97" s="5">
        <f>6360.99</f>
        <v>6360.99</v>
      </c>
      <c r="C97" s="5">
        <f>13637.09</f>
        <v>13637.09</v>
      </c>
      <c r="D97" s="5">
        <f t="shared" si="30"/>
        <v>-7276.1</v>
      </c>
      <c r="E97" s="6">
        <f t="shared" si="31"/>
        <v>0.46644775388297649</v>
      </c>
      <c r="F97" s="5">
        <f>10427.73</f>
        <v>10427.73</v>
      </c>
      <c r="G97" s="5">
        <f>13637.09</f>
        <v>13637.09</v>
      </c>
      <c r="H97" s="5">
        <f t="shared" si="32"/>
        <v>-3209.3600000000006</v>
      </c>
      <c r="I97" s="6">
        <f t="shared" si="33"/>
        <v>0.76465946913894378</v>
      </c>
      <c r="J97" s="5">
        <f>10196.08</f>
        <v>10196.08</v>
      </c>
      <c r="K97" s="5">
        <f>13637.09</f>
        <v>13637.09</v>
      </c>
      <c r="L97" s="5">
        <f t="shared" si="34"/>
        <v>-3441.01</v>
      </c>
      <c r="M97" s="6">
        <f t="shared" si="35"/>
        <v>0.74767270730045776</v>
      </c>
      <c r="N97" s="5">
        <f t="shared" si="36"/>
        <v>26984.800000000003</v>
      </c>
      <c r="O97" s="5">
        <f t="shared" si="37"/>
        <v>40911.270000000004</v>
      </c>
      <c r="P97" s="5">
        <f t="shared" si="38"/>
        <v>-13926.470000000001</v>
      </c>
      <c r="Q97" s="6">
        <f t="shared" si="39"/>
        <v>0.65959331010745936</v>
      </c>
    </row>
    <row r="98" spans="1:17" x14ac:dyDescent="0.25">
      <c r="A98" s="3" t="s">
        <v>99</v>
      </c>
      <c r="B98" s="4"/>
      <c r="C98" s="5">
        <f>198.58</f>
        <v>198.58</v>
      </c>
      <c r="D98" s="5">
        <f t="shared" si="30"/>
        <v>-198.58</v>
      </c>
      <c r="E98" s="6">
        <f t="shared" si="31"/>
        <v>0</v>
      </c>
      <c r="F98" s="4"/>
      <c r="G98" s="5">
        <f>198.58</f>
        <v>198.58</v>
      </c>
      <c r="H98" s="5">
        <f t="shared" si="32"/>
        <v>-198.58</v>
      </c>
      <c r="I98" s="6">
        <f t="shared" si="33"/>
        <v>0</v>
      </c>
      <c r="J98" s="4"/>
      <c r="K98" s="5">
        <f>198.58</f>
        <v>198.58</v>
      </c>
      <c r="L98" s="5">
        <f t="shared" si="34"/>
        <v>-198.58</v>
      </c>
      <c r="M98" s="6">
        <f t="shared" si="35"/>
        <v>0</v>
      </c>
      <c r="N98" s="5">
        <f t="shared" si="36"/>
        <v>0</v>
      </c>
      <c r="O98" s="5">
        <f t="shared" si="37"/>
        <v>595.74</v>
      </c>
      <c r="P98" s="5">
        <f t="shared" si="38"/>
        <v>-595.74</v>
      </c>
      <c r="Q98" s="6">
        <f t="shared" si="39"/>
        <v>0</v>
      </c>
    </row>
    <row r="99" spans="1:17" x14ac:dyDescent="0.25">
      <c r="A99" s="3" t="s">
        <v>100</v>
      </c>
      <c r="B99" s="5">
        <f>14.99</f>
        <v>14.99</v>
      </c>
      <c r="C99" s="5">
        <f>10293.41</f>
        <v>10293.41</v>
      </c>
      <c r="D99" s="5">
        <f t="shared" si="30"/>
        <v>-10278.42</v>
      </c>
      <c r="E99" s="6">
        <f t="shared" si="31"/>
        <v>1.4562715368376467E-3</v>
      </c>
      <c r="F99" s="5">
        <f>6064.99</f>
        <v>6064.99</v>
      </c>
      <c r="G99" s="5">
        <f>10293.41</f>
        <v>10293.41</v>
      </c>
      <c r="H99" s="5">
        <f t="shared" si="32"/>
        <v>-4228.42</v>
      </c>
      <c r="I99" s="6">
        <f t="shared" si="33"/>
        <v>0.58921096118778904</v>
      </c>
      <c r="J99" s="5">
        <f>8014.99</f>
        <v>8014.99</v>
      </c>
      <c r="K99" s="5">
        <f>10293.41</f>
        <v>10293.41</v>
      </c>
      <c r="L99" s="5">
        <f t="shared" si="34"/>
        <v>-2278.42</v>
      </c>
      <c r="M99" s="6">
        <f t="shared" si="35"/>
        <v>0.77865255537280642</v>
      </c>
      <c r="N99" s="5">
        <f t="shared" si="36"/>
        <v>14094.97</v>
      </c>
      <c r="O99" s="5">
        <f t="shared" si="37"/>
        <v>30880.23</v>
      </c>
      <c r="P99" s="5">
        <f t="shared" si="38"/>
        <v>-16785.260000000002</v>
      </c>
      <c r="Q99" s="6">
        <f t="shared" si="39"/>
        <v>0.45643992936581107</v>
      </c>
    </row>
    <row r="100" spans="1:17" x14ac:dyDescent="0.25">
      <c r="A100" s="3" t="s">
        <v>101</v>
      </c>
      <c r="B100" s="5">
        <f>12445.83</f>
        <v>12445.83</v>
      </c>
      <c r="C100" s="4"/>
      <c r="D100" s="5">
        <f t="shared" si="30"/>
        <v>12445.83</v>
      </c>
      <c r="E100" s="6" t="str">
        <f t="shared" si="31"/>
        <v/>
      </c>
      <c r="F100" s="5">
        <f>12401.25</f>
        <v>12401.25</v>
      </c>
      <c r="G100" s="4"/>
      <c r="H100" s="5">
        <f t="shared" si="32"/>
        <v>12401.25</v>
      </c>
      <c r="I100" s="6" t="str">
        <f t="shared" si="33"/>
        <v/>
      </c>
      <c r="J100" s="5">
        <f>31251.25</f>
        <v>31251.25</v>
      </c>
      <c r="K100" s="4"/>
      <c r="L100" s="5">
        <f t="shared" si="34"/>
        <v>31251.25</v>
      </c>
      <c r="M100" s="6" t="str">
        <f t="shared" si="35"/>
        <v/>
      </c>
      <c r="N100" s="5">
        <f t="shared" si="36"/>
        <v>56098.33</v>
      </c>
      <c r="O100" s="5">
        <f t="shared" si="37"/>
        <v>0</v>
      </c>
      <c r="P100" s="5">
        <f t="shared" si="38"/>
        <v>56098.33</v>
      </c>
      <c r="Q100" s="6" t="str">
        <f t="shared" si="39"/>
        <v/>
      </c>
    </row>
    <row r="101" spans="1:17" x14ac:dyDescent="0.25">
      <c r="A101" s="3" t="s">
        <v>102</v>
      </c>
      <c r="B101" s="4"/>
      <c r="C101" s="5">
        <f>833.33</f>
        <v>833.33</v>
      </c>
      <c r="D101" s="5">
        <f t="shared" si="30"/>
        <v>-833.33</v>
      </c>
      <c r="E101" s="6">
        <f t="shared" si="31"/>
        <v>0</v>
      </c>
      <c r="F101" s="4"/>
      <c r="G101" s="5">
        <f>833.33</f>
        <v>833.33</v>
      </c>
      <c r="H101" s="5">
        <f t="shared" si="32"/>
        <v>-833.33</v>
      </c>
      <c r="I101" s="6">
        <f t="shared" si="33"/>
        <v>0</v>
      </c>
      <c r="J101" s="4"/>
      <c r="K101" s="5">
        <f>833.33</f>
        <v>833.33</v>
      </c>
      <c r="L101" s="5">
        <f t="shared" si="34"/>
        <v>-833.33</v>
      </c>
      <c r="M101" s="6">
        <f t="shared" si="35"/>
        <v>0</v>
      </c>
      <c r="N101" s="5">
        <f t="shared" si="36"/>
        <v>0</v>
      </c>
      <c r="O101" s="5">
        <f t="shared" si="37"/>
        <v>2499.9900000000002</v>
      </c>
      <c r="P101" s="5">
        <f t="shared" si="38"/>
        <v>-2499.9900000000002</v>
      </c>
      <c r="Q101" s="6">
        <f t="shared" si="39"/>
        <v>0</v>
      </c>
    </row>
    <row r="102" spans="1:17" x14ac:dyDescent="0.25">
      <c r="A102" s="3" t="s">
        <v>103</v>
      </c>
      <c r="B102" s="5">
        <f>659.32</f>
        <v>659.32</v>
      </c>
      <c r="C102" s="4"/>
      <c r="D102" s="5">
        <f t="shared" si="30"/>
        <v>659.32</v>
      </c>
      <c r="E102" s="6" t="str">
        <f t="shared" si="31"/>
        <v/>
      </c>
      <c r="F102" s="4"/>
      <c r="G102" s="4"/>
      <c r="H102" s="5">
        <f t="shared" si="32"/>
        <v>0</v>
      </c>
      <c r="I102" s="6" t="str">
        <f t="shared" si="33"/>
        <v/>
      </c>
      <c r="J102" s="4"/>
      <c r="K102" s="4"/>
      <c r="L102" s="5">
        <f t="shared" si="34"/>
        <v>0</v>
      </c>
      <c r="M102" s="6" t="str">
        <f t="shared" si="35"/>
        <v/>
      </c>
      <c r="N102" s="5">
        <f t="shared" si="36"/>
        <v>659.32</v>
      </c>
      <c r="O102" s="5">
        <f t="shared" si="37"/>
        <v>0</v>
      </c>
      <c r="P102" s="5">
        <f t="shared" si="38"/>
        <v>659.32</v>
      </c>
      <c r="Q102" s="6" t="str">
        <f t="shared" si="39"/>
        <v/>
      </c>
    </row>
    <row r="103" spans="1:17" x14ac:dyDescent="0.25">
      <c r="A103" s="3" t="s">
        <v>104</v>
      </c>
      <c r="B103" s="4"/>
      <c r="C103" s="4"/>
      <c r="D103" s="5">
        <f t="shared" si="30"/>
        <v>0</v>
      </c>
      <c r="E103" s="6" t="str">
        <f t="shared" si="31"/>
        <v/>
      </c>
      <c r="F103" s="5">
        <f>14.95</f>
        <v>14.95</v>
      </c>
      <c r="G103" s="4"/>
      <c r="H103" s="5">
        <f t="shared" si="32"/>
        <v>14.95</v>
      </c>
      <c r="I103" s="6" t="str">
        <f t="shared" si="33"/>
        <v/>
      </c>
      <c r="J103" s="4"/>
      <c r="K103" s="4"/>
      <c r="L103" s="5">
        <f t="shared" si="34"/>
        <v>0</v>
      </c>
      <c r="M103" s="6" t="str">
        <f t="shared" si="35"/>
        <v/>
      </c>
      <c r="N103" s="5">
        <f t="shared" si="36"/>
        <v>14.95</v>
      </c>
      <c r="O103" s="5">
        <f t="shared" si="37"/>
        <v>0</v>
      </c>
      <c r="P103" s="5">
        <f t="shared" si="38"/>
        <v>14.95</v>
      </c>
      <c r="Q103" s="6" t="str">
        <f t="shared" si="39"/>
        <v/>
      </c>
    </row>
    <row r="104" spans="1:17" x14ac:dyDescent="0.25">
      <c r="A104" s="3" t="s">
        <v>105</v>
      </c>
      <c r="B104" s="5">
        <f>4615.72</f>
        <v>4615.72</v>
      </c>
      <c r="C104" s="5">
        <f>1916.25</f>
        <v>1916.25</v>
      </c>
      <c r="D104" s="5">
        <f t="shared" si="30"/>
        <v>2699.4700000000003</v>
      </c>
      <c r="E104" s="6">
        <f t="shared" si="31"/>
        <v>2.4087253750815396</v>
      </c>
      <c r="F104" s="5">
        <f>4308.06</f>
        <v>4308.0600000000004</v>
      </c>
      <c r="G104" s="5">
        <f>1916.25</f>
        <v>1916.25</v>
      </c>
      <c r="H104" s="5">
        <f t="shared" si="32"/>
        <v>2391.8100000000004</v>
      </c>
      <c r="I104" s="6">
        <f t="shared" si="33"/>
        <v>2.2481722113502935</v>
      </c>
      <c r="J104" s="5">
        <f>495.78</f>
        <v>495.78</v>
      </c>
      <c r="K104" s="5">
        <f>1916.25</f>
        <v>1916.25</v>
      </c>
      <c r="L104" s="5">
        <f t="shared" si="34"/>
        <v>-1420.47</v>
      </c>
      <c r="M104" s="6">
        <f t="shared" si="35"/>
        <v>0.25872407045009782</v>
      </c>
      <c r="N104" s="5">
        <f t="shared" si="36"/>
        <v>9419.5600000000013</v>
      </c>
      <c r="O104" s="5">
        <f t="shared" si="37"/>
        <v>5748.75</v>
      </c>
      <c r="P104" s="5">
        <f t="shared" si="38"/>
        <v>3670.8100000000013</v>
      </c>
      <c r="Q104" s="6">
        <f t="shared" si="39"/>
        <v>1.6385405522939771</v>
      </c>
    </row>
    <row r="105" spans="1:17" x14ac:dyDescent="0.25">
      <c r="A105" s="3" t="s">
        <v>106</v>
      </c>
      <c r="B105" s="4"/>
      <c r="C105" s="5">
        <f>329.33</f>
        <v>329.33</v>
      </c>
      <c r="D105" s="5">
        <f t="shared" si="30"/>
        <v>-329.33</v>
      </c>
      <c r="E105" s="6">
        <f t="shared" si="31"/>
        <v>0</v>
      </c>
      <c r="F105" s="5">
        <f>122.34</f>
        <v>122.34</v>
      </c>
      <c r="G105" s="5">
        <f>329.33</f>
        <v>329.33</v>
      </c>
      <c r="H105" s="5">
        <f t="shared" si="32"/>
        <v>-206.98999999999998</v>
      </c>
      <c r="I105" s="6">
        <f t="shared" si="33"/>
        <v>0.37148149272765923</v>
      </c>
      <c r="J105" s="5">
        <f>269.99</f>
        <v>269.99</v>
      </c>
      <c r="K105" s="5">
        <f>329.33</f>
        <v>329.33</v>
      </c>
      <c r="L105" s="5">
        <f t="shared" si="34"/>
        <v>-59.339999999999975</v>
      </c>
      <c r="M105" s="6">
        <f t="shared" si="35"/>
        <v>0.81981599004038508</v>
      </c>
      <c r="N105" s="5">
        <f t="shared" si="36"/>
        <v>392.33000000000004</v>
      </c>
      <c r="O105" s="5">
        <f t="shared" si="37"/>
        <v>987.99</v>
      </c>
      <c r="P105" s="5">
        <f t="shared" si="38"/>
        <v>-595.66</v>
      </c>
      <c r="Q105" s="6">
        <f t="shared" si="39"/>
        <v>0.39709916092268144</v>
      </c>
    </row>
    <row r="106" spans="1:17" x14ac:dyDescent="0.25">
      <c r="A106" s="3" t="s">
        <v>107</v>
      </c>
      <c r="B106" s="5">
        <f>48</f>
        <v>48</v>
      </c>
      <c r="C106" s="5">
        <f>180.33</f>
        <v>180.33</v>
      </c>
      <c r="D106" s="5">
        <f t="shared" si="30"/>
        <v>-132.33000000000001</v>
      </c>
      <c r="E106" s="6">
        <f t="shared" si="31"/>
        <v>0.26617867243387122</v>
      </c>
      <c r="F106" s="4"/>
      <c r="G106" s="5">
        <f>180.33</f>
        <v>180.33</v>
      </c>
      <c r="H106" s="5">
        <f t="shared" si="32"/>
        <v>-180.33</v>
      </c>
      <c r="I106" s="6">
        <f t="shared" si="33"/>
        <v>0</v>
      </c>
      <c r="J106" s="5">
        <f>209.98</f>
        <v>209.98</v>
      </c>
      <c r="K106" s="5">
        <f>180.33</f>
        <v>180.33</v>
      </c>
      <c r="L106" s="5">
        <f t="shared" si="34"/>
        <v>29.649999999999977</v>
      </c>
      <c r="M106" s="6">
        <f t="shared" si="35"/>
        <v>1.1644207841180056</v>
      </c>
      <c r="N106" s="5">
        <f t="shared" si="36"/>
        <v>257.98</v>
      </c>
      <c r="O106" s="5">
        <f t="shared" si="37"/>
        <v>540.99</v>
      </c>
      <c r="P106" s="5">
        <f t="shared" si="38"/>
        <v>-283.01</v>
      </c>
      <c r="Q106" s="6">
        <f t="shared" si="39"/>
        <v>0.47686648551729238</v>
      </c>
    </row>
    <row r="107" spans="1:17" x14ac:dyDescent="0.25">
      <c r="A107" s="3" t="s">
        <v>108</v>
      </c>
      <c r="B107" s="4"/>
      <c r="C107" s="5">
        <f>191.25</f>
        <v>191.25</v>
      </c>
      <c r="D107" s="5">
        <f t="shared" si="30"/>
        <v>-191.25</v>
      </c>
      <c r="E107" s="6">
        <f t="shared" si="31"/>
        <v>0</v>
      </c>
      <c r="F107" s="5">
        <f>441.5</f>
        <v>441.5</v>
      </c>
      <c r="G107" s="5">
        <f>191.25</f>
        <v>191.25</v>
      </c>
      <c r="H107" s="5">
        <f t="shared" si="32"/>
        <v>250.25</v>
      </c>
      <c r="I107" s="6">
        <f t="shared" si="33"/>
        <v>2.3084967320261436</v>
      </c>
      <c r="J107" s="5">
        <f>205.44</f>
        <v>205.44</v>
      </c>
      <c r="K107" s="5">
        <f>191.25</f>
        <v>191.25</v>
      </c>
      <c r="L107" s="5">
        <f t="shared" si="34"/>
        <v>14.189999999999998</v>
      </c>
      <c r="M107" s="6">
        <f t="shared" si="35"/>
        <v>1.0741960784313724</v>
      </c>
      <c r="N107" s="5">
        <f t="shared" si="36"/>
        <v>646.94000000000005</v>
      </c>
      <c r="O107" s="5">
        <f t="shared" si="37"/>
        <v>573.75</v>
      </c>
      <c r="P107" s="5">
        <f t="shared" si="38"/>
        <v>73.190000000000055</v>
      </c>
      <c r="Q107" s="6">
        <f t="shared" si="39"/>
        <v>1.1275642701525055</v>
      </c>
    </row>
    <row r="108" spans="1:17" x14ac:dyDescent="0.25">
      <c r="A108" s="3" t="s">
        <v>109</v>
      </c>
      <c r="B108" s="4"/>
      <c r="C108" s="5">
        <f>1746.5</f>
        <v>1746.5</v>
      </c>
      <c r="D108" s="5">
        <f t="shared" si="30"/>
        <v>-1746.5</v>
      </c>
      <c r="E108" s="6">
        <f t="shared" si="31"/>
        <v>0</v>
      </c>
      <c r="F108" s="4"/>
      <c r="G108" s="5">
        <f>1746.5</f>
        <v>1746.5</v>
      </c>
      <c r="H108" s="5">
        <f t="shared" si="32"/>
        <v>-1746.5</v>
      </c>
      <c r="I108" s="6">
        <f t="shared" si="33"/>
        <v>0</v>
      </c>
      <c r="J108" s="4"/>
      <c r="K108" s="5">
        <f>1746.5</f>
        <v>1746.5</v>
      </c>
      <c r="L108" s="5">
        <f t="shared" si="34"/>
        <v>-1746.5</v>
      </c>
      <c r="M108" s="6">
        <f t="shared" si="35"/>
        <v>0</v>
      </c>
      <c r="N108" s="5">
        <f t="shared" si="36"/>
        <v>0</v>
      </c>
      <c r="O108" s="5">
        <f t="shared" si="37"/>
        <v>5239.5</v>
      </c>
      <c r="P108" s="5">
        <f t="shared" si="38"/>
        <v>-5239.5</v>
      </c>
      <c r="Q108" s="6">
        <f t="shared" si="39"/>
        <v>0</v>
      </c>
    </row>
    <row r="109" spans="1:17" x14ac:dyDescent="0.25">
      <c r="A109" s="3" t="s">
        <v>110</v>
      </c>
      <c r="B109" s="5">
        <f>1060.33</f>
        <v>1060.33</v>
      </c>
      <c r="C109" s="5">
        <f>1166.67</f>
        <v>1166.67</v>
      </c>
      <c r="D109" s="5">
        <f t="shared" si="30"/>
        <v>-106.34000000000015</v>
      </c>
      <c r="E109" s="6">
        <f t="shared" si="31"/>
        <v>0.90885168899517421</v>
      </c>
      <c r="F109" s="5">
        <f>354.09</f>
        <v>354.09</v>
      </c>
      <c r="G109" s="5">
        <f>1166.67</f>
        <v>1166.67</v>
      </c>
      <c r="H109" s="5">
        <f t="shared" si="32"/>
        <v>-812.58000000000015</v>
      </c>
      <c r="I109" s="6">
        <f t="shared" si="33"/>
        <v>0.30350484712900816</v>
      </c>
      <c r="J109" s="5">
        <f>51.04</f>
        <v>51.04</v>
      </c>
      <c r="K109" s="5">
        <f>1166.67</f>
        <v>1166.67</v>
      </c>
      <c r="L109" s="5">
        <f t="shared" si="34"/>
        <v>-1115.6300000000001</v>
      </c>
      <c r="M109" s="6">
        <f t="shared" si="35"/>
        <v>4.3748446433010187E-2</v>
      </c>
      <c r="N109" s="5">
        <f t="shared" si="36"/>
        <v>1465.4599999999998</v>
      </c>
      <c r="O109" s="5">
        <f t="shared" si="37"/>
        <v>3500.01</v>
      </c>
      <c r="P109" s="5">
        <f t="shared" si="38"/>
        <v>-2034.5500000000004</v>
      </c>
      <c r="Q109" s="6">
        <f t="shared" si="39"/>
        <v>0.41870166085239746</v>
      </c>
    </row>
    <row r="110" spans="1:17" x14ac:dyDescent="0.25">
      <c r="A110" s="3" t="s">
        <v>111</v>
      </c>
      <c r="B110" s="7">
        <f>(((((((((((((((((((B90)+(B91))+(B92))+(B93))+(B94))+(B95))+(B96))+(B97))+(B98))+(B99))+(B100))+(B101))+(B102))+(B103))+(B104))+(B105))+(B106))+(B107))+(B108))+(B109)</f>
        <v>81607.23</v>
      </c>
      <c r="C110" s="7">
        <f>(((((((((((((((((((C90)+(C91))+(C92))+(C93))+(C94))+(C95))+(C96))+(C97))+(C98))+(C99))+(C100))+(C101))+(C102))+(C103))+(C104))+(C105))+(C106))+(C107))+(C108))+(C109)</f>
        <v>101001</v>
      </c>
      <c r="D110" s="7">
        <f t="shared" si="30"/>
        <v>-19393.770000000004</v>
      </c>
      <c r="E110" s="8">
        <f t="shared" si="31"/>
        <v>0.80798437639231291</v>
      </c>
      <c r="F110" s="7">
        <f>(((((((((((((((((((F90)+(F91))+(F92))+(F93))+(F94))+(F95))+(F96))+(F97))+(F98))+(F99))+(F100))+(F101))+(F102))+(F103))+(F104))+(F105))+(F106))+(F107))+(F108))+(F109)</f>
        <v>94973.119999999995</v>
      </c>
      <c r="G110" s="7">
        <f>(((((((((((((((((((G90)+(G91))+(G92))+(G93))+(G94))+(G95))+(G96))+(G97))+(G98))+(G99))+(G100))+(G101))+(G102))+(G103))+(G104))+(G105))+(G106))+(G107))+(G108))+(G109)</f>
        <v>101001</v>
      </c>
      <c r="H110" s="7">
        <f t="shared" si="32"/>
        <v>-6027.8800000000047</v>
      </c>
      <c r="I110" s="8">
        <f t="shared" si="33"/>
        <v>0.94031861070682465</v>
      </c>
      <c r="J110" s="7">
        <f>(((((((((((((((((((J90)+(J91))+(J92))+(J93))+(J94))+(J95))+(J96))+(J97))+(J98))+(J99))+(J100))+(J101))+(J102))+(J103))+(J104))+(J105))+(J106))+(J107))+(J108))+(J109)</f>
        <v>107452.54</v>
      </c>
      <c r="K110" s="7">
        <f>(((((((((((((((((((K90)+(K91))+(K92))+(K93))+(K94))+(K95))+(K96))+(K97))+(K98))+(K99))+(K100))+(K101))+(K102))+(K103))+(K104))+(K105))+(K106))+(K107))+(K108))+(K109)</f>
        <v>101001</v>
      </c>
      <c r="L110" s="7">
        <f t="shared" si="34"/>
        <v>6451.5399999999936</v>
      </c>
      <c r="M110" s="8">
        <f t="shared" si="35"/>
        <v>1.0638760012277106</v>
      </c>
      <c r="N110" s="7">
        <f t="shared" si="36"/>
        <v>284032.88999999996</v>
      </c>
      <c r="O110" s="7">
        <f t="shared" si="37"/>
        <v>303003</v>
      </c>
      <c r="P110" s="7">
        <f t="shared" si="38"/>
        <v>-18970.110000000044</v>
      </c>
      <c r="Q110" s="8">
        <f t="shared" si="39"/>
        <v>0.93739299610894922</v>
      </c>
    </row>
    <row r="111" spans="1:17" x14ac:dyDescent="0.25">
      <c r="A111" s="3" t="s">
        <v>112</v>
      </c>
      <c r="B111" s="4"/>
      <c r="C111" s="4"/>
      <c r="D111" s="5">
        <f t="shared" si="30"/>
        <v>0</v>
      </c>
      <c r="E111" s="6" t="str">
        <f t="shared" si="31"/>
        <v/>
      </c>
      <c r="F111" s="4"/>
      <c r="G111" s="4"/>
      <c r="H111" s="5">
        <f t="shared" si="32"/>
        <v>0</v>
      </c>
      <c r="I111" s="6" t="str">
        <f t="shared" si="33"/>
        <v/>
      </c>
      <c r="J111" s="4"/>
      <c r="K111" s="4"/>
      <c r="L111" s="5">
        <f t="shared" si="34"/>
        <v>0</v>
      </c>
      <c r="M111" s="6" t="str">
        <f t="shared" si="35"/>
        <v/>
      </c>
      <c r="N111" s="5">
        <f t="shared" si="36"/>
        <v>0</v>
      </c>
      <c r="O111" s="5">
        <f t="shared" si="37"/>
        <v>0</v>
      </c>
      <c r="P111" s="5">
        <f t="shared" si="38"/>
        <v>0</v>
      </c>
      <c r="Q111" s="6" t="str">
        <f t="shared" si="39"/>
        <v/>
      </c>
    </row>
    <row r="112" spans="1:17" x14ac:dyDescent="0.25">
      <c r="A112" s="3" t="s">
        <v>113</v>
      </c>
      <c r="B112" s="5">
        <f>9297</f>
        <v>9297</v>
      </c>
      <c r="C112" s="5">
        <f>9099.92</f>
        <v>9099.92</v>
      </c>
      <c r="D112" s="5">
        <f t="shared" si="30"/>
        <v>197.07999999999993</v>
      </c>
      <c r="E112" s="6">
        <f t="shared" si="31"/>
        <v>1.0216573332512813</v>
      </c>
      <c r="F112" s="5">
        <f>9297</f>
        <v>9297</v>
      </c>
      <c r="G112" s="5">
        <f>9099.92</f>
        <v>9099.92</v>
      </c>
      <c r="H112" s="5">
        <f t="shared" si="32"/>
        <v>197.07999999999993</v>
      </c>
      <c r="I112" s="6">
        <f t="shared" si="33"/>
        <v>1.0216573332512813</v>
      </c>
      <c r="J112" s="5">
        <f>8922.5</f>
        <v>8922.5</v>
      </c>
      <c r="K112" s="5">
        <f>9099.92</f>
        <v>9099.92</v>
      </c>
      <c r="L112" s="5">
        <f t="shared" si="34"/>
        <v>-177.42000000000007</v>
      </c>
      <c r="M112" s="6">
        <f t="shared" si="35"/>
        <v>0.98050312530220041</v>
      </c>
      <c r="N112" s="5">
        <f t="shared" si="36"/>
        <v>27516.5</v>
      </c>
      <c r="O112" s="5">
        <f t="shared" si="37"/>
        <v>27299.760000000002</v>
      </c>
      <c r="P112" s="5">
        <f t="shared" si="38"/>
        <v>216.73999999999796</v>
      </c>
      <c r="Q112" s="6">
        <f t="shared" si="39"/>
        <v>1.0079392639349209</v>
      </c>
    </row>
    <row r="113" spans="1:17" x14ac:dyDescent="0.25">
      <c r="A113" s="3" t="s">
        <v>114</v>
      </c>
      <c r="B113" s="5">
        <f>8750</f>
        <v>8750</v>
      </c>
      <c r="C113" s="5">
        <f>8750</f>
        <v>8750</v>
      </c>
      <c r="D113" s="5">
        <f t="shared" si="30"/>
        <v>0</v>
      </c>
      <c r="E113" s="6">
        <f t="shared" si="31"/>
        <v>1</v>
      </c>
      <c r="F113" s="5">
        <f>8750</f>
        <v>8750</v>
      </c>
      <c r="G113" s="5">
        <f>8750</f>
        <v>8750</v>
      </c>
      <c r="H113" s="5">
        <f t="shared" si="32"/>
        <v>0</v>
      </c>
      <c r="I113" s="6">
        <f t="shared" si="33"/>
        <v>1</v>
      </c>
      <c r="J113" s="5">
        <f>7766.66</f>
        <v>7766.66</v>
      </c>
      <c r="K113" s="5">
        <f>8750</f>
        <v>8750</v>
      </c>
      <c r="L113" s="5">
        <f t="shared" si="34"/>
        <v>-983.34000000000015</v>
      </c>
      <c r="M113" s="6">
        <f t="shared" si="35"/>
        <v>0.88761828571428569</v>
      </c>
      <c r="N113" s="5">
        <f t="shared" si="36"/>
        <v>25266.66</v>
      </c>
      <c r="O113" s="5">
        <f t="shared" si="37"/>
        <v>26250</v>
      </c>
      <c r="P113" s="5">
        <f t="shared" si="38"/>
        <v>-983.34000000000015</v>
      </c>
      <c r="Q113" s="6">
        <f t="shared" si="39"/>
        <v>0.9625394285714286</v>
      </c>
    </row>
    <row r="114" spans="1:17" x14ac:dyDescent="0.25">
      <c r="A114" s="3" t="s">
        <v>115</v>
      </c>
      <c r="B114" s="5">
        <f>796.4</f>
        <v>796.4</v>
      </c>
      <c r="C114" s="5">
        <f>680.67</f>
        <v>680.67</v>
      </c>
      <c r="D114" s="5">
        <f t="shared" si="30"/>
        <v>115.73000000000002</v>
      </c>
      <c r="E114" s="6">
        <f t="shared" si="31"/>
        <v>1.1700236531652637</v>
      </c>
      <c r="F114" s="5">
        <f>796.4</f>
        <v>796.4</v>
      </c>
      <c r="G114" s="5">
        <f>680.67</f>
        <v>680.67</v>
      </c>
      <c r="H114" s="5">
        <f t="shared" si="32"/>
        <v>115.73000000000002</v>
      </c>
      <c r="I114" s="6">
        <f t="shared" si="33"/>
        <v>1.1700236531652637</v>
      </c>
      <c r="J114" s="5">
        <f>796.4</f>
        <v>796.4</v>
      </c>
      <c r="K114" s="5">
        <f>680.67</f>
        <v>680.67</v>
      </c>
      <c r="L114" s="5">
        <f t="shared" si="34"/>
        <v>115.73000000000002</v>
      </c>
      <c r="M114" s="6">
        <f t="shared" si="35"/>
        <v>1.1700236531652637</v>
      </c>
      <c r="N114" s="5">
        <f t="shared" si="36"/>
        <v>2389.1999999999998</v>
      </c>
      <c r="O114" s="5">
        <f t="shared" si="37"/>
        <v>2042.0099999999998</v>
      </c>
      <c r="P114" s="5">
        <f t="shared" si="38"/>
        <v>347.19000000000005</v>
      </c>
      <c r="Q114" s="6">
        <f t="shared" si="39"/>
        <v>1.1700236531652637</v>
      </c>
    </row>
    <row r="115" spans="1:17" x14ac:dyDescent="0.25">
      <c r="A115" s="3" t="s">
        <v>116</v>
      </c>
      <c r="B115" s="4"/>
      <c r="C115" s="5">
        <f>246.83</f>
        <v>246.83</v>
      </c>
      <c r="D115" s="5">
        <f t="shared" si="30"/>
        <v>-246.83</v>
      </c>
      <c r="E115" s="6">
        <f t="shared" si="31"/>
        <v>0</v>
      </c>
      <c r="F115" s="4"/>
      <c r="G115" s="5">
        <f>246.83</f>
        <v>246.83</v>
      </c>
      <c r="H115" s="5">
        <f t="shared" si="32"/>
        <v>-246.83</v>
      </c>
      <c r="I115" s="6">
        <f t="shared" si="33"/>
        <v>0</v>
      </c>
      <c r="J115" s="4"/>
      <c r="K115" s="5">
        <f>246.83</f>
        <v>246.83</v>
      </c>
      <c r="L115" s="5">
        <f t="shared" si="34"/>
        <v>-246.83</v>
      </c>
      <c r="M115" s="6">
        <f t="shared" si="35"/>
        <v>0</v>
      </c>
      <c r="N115" s="5">
        <f t="shared" si="36"/>
        <v>0</v>
      </c>
      <c r="O115" s="5">
        <f t="shared" si="37"/>
        <v>740.49</v>
      </c>
      <c r="P115" s="5">
        <f t="shared" si="38"/>
        <v>-740.49</v>
      </c>
      <c r="Q115" s="6">
        <f t="shared" si="39"/>
        <v>0</v>
      </c>
    </row>
    <row r="116" spans="1:17" x14ac:dyDescent="0.25">
      <c r="A116" s="3" t="s">
        <v>117</v>
      </c>
      <c r="B116" s="5">
        <f>3778.89</f>
        <v>3778.89</v>
      </c>
      <c r="C116" s="5">
        <f>3773.47</f>
        <v>3773.47</v>
      </c>
      <c r="D116" s="5">
        <f t="shared" si="30"/>
        <v>5.4200000000000728</v>
      </c>
      <c r="E116" s="6">
        <f t="shared" si="31"/>
        <v>1.0014363437366669</v>
      </c>
      <c r="F116" s="5">
        <f>3815.14</f>
        <v>3815.14</v>
      </c>
      <c r="G116" s="5">
        <f>3773.47</f>
        <v>3773.47</v>
      </c>
      <c r="H116" s="5">
        <f t="shared" si="32"/>
        <v>41.670000000000073</v>
      </c>
      <c r="I116" s="6">
        <f t="shared" si="33"/>
        <v>1.0110428862558865</v>
      </c>
      <c r="J116" s="5">
        <f>3488.04</f>
        <v>3488.04</v>
      </c>
      <c r="K116" s="5">
        <f>3773.47</f>
        <v>3773.47</v>
      </c>
      <c r="L116" s="5">
        <f t="shared" si="34"/>
        <v>-285.42999999999984</v>
      </c>
      <c r="M116" s="6">
        <f t="shared" si="35"/>
        <v>0.92435874672383778</v>
      </c>
      <c r="N116" s="5">
        <f t="shared" si="36"/>
        <v>11082.07</v>
      </c>
      <c r="O116" s="5">
        <f t="shared" si="37"/>
        <v>11320.41</v>
      </c>
      <c r="P116" s="5">
        <f t="shared" si="38"/>
        <v>-238.34000000000015</v>
      </c>
      <c r="Q116" s="6">
        <f t="shared" si="39"/>
        <v>0.97894599223879697</v>
      </c>
    </row>
    <row r="117" spans="1:17" x14ac:dyDescent="0.25">
      <c r="A117" s="3" t="s">
        <v>118</v>
      </c>
      <c r="B117" s="5">
        <f>250.86</f>
        <v>250.86</v>
      </c>
      <c r="C117" s="5">
        <f>44.58</f>
        <v>44.58</v>
      </c>
      <c r="D117" s="5">
        <f t="shared" si="30"/>
        <v>206.28000000000003</v>
      </c>
      <c r="E117" s="6">
        <f t="shared" si="31"/>
        <v>5.6271870794078067</v>
      </c>
      <c r="F117" s="5">
        <f>250.86</f>
        <v>250.86</v>
      </c>
      <c r="G117" s="5">
        <f>44.58</f>
        <v>44.58</v>
      </c>
      <c r="H117" s="5">
        <f t="shared" si="32"/>
        <v>206.28000000000003</v>
      </c>
      <c r="I117" s="6">
        <f t="shared" si="33"/>
        <v>5.6271870794078067</v>
      </c>
      <c r="J117" s="5">
        <f>231.18</f>
        <v>231.18</v>
      </c>
      <c r="K117" s="5">
        <f>44.58</f>
        <v>44.58</v>
      </c>
      <c r="L117" s="5">
        <f t="shared" si="34"/>
        <v>186.60000000000002</v>
      </c>
      <c r="M117" s="6">
        <f t="shared" si="35"/>
        <v>5.1857335127860029</v>
      </c>
      <c r="N117" s="5">
        <f t="shared" si="36"/>
        <v>732.90000000000009</v>
      </c>
      <c r="O117" s="5">
        <f t="shared" si="37"/>
        <v>133.74</v>
      </c>
      <c r="P117" s="5">
        <f t="shared" si="38"/>
        <v>599.16000000000008</v>
      </c>
      <c r="Q117" s="6">
        <f t="shared" si="39"/>
        <v>5.4800358905338724</v>
      </c>
    </row>
    <row r="118" spans="1:17" x14ac:dyDescent="0.25">
      <c r="A118" s="3" t="s">
        <v>119</v>
      </c>
      <c r="B118" s="4"/>
      <c r="C118" s="5">
        <f>127.5</f>
        <v>127.5</v>
      </c>
      <c r="D118" s="5">
        <f t="shared" si="30"/>
        <v>-127.5</v>
      </c>
      <c r="E118" s="6">
        <f t="shared" si="31"/>
        <v>0</v>
      </c>
      <c r="F118" s="4"/>
      <c r="G118" s="5">
        <f>127.5</f>
        <v>127.5</v>
      </c>
      <c r="H118" s="5">
        <f t="shared" si="32"/>
        <v>-127.5</v>
      </c>
      <c r="I118" s="6">
        <f t="shared" si="33"/>
        <v>0</v>
      </c>
      <c r="J118" s="4"/>
      <c r="K118" s="5">
        <f>127.5</f>
        <v>127.5</v>
      </c>
      <c r="L118" s="5">
        <f t="shared" si="34"/>
        <v>-127.5</v>
      </c>
      <c r="M118" s="6">
        <f t="shared" si="35"/>
        <v>0</v>
      </c>
      <c r="N118" s="5">
        <f t="shared" si="36"/>
        <v>0</v>
      </c>
      <c r="O118" s="5">
        <f t="shared" si="37"/>
        <v>382.5</v>
      </c>
      <c r="P118" s="5">
        <f t="shared" si="38"/>
        <v>-382.5</v>
      </c>
      <c r="Q118" s="6">
        <f t="shared" si="39"/>
        <v>0</v>
      </c>
    </row>
    <row r="119" spans="1:17" x14ac:dyDescent="0.25">
      <c r="A119" s="3" t="s">
        <v>120</v>
      </c>
      <c r="B119" s="5">
        <f>252.99</f>
        <v>252.99</v>
      </c>
      <c r="C119" s="4"/>
      <c r="D119" s="5">
        <f t="shared" si="30"/>
        <v>252.99</v>
      </c>
      <c r="E119" s="6" t="str">
        <f t="shared" si="31"/>
        <v/>
      </c>
      <c r="F119" s="4"/>
      <c r="G119" s="4"/>
      <c r="H119" s="5">
        <f t="shared" si="32"/>
        <v>0</v>
      </c>
      <c r="I119" s="6" t="str">
        <f t="shared" si="33"/>
        <v/>
      </c>
      <c r="J119" s="4"/>
      <c r="K119" s="4"/>
      <c r="L119" s="5">
        <f t="shared" si="34"/>
        <v>0</v>
      </c>
      <c r="M119" s="6" t="str">
        <f t="shared" si="35"/>
        <v/>
      </c>
      <c r="N119" s="5">
        <f t="shared" si="36"/>
        <v>252.99</v>
      </c>
      <c r="O119" s="5">
        <f t="shared" si="37"/>
        <v>0</v>
      </c>
      <c r="P119" s="5">
        <f t="shared" si="38"/>
        <v>252.99</v>
      </c>
      <c r="Q119" s="6" t="str">
        <f t="shared" si="39"/>
        <v/>
      </c>
    </row>
    <row r="120" spans="1:17" x14ac:dyDescent="0.25">
      <c r="A120" s="3" t="s">
        <v>121</v>
      </c>
      <c r="B120" s="5">
        <f>1656.43</f>
        <v>1656.43</v>
      </c>
      <c r="C120" s="5">
        <f>1692.42</f>
        <v>1692.42</v>
      </c>
      <c r="D120" s="5">
        <f t="shared" ref="D120:D151" si="40">(B120)-(C120)</f>
        <v>-35.990000000000009</v>
      </c>
      <c r="E120" s="6">
        <f t="shared" ref="E120:E151" si="41">IF(C120=0,"",(B120)/(C120))</f>
        <v>0.97873459306791455</v>
      </c>
      <c r="F120" s="5">
        <f>1019.02</f>
        <v>1019.02</v>
      </c>
      <c r="G120" s="5">
        <f>1692.42</f>
        <v>1692.42</v>
      </c>
      <c r="H120" s="5">
        <f t="shared" ref="H120:H151" si="42">(F120)-(G120)</f>
        <v>-673.40000000000009</v>
      </c>
      <c r="I120" s="6">
        <f t="shared" ref="I120:I151" si="43">IF(G120=0,"",(F120)/(G120))</f>
        <v>0.60210822372697081</v>
      </c>
      <c r="J120" s="5">
        <f>3404.52</f>
        <v>3404.52</v>
      </c>
      <c r="K120" s="5">
        <f>1692.42</f>
        <v>1692.42</v>
      </c>
      <c r="L120" s="5">
        <f t="shared" ref="L120:L151" si="44">(J120)-(K120)</f>
        <v>1712.1</v>
      </c>
      <c r="M120" s="6">
        <f t="shared" ref="M120:M151" si="45">IF(K120=0,"",(J120)/(K120))</f>
        <v>2.0116283192115429</v>
      </c>
      <c r="N120" s="5">
        <f t="shared" ref="N120:N151" si="46">((B120)+(F120))+(J120)</f>
        <v>6079.9699999999993</v>
      </c>
      <c r="O120" s="5">
        <f t="shared" ref="O120:O151" si="47">((C120)+(G120))+(K120)</f>
        <v>5077.26</v>
      </c>
      <c r="P120" s="5">
        <f t="shared" ref="P120:P151" si="48">(N120)-(O120)</f>
        <v>1002.7099999999991</v>
      </c>
      <c r="Q120" s="6">
        <f t="shared" ref="Q120:Q151" si="49">IF(O120=0,"",(N120)/(O120))</f>
        <v>1.1974903786688094</v>
      </c>
    </row>
    <row r="121" spans="1:17" x14ac:dyDescent="0.25">
      <c r="A121" s="3" t="s">
        <v>122</v>
      </c>
      <c r="B121" s="7">
        <f>(((((((((B111)+(B112))+(B113))+(B114))+(B115))+(B116))+(B117))+(B118))+(B119))+(B120)</f>
        <v>24782.570000000003</v>
      </c>
      <c r="C121" s="7">
        <f>(((((((((C111)+(C112))+(C113))+(C114))+(C115))+(C116))+(C117))+(C118))+(C119))+(C120)</f>
        <v>24415.39</v>
      </c>
      <c r="D121" s="7">
        <f t="shared" si="40"/>
        <v>367.18000000000393</v>
      </c>
      <c r="E121" s="8">
        <f t="shared" si="41"/>
        <v>1.0150388750701915</v>
      </c>
      <c r="F121" s="7">
        <f>(((((((((F111)+(F112))+(F113))+(F114))+(F115))+(F116))+(F117))+(F118))+(F119))+(F120)</f>
        <v>23928.420000000002</v>
      </c>
      <c r="G121" s="7">
        <f>(((((((((G111)+(G112))+(G113))+(G114))+(G115))+(G116))+(G117))+(G118))+(G119))+(G120)</f>
        <v>24415.39</v>
      </c>
      <c r="H121" s="7">
        <f t="shared" si="42"/>
        <v>-486.96999999999753</v>
      </c>
      <c r="I121" s="8">
        <f t="shared" si="43"/>
        <v>0.98005479330864687</v>
      </c>
      <c r="J121" s="7">
        <f>(((((((((J111)+(J112))+(J113))+(J114))+(J115))+(J116))+(J117))+(J118))+(J119))+(J120)</f>
        <v>24609.300000000003</v>
      </c>
      <c r="K121" s="7">
        <f>(((((((((K111)+(K112))+(K113))+(K114))+(K115))+(K116))+(K117))+(K118))+(K119))+(K120)</f>
        <v>24415.39</v>
      </c>
      <c r="L121" s="7">
        <f t="shared" si="44"/>
        <v>193.91000000000349</v>
      </c>
      <c r="M121" s="8">
        <f t="shared" si="45"/>
        <v>1.0079421217518951</v>
      </c>
      <c r="N121" s="7">
        <f t="shared" si="46"/>
        <v>73320.290000000008</v>
      </c>
      <c r="O121" s="7">
        <f t="shared" si="47"/>
        <v>73246.17</v>
      </c>
      <c r="P121" s="7">
        <f t="shared" si="48"/>
        <v>74.120000000009895</v>
      </c>
      <c r="Q121" s="8">
        <f t="shared" si="49"/>
        <v>1.0010119300435778</v>
      </c>
    </row>
    <row r="122" spans="1:17" x14ac:dyDescent="0.25">
      <c r="A122" s="3" t="s">
        <v>123</v>
      </c>
      <c r="B122" s="4"/>
      <c r="C122" s="4"/>
      <c r="D122" s="5">
        <f t="shared" si="40"/>
        <v>0</v>
      </c>
      <c r="E122" s="6" t="str">
        <f t="shared" si="41"/>
        <v/>
      </c>
      <c r="F122" s="4"/>
      <c r="G122" s="4"/>
      <c r="H122" s="5">
        <f t="shared" si="42"/>
        <v>0</v>
      </c>
      <c r="I122" s="6" t="str">
        <f t="shared" si="43"/>
        <v/>
      </c>
      <c r="J122" s="4"/>
      <c r="K122" s="4"/>
      <c r="L122" s="5">
        <f t="shared" si="44"/>
        <v>0</v>
      </c>
      <c r="M122" s="6" t="str">
        <f t="shared" si="45"/>
        <v/>
      </c>
      <c r="N122" s="5">
        <f t="shared" si="46"/>
        <v>0</v>
      </c>
      <c r="O122" s="5">
        <f t="shared" si="47"/>
        <v>0</v>
      </c>
      <c r="P122" s="5">
        <f t="shared" si="48"/>
        <v>0</v>
      </c>
      <c r="Q122" s="6" t="str">
        <f t="shared" si="49"/>
        <v/>
      </c>
    </row>
    <row r="123" spans="1:17" x14ac:dyDescent="0.25">
      <c r="A123" s="3" t="s">
        <v>124</v>
      </c>
      <c r="B123" s="5">
        <f>16512.95</f>
        <v>16512.95</v>
      </c>
      <c r="C123" s="5">
        <f>11176</f>
        <v>11176</v>
      </c>
      <c r="D123" s="5">
        <f t="shared" si="40"/>
        <v>5336.9500000000007</v>
      </c>
      <c r="E123" s="6">
        <f t="shared" si="41"/>
        <v>1.4775366857551897</v>
      </c>
      <c r="F123" s="5">
        <f>17020.07</f>
        <v>17020.07</v>
      </c>
      <c r="G123" s="5">
        <f>11176</f>
        <v>11176</v>
      </c>
      <c r="H123" s="5">
        <f t="shared" si="42"/>
        <v>5844.07</v>
      </c>
      <c r="I123" s="6">
        <f t="shared" si="43"/>
        <v>1.5229124910522549</v>
      </c>
      <c r="J123" s="5">
        <f>15613.03</f>
        <v>15613.03</v>
      </c>
      <c r="K123" s="5">
        <f>11176</f>
        <v>11176</v>
      </c>
      <c r="L123" s="5">
        <f t="shared" si="44"/>
        <v>4437.0300000000007</v>
      </c>
      <c r="M123" s="6">
        <f t="shared" si="45"/>
        <v>1.3970141374373659</v>
      </c>
      <c r="N123" s="5">
        <f t="shared" si="46"/>
        <v>49146.05</v>
      </c>
      <c r="O123" s="5">
        <f t="shared" si="47"/>
        <v>33528</v>
      </c>
      <c r="P123" s="5">
        <f t="shared" si="48"/>
        <v>15618.050000000003</v>
      </c>
      <c r="Q123" s="6">
        <f t="shared" si="49"/>
        <v>1.4658211047482701</v>
      </c>
    </row>
    <row r="124" spans="1:17" x14ac:dyDescent="0.25">
      <c r="A124" s="3" t="s">
        <v>125</v>
      </c>
      <c r="B124" s="5">
        <f>2975</f>
        <v>2975</v>
      </c>
      <c r="C124" s="5">
        <f>2916.67</f>
        <v>2916.67</v>
      </c>
      <c r="D124" s="5">
        <f t="shared" si="40"/>
        <v>58.329999999999927</v>
      </c>
      <c r="E124" s="6">
        <f t="shared" si="41"/>
        <v>1.0199988342870465</v>
      </c>
      <c r="F124" s="5">
        <f>2975</f>
        <v>2975</v>
      </c>
      <c r="G124" s="5">
        <f>2916.67</f>
        <v>2916.67</v>
      </c>
      <c r="H124" s="5">
        <f t="shared" si="42"/>
        <v>58.329999999999927</v>
      </c>
      <c r="I124" s="6">
        <f t="shared" si="43"/>
        <v>1.0199988342870465</v>
      </c>
      <c r="J124" s="4"/>
      <c r="K124" s="5">
        <f>2916.67</f>
        <v>2916.67</v>
      </c>
      <c r="L124" s="5">
        <f t="shared" si="44"/>
        <v>-2916.67</v>
      </c>
      <c r="M124" s="6">
        <f t="shared" si="45"/>
        <v>0</v>
      </c>
      <c r="N124" s="5">
        <f t="shared" si="46"/>
        <v>5950</v>
      </c>
      <c r="O124" s="5">
        <f t="shared" si="47"/>
        <v>8750.01</v>
      </c>
      <c r="P124" s="5">
        <f t="shared" si="48"/>
        <v>-2800.01</v>
      </c>
      <c r="Q124" s="6">
        <f t="shared" si="49"/>
        <v>0.67999922285803105</v>
      </c>
    </row>
    <row r="125" spans="1:17" x14ac:dyDescent="0.25">
      <c r="A125" s="3" t="s">
        <v>126</v>
      </c>
      <c r="B125" s="4"/>
      <c r="C125" s="5">
        <f>4166.67</f>
        <v>4166.67</v>
      </c>
      <c r="D125" s="5">
        <f t="shared" si="40"/>
        <v>-4166.67</v>
      </c>
      <c r="E125" s="6">
        <f t="shared" si="41"/>
        <v>0</v>
      </c>
      <c r="F125" s="4"/>
      <c r="G125" s="5">
        <f>4166.67</f>
        <v>4166.67</v>
      </c>
      <c r="H125" s="5">
        <f t="shared" si="42"/>
        <v>-4166.67</v>
      </c>
      <c r="I125" s="6">
        <f t="shared" si="43"/>
        <v>0</v>
      </c>
      <c r="J125" s="4"/>
      <c r="K125" s="5">
        <f>4166.67</f>
        <v>4166.67</v>
      </c>
      <c r="L125" s="5">
        <f t="shared" si="44"/>
        <v>-4166.67</v>
      </c>
      <c r="M125" s="6">
        <f t="shared" si="45"/>
        <v>0</v>
      </c>
      <c r="N125" s="5">
        <f t="shared" si="46"/>
        <v>0</v>
      </c>
      <c r="O125" s="5">
        <f t="shared" si="47"/>
        <v>12500.01</v>
      </c>
      <c r="P125" s="5">
        <f t="shared" si="48"/>
        <v>-12500.01</v>
      </c>
      <c r="Q125" s="6">
        <f t="shared" si="49"/>
        <v>0</v>
      </c>
    </row>
    <row r="126" spans="1:17" x14ac:dyDescent="0.25">
      <c r="A126" s="3" t="s">
        <v>127</v>
      </c>
      <c r="B126" s="5">
        <f>894.04</f>
        <v>894.04</v>
      </c>
      <c r="C126" s="5">
        <f>609.58</f>
        <v>609.58000000000004</v>
      </c>
      <c r="D126" s="5">
        <f t="shared" si="40"/>
        <v>284.45999999999992</v>
      </c>
      <c r="E126" s="6">
        <f t="shared" si="41"/>
        <v>1.4666491682797991</v>
      </c>
      <c r="F126" s="5">
        <f>894.04</f>
        <v>894.04</v>
      </c>
      <c r="G126" s="5">
        <f>609.58</f>
        <v>609.58000000000004</v>
      </c>
      <c r="H126" s="5">
        <f t="shared" si="42"/>
        <v>284.45999999999992</v>
      </c>
      <c r="I126" s="6">
        <f t="shared" si="43"/>
        <v>1.4666491682797991</v>
      </c>
      <c r="J126" s="5">
        <f>894.04</f>
        <v>894.04</v>
      </c>
      <c r="K126" s="5">
        <f>609.58</f>
        <v>609.58000000000004</v>
      </c>
      <c r="L126" s="5">
        <f t="shared" si="44"/>
        <v>284.45999999999992</v>
      </c>
      <c r="M126" s="6">
        <f t="shared" si="45"/>
        <v>1.4666491682797991</v>
      </c>
      <c r="N126" s="5">
        <f t="shared" si="46"/>
        <v>2682.12</v>
      </c>
      <c r="O126" s="5">
        <f t="shared" si="47"/>
        <v>1828.7400000000002</v>
      </c>
      <c r="P126" s="5">
        <f t="shared" si="48"/>
        <v>853.37999999999965</v>
      </c>
      <c r="Q126" s="6">
        <f t="shared" si="49"/>
        <v>1.4666491682797989</v>
      </c>
    </row>
    <row r="127" spans="1:17" x14ac:dyDescent="0.25">
      <c r="A127" s="3" t="s">
        <v>128</v>
      </c>
      <c r="B127" s="5">
        <f>1409.87</f>
        <v>1409.87</v>
      </c>
      <c r="C127" s="5">
        <f>42.33</f>
        <v>42.33</v>
      </c>
      <c r="D127" s="5">
        <f t="shared" si="40"/>
        <v>1367.54</v>
      </c>
      <c r="E127" s="6">
        <f t="shared" si="41"/>
        <v>33.306638317977793</v>
      </c>
      <c r="F127" s="5">
        <f>1448.79</f>
        <v>1448.79</v>
      </c>
      <c r="G127" s="5">
        <f>42.33</f>
        <v>42.33</v>
      </c>
      <c r="H127" s="5">
        <f t="shared" si="42"/>
        <v>1406.46</v>
      </c>
      <c r="I127" s="6">
        <f t="shared" si="43"/>
        <v>34.226080793763288</v>
      </c>
      <c r="J127" s="5">
        <f>1116.4</f>
        <v>1116.4000000000001</v>
      </c>
      <c r="K127" s="5">
        <f>42.33</f>
        <v>42.33</v>
      </c>
      <c r="L127" s="5">
        <f t="shared" si="44"/>
        <v>1074.0700000000002</v>
      </c>
      <c r="M127" s="6">
        <f t="shared" si="45"/>
        <v>26.373730214977559</v>
      </c>
      <c r="N127" s="5">
        <f t="shared" si="46"/>
        <v>3975.06</v>
      </c>
      <c r="O127" s="5">
        <f t="shared" si="47"/>
        <v>126.99</v>
      </c>
      <c r="P127" s="5">
        <f t="shared" si="48"/>
        <v>3848.07</v>
      </c>
      <c r="Q127" s="6">
        <f t="shared" si="49"/>
        <v>31.302149775572879</v>
      </c>
    </row>
    <row r="128" spans="1:17" x14ac:dyDescent="0.25">
      <c r="A128" s="3" t="s">
        <v>129</v>
      </c>
      <c r="B128" s="5">
        <f>1259.54</f>
        <v>1259.54</v>
      </c>
      <c r="C128" s="5">
        <f>2362.61</f>
        <v>2362.61</v>
      </c>
      <c r="D128" s="5">
        <f t="shared" si="40"/>
        <v>-1103.0700000000002</v>
      </c>
      <c r="E128" s="6">
        <f t="shared" si="41"/>
        <v>0.53311380210868486</v>
      </c>
      <c r="F128" s="5">
        <f>1807.68</f>
        <v>1807.68</v>
      </c>
      <c r="G128" s="5">
        <f>2362.61</f>
        <v>2362.61</v>
      </c>
      <c r="H128" s="5">
        <f t="shared" si="42"/>
        <v>-554.93000000000006</v>
      </c>
      <c r="I128" s="6">
        <f t="shared" si="43"/>
        <v>0.76511993092385111</v>
      </c>
      <c r="J128" s="5">
        <f>1234.84</f>
        <v>1234.8399999999999</v>
      </c>
      <c r="K128" s="5">
        <f>2362.61</f>
        <v>2362.61</v>
      </c>
      <c r="L128" s="5">
        <f t="shared" si="44"/>
        <v>-1127.7700000000002</v>
      </c>
      <c r="M128" s="6">
        <f t="shared" si="45"/>
        <v>0.52265926242587646</v>
      </c>
      <c r="N128" s="5">
        <f t="shared" si="46"/>
        <v>4302.0600000000004</v>
      </c>
      <c r="O128" s="5">
        <f t="shared" si="47"/>
        <v>7087.83</v>
      </c>
      <c r="P128" s="5">
        <f t="shared" si="48"/>
        <v>-2785.7699999999995</v>
      </c>
      <c r="Q128" s="6">
        <f t="shared" si="49"/>
        <v>0.60696433181947085</v>
      </c>
    </row>
    <row r="129" spans="1:17" x14ac:dyDescent="0.25">
      <c r="A129" s="3" t="s">
        <v>130</v>
      </c>
      <c r="B129" s="4"/>
      <c r="C129" s="5">
        <f>8</f>
        <v>8</v>
      </c>
      <c r="D129" s="5">
        <f t="shared" si="40"/>
        <v>-8</v>
      </c>
      <c r="E129" s="6">
        <f t="shared" si="41"/>
        <v>0</v>
      </c>
      <c r="F129" s="4"/>
      <c r="G129" s="5">
        <f>8</f>
        <v>8</v>
      </c>
      <c r="H129" s="5">
        <f t="shared" si="42"/>
        <v>-8</v>
      </c>
      <c r="I129" s="6">
        <f t="shared" si="43"/>
        <v>0</v>
      </c>
      <c r="J129" s="4"/>
      <c r="K129" s="5">
        <f>8</f>
        <v>8</v>
      </c>
      <c r="L129" s="5">
        <f t="shared" si="44"/>
        <v>-8</v>
      </c>
      <c r="M129" s="6">
        <f t="shared" si="45"/>
        <v>0</v>
      </c>
      <c r="N129" s="5">
        <f t="shared" si="46"/>
        <v>0</v>
      </c>
      <c r="O129" s="5">
        <f t="shared" si="47"/>
        <v>24</v>
      </c>
      <c r="P129" s="5">
        <f t="shared" si="48"/>
        <v>-24</v>
      </c>
      <c r="Q129" s="6">
        <f t="shared" si="49"/>
        <v>0</v>
      </c>
    </row>
    <row r="130" spans="1:17" x14ac:dyDescent="0.25">
      <c r="A130" s="3" t="s">
        <v>131</v>
      </c>
      <c r="B130" s="5">
        <f>8627.86</f>
        <v>8627.86</v>
      </c>
      <c r="C130" s="5">
        <f>1907.75</f>
        <v>1907.75</v>
      </c>
      <c r="D130" s="5">
        <f t="shared" si="40"/>
        <v>6720.1100000000006</v>
      </c>
      <c r="E130" s="6">
        <f t="shared" si="41"/>
        <v>4.5225317782728345</v>
      </c>
      <c r="F130" s="5">
        <f>21773.16</f>
        <v>21773.16</v>
      </c>
      <c r="G130" s="5">
        <f>1907.75</f>
        <v>1907.75</v>
      </c>
      <c r="H130" s="5">
        <f t="shared" si="42"/>
        <v>19865.41</v>
      </c>
      <c r="I130" s="6">
        <f t="shared" si="43"/>
        <v>11.413004848643689</v>
      </c>
      <c r="J130" s="5">
        <f>4486.91</f>
        <v>4486.91</v>
      </c>
      <c r="K130" s="5">
        <f>1907.75</f>
        <v>1907.75</v>
      </c>
      <c r="L130" s="5">
        <f t="shared" si="44"/>
        <v>2579.16</v>
      </c>
      <c r="M130" s="6">
        <f t="shared" si="45"/>
        <v>2.3519381470318437</v>
      </c>
      <c r="N130" s="5">
        <f t="shared" si="46"/>
        <v>34887.93</v>
      </c>
      <c r="O130" s="5">
        <f t="shared" si="47"/>
        <v>5723.25</v>
      </c>
      <c r="P130" s="5">
        <f t="shared" si="48"/>
        <v>29164.68</v>
      </c>
      <c r="Q130" s="6">
        <f t="shared" si="49"/>
        <v>6.095824924649456</v>
      </c>
    </row>
    <row r="131" spans="1:17" x14ac:dyDescent="0.25">
      <c r="A131" s="3" t="s">
        <v>132</v>
      </c>
      <c r="B131" s="5">
        <f>1957.4</f>
        <v>1957.4</v>
      </c>
      <c r="C131" s="5">
        <f>2188.58</f>
        <v>2188.58</v>
      </c>
      <c r="D131" s="5">
        <f t="shared" si="40"/>
        <v>-231.17999999999984</v>
      </c>
      <c r="E131" s="6">
        <f t="shared" si="41"/>
        <v>0.89436986539217211</v>
      </c>
      <c r="F131" s="5">
        <f>3371.94</f>
        <v>3371.94</v>
      </c>
      <c r="G131" s="5">
        <f>2188.58</f>
        <v>2188.58</v>
      </c>
      <c r="H131" s="5">
        <f t="shared" si="42"/>
        <v>1183.3600000000001</v>
      </c>
      <c r="I131" s="6">
        <f t="shared" si="43"/>
        <v>1.5406976212886896</v>
      </c>
      <c r="J131" s="5">
        <f>2622.73</f>
        <v>2622.73</v>
      </c>
      <c r="K131" s="5">
        <f>2188.58</f>
        <v>2188.58</v>
      </c>
      <c r="L131" s="5">
        <f t="shared" si="44"/>
        <v>434.15000000000009</v>
      </c>
      <c r="M131" s="6">
        <f t="shared" si="45"/>
        <v>1.1983706330131867</v>
      </c>
      <c r="N131" s="5">
        <f t="shared" si="46"/>
        <v>7952.07</v>
      </c>
      <c r="O131" s="5">
        <f t="shared" si="47"/>
        <v>6565.74</v>
      </c>
      <c r="P131" s="5">
        <f t="shared" si="48"/>
        <v>1386.33</v>
      </c>
      <c r="Q131" s="6">
        <f t="shared" si="49"/>
        <v>1.2111460398980161</v>
      </c>
    </row>
    <row r="132" spans="1:17" x14ac:dyDescent="0.25">
      <c r="A132" s="3" t="s">
        <v>133</v>
      </c>
      <c r="B132" s="5">
        <f>38897.54</f>
        <v>38897.54</v>
      </c>
      <c r="C132" s="5">
        <f>4420</f>
        <v>4420</v>
      </c>
      <c r="D132" s="5">
        <f t="shared" si="40"/>
        <v>34477.54</v>
      </c>
      <c r="E132" s="6">
        <f t="shared" si="41"/>
        <v>8.8003484162895926</v>
      </c>
      <c r="F132" s="5">
        <f>23626.23</f>
        <v>23626.23</v>
      </c>
      <c r="G132" s="5">
        <f>4420</f>
        <v>4420</v>
      </c>
      <c r="H132" s="5">
        <f t="shared" si="42"/>
        <v>19206.23</v>
      </c>
      <c r="I132" s="6">
        <f t="shared" si="43"/>
        <v>5.3453009049773756</v>
      </c>
      <c r="J132" s="5">
        <f>18525.96</f>
        <v>18525.96</v>
      </c>
      <c r="K132" s="5">
        <f>4420</f>
        <v>4420</v>
      </c>
      <c r="L132" s="5">
        <f t="shared" si="44"/>
        <v>14105.96</v>
      </c>
      <c r="M132" s="6">
        <f t="shared" si="45"/>
        <v>4.1913936651583708</v>
      </c>
      <c r="N132" s="5">
        <f t="shared" si="46"/>
        <v>81049.73000000001</v>
      </c>
      <c r="O132" s="5">
        <f t="shared" si="47"/>
        <v>13260</v>
      </c>
      <c r="P132" s="5">
        <f t="shared" si="48"/>
        <v>67789.73000000001</v>
      </c>
      <c r="Q132" s="6">
        <f t="shared" si="49"/>
        <v>6.1123476621417803</v>
      </c>
    </row>
    <row r="133" spans="1:17" x14ac:dyDescent="0.25">
      <c r="A133" s="3" t="s">
        <v>134</v>
      </c>
      <c r="B133" s="5">
        <f>1625</f>
        <v>1625</v>
      </c>
      <c r="C133" s="5">
        <f>526.67</f>
        <v>526.66999999999996</v>
      </c>
      <c r="D133" s="5">
        <f t="shared" si="40"/>
        <v>1098.33</v>
      </c>
      <c r="E133" s="6">
        <f t="shared" si="41"/>
        <v>3.0854235099777854</v>
      </c>
      <c r="F133" s="5">
        <f>14554.5</f>
        <v>14554.5</v>
      </c>
      <c r="G133" s="5">
        <f>526.67</f>
        <v>526.66999999999996</v>
      </c>
      <c r="H133" s="5">
        <f t="shared" si="42"/>
        <v>14027.83</v>
      </c>
      <c r="I133" s="6">
        <f t="shared" si="43"/>
        <v>27.63495167752103</v>
      </c>
      <c r="J133" s="5">
        <f>1625</f>
        <v>1625</v>
      </c>
      <c r="K133" s="5">
        <f>526.67</f>
        <v>526.66999999999996</v>
      </c>
      <c r="L133" s="5">
        <f t="shared" si="44"/>
        <v>1098.33</v>
      </c>
      <c r="M133" s="6">
        <f t="shared" si="45"/>
        <v>3.0854235099777854</v>
      </c>
      <c r="N133" s="5">
        <f t="shared" si="46"/>
        <v>17804.5</v>
      </c>
      <c r="O133" s="5">
        <f t="shared" si="47"/>
        <v>1580.0099999999998</v>
      </c>
      <c r="P133" s="5">
        <f t="shared" si="48"/>
        <v>16224.49</v>
      </c>
      <c r="Q133" s="6">
        <f t="shared" si="49"/>
        <v>11.268599565825534</v>
      </c>
    </row>
    <row r="134" spans="1:17" x14ac:dyDescent="0.25">
      <c r="A134" s="3" t="s">
        <v>135</v>
      </c>
      <c r="B134" s="5">
        <f>8821.45</f>
        <v>8821.4500000000007</v>
      </c>
      <c r="C134" s="5">
        <f>10560</f>
        <v>10560</v>
      </c>
      <c r="D134" s="5">
        <f t="shared" si="40"/>
        <v>-1738.5499999999993</v>
      </c>
      <c r="E134" s="6">
        <f t="shared" si="41"/>
        <v>0.83536458333333341</v>
      </c>
      <c r="F134" s="5">
        <f>8821.45</f>
        <v>8821.4500000000007</v>
      </c>
      <c r="G134" s="5">
        <f>10560</f>
        <v>10560</v>
      </c>
      <c r="H134" s="5">
        <f t="shared" si="42"/>
        <v>-1738.5499999999993</v>
      </c>
      <c r="I134" s="6">
        <f t="shared" si="43"/>
        <v>0.83536458333333341</v>
      </c>
      <c r="J134" s="5">
        <f>8821.45</f>
        <v>8821.4500000000007</v>
      </c>
      <c r="K134" s="5">
        <f>10560</f>
        <v>10560</v>
      </c>
      <c r="L134" s="5">
        <f t="shared" si="44"/>
        <v>-1738.5499999999993</v>
      </c>
      <c r="M134" s="6">
        <f t="shared" si="45"/>
        <v>0.83536458333333341</v>
      </c>
      <c r="N134" s="5">
        <f t="shared" si="46"/>
        <v>26464.350000000002</v>
      </c>
      <c r="O134" s="5">
        <f t="shared" si="47"/>
        <v>31680</v>
      </c>
      <c r="P134" s="5">
        <f t="shared" si="48"/>
        <v>-5215.6499999999978</v>
      </c>
      <c r="Q134" s="6">
        <f t="shared" si="49"/>
        <v>0.83536458333333341</v>
      </c>
    </row>
    <row r="135" spans="1:17" x14ac:dyDescent="0.25">
      <c r="A135" s="3" t="s">
        <v>136</v>
      </c>
      <c r="B135" s="5">
        <f>1495</f>
        <v>1495</v>
      </c>
      <c r="C135" s="5">
        <f>1020</f>
        <v>1020</v>
      </c>
      <c r="D135" s="5">
        <f t="shared" si="40"/>
        <v>475</v>
      </c>
      <c r="E135" s="6">
        <f t="shared" si="41"/>
        <v>1.4656862745098038</v>
      </c>
      <c r="F135" s="5">
        <f>345</f>
        <v>345</v>
      </c>
      <c r="G135" s="5">
        <f>1020</f>
        <v>1020</v>
      </c>
      <c r="H135" s="5">
        <f t="shared" si="42"/>
        <v>-675</v>
      </c>
      <c r="I135" s="6">
        <f t="shared" si="43"/>
        <v>0.33823529411764708</v>
      </c>
      <c r="J135" s="5">
        <f>200</f>
        <v>200</v>
      </c>
      <c r="K135" s="5">
        <f>1020</f>
        <v>1020</v>
      </c>
      <c r="L135" s="5">
        <f t="shared" si="44"/>
        <v>-820</v>
      </c>
      <c r="M135" s="6">
        <f t="shared" si="45"/>
        <v>0.19607843137254902</v>
      </c>
      <c r="N135" s="5">
        <f t="shared" si="46"/>
        <v>2040</v>
      </c>
      <c r="O135" s="5">
        <f t="shared" si="47"/>
        <v>3060</v>
      </c>
      <c r="P135" s="5">
        <f t="shared" si="48"/>
        <v>-1020</v>
      </c>
      <c r="Q135" s="6">
        <f t="shared" si="49"/>
        <v>0.66666666666666663</v>
      </c>
    </row>
    <row r="136" spans="1:17" x14ac:dyDescent="0.25">
      <c r="A136" s="3" t="s">
        <v>137</v>
      </c>
      <c r="B136" s="5">
        <f>6107.84</f>
        <v>6107.84</v>
      </c>
      <c r="C136" s="5">
        <f>1743.08</f>
        <v>1743.08</v>
      </c>
      <c r="D136" s="5">
        <f t="shared" si="40"/>
        <v>4364.76</v>
      </c>
      <c r="E136" s="6">
        <f t="shared" si="41"/>
        <v>3.5040503017646927</v>
      </c>
      <c r="F136" s="5">
        <f>8366.82</f>
        <v>8366.82</v>
      </c>
      <c r="G136" s="5">
        <f>1743.08</f>
        <v>1743.08</v>
      </c>
      <c r="H136" s="5">
        <f t="shared" si="42"/>
        <v>6623.74</v>
      </c>
      <c r="I136" s="6">
        <f t="shared" si="43"/>
        <v>4.8000206530968175</v>
      </c>
      <c r="J136" s="5">
        <f>4915.54</f>
        <v>4915.54</v>
      </c>
      <c r="K136" s="5">
        <f>1743.08</f>
        <v>1743.08</v>
      </c>
      <c r="L136" s="5">
        <f t="shared" si="44"/>
        <v>3172.46</v>
      </c>
      <c r="M136" s="6">
        <f t="shared" si="45"/>
        <v>2.8200312091240791</v>
      </c>
      <c r="N136" s="5">
        <f t="shared" si="46"/>
        <v>19390.2</v>
      </c>
      <c r="O136" s="5">
        <f t="shared" si="47"/>
        <v>5229.24</v>
      </c>
      <c r="P136" s="5">
        <f t="shared" si="48"/>
        <v>14160.960000000001</v>
      </c>
      <c r="Q136" s="6">
        <f t="shared" si="49"/>
        <v>3.7080340546618631</v>
      </c>
    </row>
    <row r="137" spans="1:17" x14ac:dyDescent="0.25">
      <c r="A137" s="3" t="s">
        <v>138</v>
      </c>
      <c r="B137" s="5">
        <f>19437.5</f>
        <v>19437.5</v>
      </c>
      <c r="C137" s="5">
        <f>2733.92</f>
        <v>2733.92</v>
      </c>
      <c r="D137" s="5">
        <f t="shared" si="40"/>
        <v>16703.580000000002</v>
      </c>
      <c r="E137" s="6">
        <f t="shared" si="41"/>
        <v>7.1097544917188502</v>
      </c>
      <c r="F137" s="5">
        <f>12635.93</f>
        <v>12635.93</v>
      </c>
      <c r="G137" s="5">
        <f>2733.92</f>
        <v>2733.92</v>
      </c>
      <c r="H137" s="5">
        <f t="shared" si="42"/>
        <v>9902.01</v>
      </c>
      <c r="I137" s="6">
        <f t="shared" si="43"/>
        <v>4.6219091999765904</v>
      </c>
      <c r="J137" s="5">
        <f>5538.78</f>
        <v>5538.78</v>
      </c>
      <c r="K137" s="5">
        <f>2733.92</f>
        <v>2733.92</v>
      </c>
      <c r="L137" s="5">
        <f t="shared" si="44"/>
        <v>2804.8599999999997</v>
      </c>
      <c r="M137" s="6">
        <f t="shared" si="45"/>
        <v>2.0259480891906128</v>
      </c>
      <c r="N137" s="5">
        <f t="shared" si="46"/>
        <v>37612.21</v>
      </c>
      <c r="O137" s="5">
        <f t="shared" si="47"/>
        <v>8201.76</v>
      </c>
      <c r="P137" s="5">
        <f t="shared" si="48"/>
        <v>29410.449999999997</v>
      </c>
      <c r="Q137" s="6">
        <f t="shared" si="49"/>
        <v>4.5858705936286848</v>
      </c>
    </row>
    <row r="138" spans="1:17" x14ac:dyDescent="0.25">
      <c r="A138" s="3" t="s">
        <v>139</v>
      </c>
      <c r="B138" s="5">
        <f>3579.73</f>
        <v>3579.73</v>
      </c>
      <c r="C138" s="4"/>
      <c r="D138" s="5">
        <f t="shared" si="40"/>
        <v>3579.73</v>
      </c>
      <c r="E138" s="6" t="str">
        <f t="shared" si="41"/>
        <v/>
      </c>
      <c r="F138" s="5">
        <f>592.93</f>
        <v>592.92999999999995</v>
      </c>
      <c r="G138" s="4"/>
      <c r="H138" s="5">
        <f t="shared" si="42"/>
        <v>592.92999999999995</v>
      </c>
      <c r="I138" s="6" t="str">
        <f t="shared" si="43"/>
        <v/>
      </c>
      <c r="J138" s="5">
        <f>71.99</f>
        <v>71.989999999999995</v>
      </c>
      <c r="K138" s="4"/>
      <c r="L138" s="5">
        <f t="shared" si="44"/>
        <v>71.989999999999995</v>
      </c>
      <c r="M138" s="6" t="str">
        <f t="shared" si="45"/>
        <v/>
      </c>
      <c r="N138" s="5">
        <f t="shared" si="46"/>
        <v>4244.6499999999996</v>
      </c>
      <c r="O138" s="5">
        <f t="shared" si="47"/>
        <v>0</v>
      </c>
      <c r="P138" s="5">
        <f t="shared" si="48"/>
        <v>4244.6499999999996</v>
      </c>
      <c r="Q138" s="6" t="str">
        <f t="shared" si="49"/>
        <v/>
      </c>
    </row>
    <row r="139" spans="1:17" x14ac:dyDescent="0.25">
      <c r="A139" s="3" t="s">
        <v>140</v>
      </c>
      <c r="B139" s="5">
        <f>8923.97</f>
        <v>8923.9699999999993</v>
      </c>
      <c r="C139" s="5">
        <f>4715.08</f>
        <v>4715.08</v>
      </c>
      <c r="D139" s="5">
        <f t="shared" si="40"/>
        <v>4208.8899999999994</v>
      </c>
      <c r="E139" s="6">
        <f t="shared" si="41"/>
        <v>1.8926444514197001</v>
      </c>
      <c r="F139" s="5">
        <f>10745.2</f>
        <v>10745.2</v>
      </c>
      <c r="G139" s="5">
        <f>4715.08</f>
        <v>4715.08</v>
      </c>
      <c r="H139" s="5">
        <f t="shared" si="42"/>
        <v>6030.1200000000008</v>
      </c>
      <c r="I139" s="6">
        <f t="shared" si="43"/>
        <v>2.2789008882139861</v>
      </c>
      <c r="J139" s="5">
        <f>12313.64</f>
        <v>12313.64</v>
      </c>
      <c r="K139" s="5">
        <f>4715.08</f>
        <v>4715.08</v>
      </c>
      <c r="L139" s="5">
        <f t="shared" si="44"/>
        <v>7598.5599999999995</v>
      </c>
      <c r="M139" s="6">
        <f t="shared" si="45"/>
        <v>2.6115442367891952</v>
      </c>
      <c r="N139" s="5">
        <f t="shared" si="46"/>
        <v>31982.809999999998</v>
      </c>
      <c r="O139" s="5">
        <f t="shared" si="47"/>
        <v>14145.24</v>
      </c>
      <c r="P139" s="5">
        <f t="shared" si="48"/>
        <v>17837.57</v>
      </c>
      <c r="Q139" s="6">
        <f t="shared" si="49"/>
        <v>2.261029858807627</v>
      </c>
    </row>
    <row r="140" spans="1:17" x14ac:dyDescent="0.25">
      <c r="A140" s="3" t="s">
        <v>141</v>
      </c>
      <c r="B140" s="4"/>
      <c r="C140" s="4"/>
      <c r="D140" s="5">
        <f t="shared" si="40"/>
        <v>0</v>
      </c>
      <c r="E140" s="6" t="str">
        <f t="shared" si="41"/>
        <v/>
      </c>
      <c r="F140" s="5">
        <f>1402.6</f>
        <v>1402.6</v>
      </c>
      <c r="G140" s="4"/>
      <c r="H140" s="5">
        <f t="shared" si="42"/>
        <v>1402.6</v>
      </c>
      <c r="I140" s="6" t="str">
        <f t="shared" si="43"/>
        <v/>
      </c>
      <c r="J140" s="4"/>
      <c r="K140" s="4"/>
      <c r="L140" s="5">
        <f t="shared" si="44"/>
        <v>0</v>
      </c>
      <c r="M140" s="6" t="str">
        <f t="shared" si="45"/>
        <v/>
      </c>
      <c r="N140" s="5">
        <f t="shared" si="46"/>
        <v>1402.6</v>
      </c>
      <c r="O140" s="5">
        <f t="shared" si="47"/>
        <v>0</v>
      </c>
      <c r="P140" s="5">
        <f t="shared" si="48"/>
        <v>1402.6</v>
      </c>
      <c r="Q140" s="6" t="str">
        <f t="shared" si="49"/>
        <v/>
      </c>
    </row>
    <row r="141" spans="1:17" x14ac:dyDescent="0.25">
      <c r="A141" s="3" t="s">
        <v>142</v>
      </c>
      <c r="B141" s="4"/>
      <c r="C141" s="5">
        <f>-5109.69</f>
        <v>-5109.6899999999996</v>
      </c>
      <c r="D141" s="5">
        <f t="shared" si="40"/>
        <v>5109.6899999999996</v>
      </c>
      <c r="E141" s="6">
        <f t="shared" si="41"/>
        <v>0</v>
      </c>
      <c r="F141" s="4"/>
      <c r="G141" s="5">
        <f>-5109.69</f>
        <v>-5109.6899999999996</v>
      </c>
      <c r="H141" s="5">
        <f t="shared" si="42"/>
        <v>5109.6899999999996</v>
      </c>
      <c r="I141" s="6">
        <f t="shared" si="43"/>
        <v>0</v>
      </c>
      <c r="J141" s="4"/>
      <c r="K141" s="5">
        <f>-5109.69</f>
        <v>-5109.6899999999996</v>
      </c>
      <c r="L141" s="5">
        <f t="shared" si="44"/>
        <v>5109.6899999999996</v>
      </c>
      <c r="M141" s="6">
        <f t="shared" si="45"/>
        <v>0</v>
      </c>
      <c r="N141" s="5">
        <f t="shared" si="46"/>
        <v>0</v>
      </c>
      <c r="O141" s="5">
        <f t="shared" si="47"/>
        <v>-15329.07</v>
      </c>
      <c r="P141" s="5">
        <f t="shared" si="48"/>
        <v>15329.07</v>
      </c>
      <c r="Q141" s="6">
        <f t="shared" si="49"/>
        <v>0</v>
      </c>
    </row>
    <row r="142" spans="1:17" x14ac:dyDescent="0.25">
      <c r="A142" s="3" t="s">
        <v>143</v>
      </c>
      <c r="B142" s="7">
        <f>(((((((((((((((((((B122)+(B123))+(B124))+(B125))+(B126))+(B127))+(B128))+(B129))+(B130))+(B131))+(B132))+(B133))+(B134))+(B135))+(B136))+(B137))+(B138))+(B139))+(B140))+(B141)</f>
        <v>122524.69</v>
      </c>
      <c r="C142" s="7">
        <f>(((((((((((((((((((C122)+(C123))+(C124))+(C125))+(C126))+(C127))+(C128))+(C129))+(C130))+(C131))+(C132))+(C133))+(C134))+(C135))+(C136))+(C137))+(C138))+(C139))+(C140))+(C141)</f>
        <v>45987.25</v>
      </c>
      <c r="D142" s="7">
        <f t="shared" si="40"/>
        <v>76537.440000000002</v>
      </c>
      <c r="E142" s="8">
        <f t="shared" si="41"/>
        <v>2.6643186970301551</v>
      </c>
      <c r="F142" s="7">
        <f>(((((((((((((((((((F122)+(F123))+(F124))+(F125))+(F126))+(F127))+(F128))+(F129))+(F130))+(F131))+(F132))+(F133))+(F134))+(F135))+(F136))+(F137))+(F138))+(F139))+(F140))+(F141)</f>
        <v>130381.33999999998</v>
      </c>
      <c r="G142" s="7">
        <f>(((((((((((((((((((G122)+(G123))+(G124))+(G125))+(G126))+(G127))+(G128))+(G129))+(G130))+(G131))+(G132))+(G133))+(G134))+(G135))+(G136))+(G137))+(G138))+(G139))+(G140))+(G141)</f>
        <v>45987.25</v>
      </c>
      <c r="H142" s="7">
        <f t="shared" si="42"/>
        <v>84394.089999999982</v>
      </c>
      <c r="I142" s="8">
        <f t="shared" si="43"/>
        <v>2.8351627896862714</v>
      </c>
      <c r="J142" s="7">
        <f>(((((((((((((((((((J122)+(J123))+(J124))+(J125))+(J126))+(J127))+(J128))+(J129))+(J130))+(J131))+(J132))+(J133))+(J134))+(J135))+(J136))+(J137))+(J138))+(J139))+(J140))+(J141)</f>
        <v>77980.310000000012</v>
      </c>
      <c r="K142" s="7">
        <f>(((((((((((((((((((K122)+(K123))+(K124))+(K125))+(K126))+(K127))+(K128))+(K129))+(K130))+(K131))+(K132))+(K133))+(K134))+(K135))+(K136))+(K137))+(K138))+(K139))+(K140))+(K141)</f>
        <v>45987.25</v>
      </c>
      <c r="L142" s="7">
        <f t="shared" si="44"/>
        <v>31993.060000000012</v>
      </c>
      <c r="M142" s="8">
        <f t="shared" si="45"/>
        <v>1.6956941326128441</v>
      </c>
      <c r="N142" s="7">
        <f t="shared" si="46"/>
        <v>330886.33999999997</v>
      </c>
      <c r="O142" s="7">
        <f t="shared" si="47"/>
        <v>137961.75</v>
      </c>
      <c r="P142" s="7">
        <f t="shared" si="48"/>
        <v>192924.58999999997</v>
      </c>
      <c r="Q142" s="8">
        <f t="shared" si="49"/>
        <v>2.3983918731097567</v>
      </c>
    </row>
    <row r="143" spans="1:17" x14ac:dyDescent="0.25">
      <c r="A143" s="3" t="s">
        <v>144</v>
      </c>
      <c r="B143" s="4"/>
      <c r="C143" s="4"/>
      <c r="D143" s="5">
        <f t="shared" si="40"/>
        <v>0</v>
      </c>
      <c r="E143" s="6" t="str">
        <f t="shared" si="41"/>
        <v/>
      </c>
      <c r="F143" s="4"/>
      <c r="G143" s="4"/>
      <c r="H143" s="5">
        <f t="shared" si="42"/>
        <v>0</v>
      </c>
      <c r="I143" s="6" t="str">
        <f t="shared" si="43"/>
        <v/>
      </c>
      <c r="J143" s="4"/>
      <c r="K143" s="4"/>
      <c r="L143" s="5">
        <f t="shared" si="44"/>
        <v>0</v>
      </c>
      <c r="M143" s="6" t="str">
        <f t="shared" si="45"/>
        <v/>
      </c>
      <c r="N143" s="5">
        <f t="shared" si="46"/>
        <v>0</v>
      </c>
      <c r="O143" s="5">
        <f t="shared" si="47"/>
        <v>0</v>
      </c>
      <c r="P143" s="5">
        <f t="shared" si="48"/>
        <v>0</v>
      </c>
      <c r="Q143" s="6" t="str">
        <f t="shared" si="49"/>
        <v/>
      </c>
    </row>
    <row r="144" spans="1:17" x14ac:dyDescent="0.25">
      <c r="A144" s="3" t="s">
        <v>145</v>
      </c>
      <c r="B144" s="4"/>
      <c r="C144" s="5">
        <f>937.5</f>
        <v>937.5</v>
      </c>
      <c r="D144" s="5">
        <f t="shared" si="40"/>
        <v>-937.5</v>
      </c>
      <c r="E144" s="6">
        <f t="shared" si="41"/>
        <v>0</v>
      </c>
      <c r="F144" s="5">
        <f>95</f>
        <v>95</v>
      </c>
      <c r="G144" s="5">
        <f>937.5</f>
        <v>937.5</v>
      </c>
      <c r="H144" s="5">
        <f t="shared" si="42"/>
        <v>-842.5</v>
      </c>
      <c r="I144" s="6">
        <f t="shared" si="43"/>
        <v>0.10133333333333333</v>
      </c>
      <c r="J144" s="5">
        <f>95</f>
        <v>95</v>
      </c>
      <c r="K144" s="5">
        <f>937.5</f>
        <v>937.5</v>
      </c>
      <c r="L144" s="5">
        <f t="shared" si="44"/>
        <v>-842.5</v>
      </c>
      <c r="M144" s="6">
        <f t="shared" si="45"/>
        <v>0.10133333333333333</v>
      </c>
      <c r="N144" s="5">
        <f t="shared" si="46"/>
        <v>190</v>
      </c>
      <c r="O144" s="5">
        <f t="shared" si="47"/>
        <v>2812.5</v>
      </c>
      <c r="P144" s="5">
        <f t="shared" si="48"/>
        <v>-2622.5</v>
      </c>
      <c r="Q144" s="6">
        <f t="shared" si="49"/>
        <v>6.7555555555555549E-2</v>
      </c>
    </row>
    <row r="145" spans="1:17" x14ac:dyDescent="0.25">
      <c r="A145" s="3" t="s">
        <v>146</v>
      </c>
      <c r="B145" s="4"/>
      <c r="C145" s="5">
        <f>356.58</f>
        <v>356.58</v>
      </c>
      <c r="D145" s="5">
        <f t="shared" si="40"/>
        <v>-356.58</v>
      </c>
      <c r="E145" s="6">
        <f t="shared" si="41"/>
        <v>0</v>
      </c>
      <c r="F145" s="4"/>
      <c r="G145" s="5">
        <f>356.58</f>
        <v>356.58</v>
      </c>
      <c r="H145" s="5">
        <f t="shared" si="42"/>
        <v>-356.58</v>
      </c>
      <c r="I145" s="6">
        <f t="shared" si="43"/>
        <v>0</v>
      </c>
      <c r="J145" s="4"/>
      <c r="K145" s="5">
        <f>356.58</f>
        <v>356.58</v>
      </c>
      <c r="L145" s="5">
        <f t="shared" si="44"/>
        <v>-356.58</v>
      </c>
      <c r="M145" s="6">
        <f t="shared" si="45"/>
        <v>0</v>
      </c>
      <c r="N145" s="5">
        <f t="shared" si="46"/>
        <v>0</v>
      </c>
      <c r="O145" s="5">
        <f t="shared" si="47"/>
        <v>1069.74</v>
      </c>
      <c r="P145" s="5">
        <f t="shared" si="48"/>
        <v>-1069.74</v>
      </c>
      <c r="Q145" s="6">
        <f t="shared" si="49"/>
        <v>0</v>
      </c>
    </row>
    <row r="146" spans="1:17" x14ac:dyDescent="0.25">
      <c r="A146" s="3" t="s">
        <v>147</v>
      </c>
      <c r="B146" s="4"/>
      <c r="C146" s="5">
        <f>46.33</f>
        <v>46.33</v>
      </c>
      <c r="D146" s="5">
        <f t="shared" si="40"/>
        <v>-46.33</v>
      </c>
      <c r="E146" s="6">
        <f t="shared" si="41"/>
        <v>0</v>
      </c>
      <c r="F146" s="4"/>
      <c r="G146" s="5">
        <f>46.33</f>
        <v>46.33</v>
      </c>
      <c r="H146" s="5">
        <f t="shared" si="42"/>
        <v>-46.33</v>
      </c>
      <c r="I146" s="6">
        <f t="shared" si="43"/>
        <v>0</v>
      </c>
      <c r="J146" s="4"/>
      <c r="K146" s="5">
        <f>46.33</f>
        <v>46.33</v>
      </c>
      <c r="L146" s="5">
        <f t="shared" si="44"/>
        <v>-46.33</v>
      </c>
      <c r="M146" s="6">
        <f t="shared" si="45"/>
        <v>0</v>
      </c>
      <c r="N146" s="5">
        <f t="shared" si="46"/>
        <v>0</v>
      </c>
      <c r="O146" s="5">
        <f t="shared" si="47"/>
        <v>138.99</v>
      </c>
      <c r="P146" s="5">
        <f t="shared" si="48"/>
        <v>-138.99</v>
      </c>
      <c r="Q146" s="6">
        <f t="shared" si="49"/>
        <v>0</v>
      </c>
    </row>
    <row r="147" spans="1:17" x14ac:dyDescent="0.25">
      <c r="A147" s="3" t="s">
        <v>148</v>
      </c>
      <c r="B147" s="7">
        <f>(((B143)+(B144))+(B145))+(B146)</f>
        <v>0</v>
      </c>
      <c r="C147" s="7">
        <f>(((C143)+(C144))+(C145))+(C146)</f>
        <v>1340.4099999999999</v>
      </c>
      <c r="D147" s="7">
        <f t="shared" si="40"/>
        <v>-1340.4099999999999</v>
      </c>
      <c r="E147" s="8">
        <f t="shared" si="41"/>
        <v>0</v>
      </c>
      <c r="F147" s="7">
        <f>(((F143)+(F144))+(F145))+(F146)</f>
        <v>95</v>
      </c>
      <c r="G147" s="7">
        <f>(((G143)+(G144))+(G145))+(G146)</f>
        <v>1340.4099999999999</v>
      </c>
      <c r="H147" s="7">
        <f t="shared" si="42"/>
        <v>-1245.4099999999999</v>
      </c>
      <c r="I147" s="8">
        <f t="shared" si="43"/>
        <v>7.0873837109541121E-2</v>
      </c>
      <c r="J147" s="7">
        <f>(((J143)+(J144))+(J145))+(J146)</f>
        <v>95</v>
      </c>
      <c r="K147" s="7">
        <f>(((K143)+(K144))+(K145))+(K146)</f>
        <v>1340.4099999999999</v>
      </c>
      <c r="L147" s="7">
        <f t="shared" si="44"/>
        <v>-1245.4099999999999</v>
      </c>
      <c r="M147" s="8">
        <f t="shared" si="45"/>
        <v>7.0873837109541121E-2</v>
      </c>
      <c r="N147" s="7">
        <f t="shared" si="46"/>
        <v>190</v>
      </c>
      <c r="O147" s="7">
        <f t="shared" si="47"/>
        <v>4021.2299999999996</v>
      </c>
      <c r="P147" s="7">
        <f t="shared" si="48"/>
        <v>-3831.2299999999996</v>
      </c>
      <c r="Q147" s="8">
        <f t="shared" si="49"/>
        <v>4.7249224739694076E-2</v>
      </c>
    </row>
    <row r="148" spans="1:17" x14ac:dyDescent="0.25">
      <c r="A148" s="3" t="s">
        <v>149</v>
      </c>
      <c r="B148" s="4"/>
      <c r="C148" s="4"/>
      <c r="D148" s="5">
        <f t="shared" si="40"/>
        <v>0</v>
      </c>
      <c r="E148" s="6" t="str">
        <f t="shared" si="41"/>
        <v/>
      </c>
      <c r="F148" s="4"/>
      <c r="G148" s="4"/>
      <c r="H148" s="5">
        <f t="shared" si="42"/>
        <v>0</v>
      </c>
      <c r="I148" s="6" t="str">
        <f t="shared" si="43"/>
        <v/>
      </c>
      <c r="J148" s="4"/>
      <c r="K148" s="4"/>
      <c r="L148" s="5">
        <f t="shared" si="44"/>
        <v>0</v>
      </c>
      <c r="M148" s="6" t="str">
        <f t="shared" si="45"/>
        <v/>
      </c>
      <c r="N148" s="5">
        <f t="shared" si="46"/>
        <v>0</v>
      </c>
      <c r="O148" s="5">
        <f t="shared" si="47"/>
        <v>0</v>
      </c>
      <c r="P148" s="5">
        <f t="shared" si="48"/>
        <v>0</v>
      </c>
      <c r="Q148" s="6" t="str">
        <f t="shared" si="49"/>
        <v/>
      </c>
    </row>
    <row r="149" spans="1:17" x14ac:dyDescent="0.25">
      <c r="A149" s="3" t="s">
        <v>150</v>
      </c>
      <c r="B149" s="5">
        <f>2172.54</f>
        <v>2172.54</v>
      </c>
      <c r="C149" s="4"/>
      <c r="D149" s="5">
        <f t="shared" si="40"/>
        <v>2172.54</v>
      </c>
      <c r="E149" s="6" t="str">
        <f t="shared" si="41"/>
        <v/>
      </c>
      <c r="F149" s="5">
        <f>2111.58</f>
        <v>2111.58</v>
      </c>
      <c r="G149" s="4"/>
      <c r="H149" s="5">
        <f t="shared" si="42"/>
        <v>2111.58</v>
      </c>
      <c r="I149" s="6" t="str">
        <f t="shared" si="43"/>
        <v/>
      </c>
      <c r="J149" s="4"/>
      <c r="K149" s="4"/>
      <c r="L149" s="5">
        <f t="shared" si="44"/>
        <v>0</v>
      </c>
      <c r="M149" s="6" t="str">
        <f t="shared" si="45"/>
        <v/>
      </c>
      <c r="N149" s="5">
        <f t="shared" si="46"/>
        <v>4284.12</v>
      </c>
      <c r="O149" s="5">
        <f t="shared" si="47"/>
        <v>0</v>
      </c>
      <c r="P149" s="5">
        <f t="shared" si="48"/>
        <v>4284.12</v>
      </c>
      <c r="Q149" s="6" t="str">
        <f t="shared" si="49"/>
        <v/>
      </c>
    </row>
    <row r="150" spans="1:17" x14ac:dyDescent="0.25">
      <c r="A150" s="3" t="s">
        <v>151</v>
      </c>
      <c r="B150" s="5">
        <f>169.9</f>
        <v>169.9</v>
      </c>
      <c r="C150" s="4"/>
      <c r="D150" s="5">
        <f t="shared" si="40"/>
        <v>169.9</v>
      </c>
      <c r="E150" s="6" t="str">
        <f t="shared" si="41"/>
        <v/>
      </c>
      <c r="F150" s="5">
        <f>165.12</f>
        <v>165.12</v>
      </c>
      <c r="G150" s="4"/>
      <c r="H150" s="5">
        <f t="shared" si="42"/>
        <v>165.12</v>
      </c>
      <c r="I150" s="6" t="str">
        <f t="shared" si="43"/>
        <v/>
      </c>
      <c r="J150" s="4"/>
      <c r="K150" s="4"/>
      <c r="L150" s="5">
        <f t="shared" si="44"/>
        <v>0</v>
      </c>
      <c r="M150" s="6" t="str">
        <f t="shared" si="45"/>
        <v/>
      </c>
      <c r="N150" s="5">
        <f t="shared" si="46"/>
        <v>335.02</v>
      </c>
      <c r="O150" s="5">
        <f t="shared" si="47"/>
        <v>0</v>
      </c>
      <c r="P150" s="5">
        <f t="shared" si="48"/>
        <v>335.02</v>
      </c>
      <c r="Q150" s="6" t="str">
        <f t="shared" si="49"/>
        <v/>
      </c>
    </row>
    <row r="151" spans="1:17" x14ac:dyDescent="0.25">
      <c r="A151" s="3" t="s">
        <v>152</v>
      </c>
      <c r="B151" s="4"/>
      <c r="C151" s="5">
        <f>0</f>
        <v>0</v>
      </c>
      <c r="D151" s="5">
        <f t="shared" si="40"/>
        <v>0</v>
      </c>
      <c r="E151" s="6" t="str">
        <f t="shared" si="41"/>
        <v/>
      </c>
      <c r="F151" s="5">
        <f>11176.4</f>
        <v>11176.4</v>
      </c>
      <c r="G151" s="5">
        <f>8551.5</f>
        <v>8551.5</v>
      </c>
      <c r="H151" s="5">
        <f t="shared" si="42"/>
        <v>2624.8999999999996</v>
      </c>
      <c r="I151" s="6">
        <f t="shared" si="43"/>
        <v>1.3069519967257206</v>
      </c>
      <c r="J151" s="5">
        <f>9500.8</f>
        <v>9500.7999999999993</v>
      </c>
      <c r="K151" s="5">
        <f>8551.5</f>
        <v>8551.5</v>
      </c>
      <c r="L151" s="5">
        <f t="shared" si="44"/>
        <v>949.29999999999927</v>
      </c>
      <c r="M151" s="6">
        <f t="shared" si="45"/>
        <v>1.1110097643688241</v>
      </c>
      <c r="N151" s="5">
        <f t="shared" si="46"/>
        <v>20677.199999999997</v>
      </c>
      <c r="O151" s="5">
        <f t="shared" si="47"/>
        <v>17103</v>
      </c>
      <c r="P151" s="5">
        <f t="shared" si="48"/>
        <v>3574.1999999999971</v>
      </c>
      <c r="Q151" s="6">
        <f t="shared" si="49"/>
        <v>1.2089808805472722</v>
      </c>
    </row>
    <row r="152" spans="1:17" x14ac:dyDescent="0.25">
      <c r="A152" s="3" t="s">
        <v>153</v>
      </c>
      <c r="B152" s="4"/>
      <c r="C152" s="4"/>
      <c r="D152" s="5">
        <f t="shared" ref="D152:D183" si="50">(B152)-(C152)</f>
        <v>0</v>
      </c>
      <c r="E152" s="6" t="str">
        <f t="shared" ref="E152:E171" si="51">IF(C152=0,"",(B152)/(C152))</f>
        <v/>
      </c>
      <c r="F152" s="5">
        <f>127.21</f>
        <v>127.21</v>
      </c>
      <c r="G152" s="4"/>
      <c r="H152" s="5">
        <f t="shared" ref="H152:H183" si="52">(F152)-(G152)</f>
        <v>127.21</v>
      </c>
      <c r="I152" s="6" t="str">
        <f t="shared" ref="I152:I171" si="53">IF(G152=0,"",(F152)/(G152))</f>
        <v/>
      </c>
      <c r="J152" s="5">
        <f>273.69</f>
        <v>273.69</v>
      </c>
      <c r="K152" s="4"/>
      <c r="L152" s="5">
        <f t="shared" ref="L152:L183" si="54">(J152)-(K152)</f>
        <v>273.69</v>
      </c>
      <c r="M152" s="6" t="str">
        <f t="shared" ref="M152:M171" si="55">IF(K152=0,"",(J152)/(K152))</f>
        <v/>
      </c>
      <c r="N152" s="5">
        <f t="shared" ref="N152:N171" si="56">((B152)+(F152))+(J152)</f>
        <v>400.9</v>
      </c>
      <c r="O152" s="5">
        <f t="shared" ref="O152:O171" si="57">((C152)+(G152))+(K152)</f>
        <v>0</v>
      </c>
      <c r="P152" s="5">
        <f t="shared" ref="P152:P183" si="58">(N152)-(O152)</f>
        <v>400.9</v>
      </c>
      <c r="Q152" s="6" t="str">
        <f t="shared" ref="Q152:Q171" si="59">IF(O152=0,"",(N152)/(O152))</f>
        <v/>
      </c>
    </row>
    <row r="153" spans="1:17" x14ac:dyDescent="0.25">
      <c r="A153" s="3" t="s">
        <v>154</v>
      </c>
      <c r="B153" s="7">
        <f>((((B148)+(B149))+(B150))+(B151))+(B152)</f>
        <v>2342.44</v>
      </c>
      <c r="C153" s="7">
        <f>((((C148)+(C149))+(C150))+(C151))+(C152)</f>
        <v>0</v>
      </c>
      <c r="D153" s="7">
        <f t="shared" si="50"/>
        <v>2342.44</v>
      </c>
      <c r="E153" s="8" t="str">
        <f t="shared" si="51"/>
        <v/>
      </c>
      <c r="F153" s="7">
        <f>((((F148)+(F149))+(F150))+(F151))+(F152)</f>
        <v>13580.309999999998</v>
      </c>
      <c r="G153" s="7">
        <f>((((G148)+(G149))+(G150))+(G151))+(G152)</f>
        <v>8551.5</v>
      </c>
      <c r="H153" s="7">
        <f t="shared" si="52"/>
        <v>5028.8099999999977</v>
      </c>
      <c r="I153" s="8">
        <f t="shared" si="53"/>
        <v>1.5880617435537623</v>
      </c>
      <c r="J153" s="7">
        <f>((((J148)+(J149))+(J150))+(J151))+(J152)</f>
        <v>9774.49</v>
      </c>
      <c r="K153" s="7">
        <f>((((K148)+(K149))+(K150))+(K151))+(K152)</f>
        <v>8551.5</v>
      </c>
      <c r="L153" s="7">
        <f t="shared" si="54"/>
        <v>1222.9899999999998</v>
      </c>
      <c r="M153" s="8">
        <f t="shared" si="55"/>
        <v>1.1430146757878734</v>
      </c>
      <c r="N153" s="7">
        <f t="shared" si="56"/>
        <v>25697.239999999998</v>
      </c>
      <c r="O153" s="7">
        <f t="shared" si="57"/>
        <v>17103</v>
      </c>
      <c r="P153" s="7">
        <f t="shared" si="58"/>
        <v>8594.239999999998</v>
      </c>
      <c r="Q153" s="8">
        <f t="shared" si="59"/>
        <v>1.5024989767876979</v>
      </c>
    </row>
    <row r="154" spans="1:17" x14ac:dyDescent="0.25">
      <c r="A154" s="3" t="s">
        <v>155</v>
      </c>
      <c r="B154" s="4"/>
      <c r="C154" s="4"/>
      <c r="D154" s="5">
        <f t="shared" si="50"/>
        <v>0</v>
      </c>
      <c r="E154" s="6" t="str">
        <f t="shared" si="51"/>
        <v/>
      </c>
      <c r="F154" s="4"/>
      <c r="G154" s="4"/>
      <c r="H154" s="5">
        <f t="shared" si="52"/>
        <v>0</v>
      </c>
      <c r="I154" s="6" t="str">
        <f t="shared" si="53"/>
        <v/>
      </c>
      <c r="J154" s="4"/>
      <c r="K154" s="4"/>
      <c r="L154" s="5">
        <f t="shared" si="54"/>
        <v>0</v>
      </c>
      <c r="M154" s="6" t="str">
        <f t="shared" si="55"/>
        <v/>
      </c>
      <c r="N154" s="5">
        <f t="shared" si="56"/>
        <v>0</v>
      </c>
      <c r="O154" s="5">
        <f t="shared" si="57"/>
        <v>0</v>
      </c>
      <c r="P154" s="5">
        <f t="shared" si="58"/>
        <v>0</v>
      </c>
      <c r="Q154" s="6" t="str">
        <f t="shared" si="59"/>
        <v/>
      </c>
    </row>
    <row r="155" spans="1:17" x14ac:dyDescent="0.25">
      <c r="A155" s="3" t="s">
        <v>156</v>
      </c>
      <c r="B155" s="5">
        <f>3008.74</f>
        <v>3008.74</v>
      </c>
      <c r="C155" s="5">
        <f>4516.33</f>
        <v>4516.33</v>
      </c>
      <c r="D155" s="5">
        <f t="shared" si="50"/>
        <v>-1507.5900000000001</v>
      </c>
      <c r="E155" s="6">
        <f t="shared" si="51"/>
        <v>0.66619135448472544</v>
      </c>
      <c r="F155" s="5">
        <f>3008.74</f>
        <v>3008.74</v>
      </c>
      <c r="G155" s="5">
        <f>4516.33</f>
        <v>4516.33</v>
      </c>
      <c r="H155" s="5">
        <f t="shared" si="52"/>
        <v>-1507.5900000000001</v>
      </c>
      <c r="I155" s="6">
        <f t="shared" si="53"/>
        <v>0.66619135448472544</v>
      </c>
      <c r="J155" s="5">
        <f>2561.66</f>
        <v>2561.66</v>
      </c>
      <c r="K155" s="5">
        <f>4516.33</f>
        <v>4516.33</v>
      </c>
      <c r="L155" s="5">
        <f t="shared" si="54"/>
        <v>-1954.67</v>
      </c>
      <c r="M155" s="6">
        <f t="shared" si="55"/>
        <v>0.56719947390912528</v>
      </c>
      <c r="N155" s="5">
        <f t="shared" si="56"/>
        <v>8579.14</v>
      </c>
      <c r="O155" s="5">
        <f t="shared" si="57"/>
        <v>13548.99</v>
      </c>
      <c r="P155" s="5">
        <f t="shared" si="58"/>
        <v>-4969.8500000000004</v>
      </c>
      <c r="Q155" s="6">
        <f t="shared" si="59"/>
        <v>0.63319406095952535</v>
      </c>
    </row>
    <row r="156" spans="1:17" x14ac:dyDescent="0.25">
      <c r="A156" s="3" t="s">
        <v>157</v>
      </c>
      <c r="B156" s="5">
        <f>26261.66</f>
        <v>26261.66</v>
      </c>
      <c r="C156" s="5">
        <f>20833.34</f>
        <v>20833.34</v>
      </c>
      <c r="D156" s="5">
        <f t="shared" si="50"/>
        <v>5428.32</v>
      </c>
      <c r="E156" s="6">
        <f t="shared" si="51"/>
        <v>1.2605592766210314</v>
      </c>
      <c r="F156" s="5">
        <f>32303.12</f>
        <v>32303.119999999999</v>
      </c>
      <c r="G156" s="5">
        <f>20833.34</f>
        <v>20833.34</v>
      </c>
      <c r="H156" s="5">
        <f t="shared" si="52"/>
        <v>11469.779999999999</v>
      </c>
      <c r="I156" s="6">
        <f t="shared" si="53"/>
        <v>1.5505492638242355</v>
      </c>
      <c r="J156" s="5">
        <f>34497.3</f>
        <v>34497.300000000003</v>
      </c>
      <c r="K156" s="5">
        <f>20833.34</f>
        <v>20833.34</v>
      </c>
      <c r="L156" s="5">
        <f t="shared" si="54"/>
        <v>13663.960000000003</v>
      </c>
      <c r="M156" s="6">
        <f t="shared" si="55"/>
        <v>1.6558698701216417</v>
      </c>
      <c r="N156" s="5">
        <f t="shared" si="56"/>
        <v>93062.080000000002</v>
      </c>
      <c r="O156" s="5">
        <f t="shared" si="57"/>
        <v>62500.020000000004</v>
      </c>
      <c r="P156" s="5">
        <f t="shared" si="58"/>
        <v>30562.059999999998</v>
      </c>
      <c r="Q156" s="6">
        <f t="shared" si="59"/>
        <v>1.4889928035223028</v>
      </c>
    </row>
    <row r="157" spans="1:17" x14ac:dyDescent="0.25">
      <c r="A157" s="3" t="s">
        <v>158</v>
      </c>
      <c r="B157" s="5">
        <f>303.56</f>
        <v>303.56</v>
      </c>
      <c r="C157" s="4"/>
      <c r="D157" s="5">
        <f t="shared" si="50"/>
        <v>303.56</v>
      </c>
      <c r="E157" s="6" t="str">
        <f t="shared" si="51"/>
        <v/>
      </c>
      <c r="F157" s="5">
        <f>303.56</f>
        <v>303.56</v>
      </c>
      <c r="G157" s="4"/>
      <c r="H157" s="5">
        <f t="shared" si="52"/>
        <v>303.56</v>
      </c>
      <c r="I157" s="6" t="str">
        <f t="shared" si="53"/>
        <v/>
      </c>
      <c r="J157" s="4"/>
      <c r="K157" s="4"/>
      <c r="L157" s="5">
        <f t="shared" si="54"/>
        <v>0</v>
      </c>
      <c r="M157" s="6" t="str">
        <f t="shared" si="55"/>
        <v/>
      </c>
      <c r="N157" s="5">
        <f t="shared" si="56"/>
        <v>607.12</v>
      </c>
      <c r="O157" s="5">
        <f t="shared" si="57"/>
        <v>0</v>
      </c>
      <c r="P157" s="5">
        <f t="shared" si="58"/>
        <v>607.12</v>
      </c>
      <c r="Q157" s="6" t="str">
        <f t="shared" si="59"/>
        <v/>
      </c>
    </row>
    <row r="158" spans="1:17" x14ac:dyDescent="0.25">
      <c r="A158" s="3" t="s">
        <v>159</v>
      </c>
      <c r="B158" s="5">
        <f>2261.46</f>
        <v>2261.46</v>
      </c>
      <c r="C158" s="5">
        <f>1638.08</f>
        <v>1638.08</v>
      </c>
      <c r="D158" s="5">
        <f t="shared" si="50"/>
        <v>623.38000000000011</v>
      </c>
      <c r="E158" s="6">
        <f t="shared" si="51"/>
        <v>1.3805552842352022</v>
      </c>
      <c r="F158" s="5">
        <f>2733.58</f>
        <v>2733.58</v>
      </c>
      <c r="G158" s="5">
        <f>1638.08</f>
        <v>1638.08</v>
      </c>
      <c r="H158" s="5">
        <f t="shared" si="52"/>
        <v>1095.5</v>
      </c>
      <c r="I158" s="6">
        <f t="shared" si="53"/>
        <v>1.6687707560070326</v>
      </c>
      <c r="J158" s="5">
        <f>3313.42</f>
        <v>3313.42</v>
      </c>
      <c r="K158" s="5">
        <f>1638.08</f>
        <v>1638.08</v>
      </c>
      <c r="L158" s="5">
        <f t="shared" si="54"/>
        <v>1675.3400000000001</v>
      </c>
      <c r="M158" s="6">
        <f t="shared" si="55"/>
        <v>2.0227461418245753</v>
      </c>
      <c r="N158" s="5">
        <f t="shared" si="56"/>
        <v>8308.4599999999991</v>
      </c>
      <c r="O158" s="5">
        <f t="shared" si="57"/>
        <v>4914.24</v>
      </c>
      <c r="P158" s="5">
        <f t="shared" si="58"/>
        <v>3394.2199999999993</v>
      </c>
      <c r="Q158" s="6">
        <f t="shared" si="59"/>
        <v>1.6906907273556031</v>
      </c>
    </row>
    <row r="159" spans="1:17" x14ac:dyDescent="0.25">
      <c r="A159" s="3" t="s">
        <v>160</v>
      </c>
      <c r="B159" s="4"/>
      <c r="C159" s="5">
        <f>1377.25</f>
        <v>1377.25</v>
      </c>
      <c r="D159" s="5">
        <f t="shared" si="50"/>
        <v>-1377.25</v>
      </c>
      <c r="E159" s="6">
        <f t="shared" si="51"/>
        <v>0</v>
      </c>
      <c r="F159" s="5">
        <f>200</f>
        <v>200</v>
      </c>
      <c r="G159" s="5">
        <f>1377.25</f>
        <v>1377.25</v>
      </c>
      <c r="H159" s="5">
        <f t="shared" si="52"/>
        <v>-1177.25</v>
      </c>
      <c r="I159" s="6">
        <f t="shared" si="53"/>
        <v>0.1452169177709203</v>
      </c>
      <c r="J159" s="4"/>
      <c r="K159" s="5">
        <f>1377.25</f>
        <v>1377.25</v>
      </c>
      <c r="L159" s="5">
        <f t="shared" si="54"/>
        <v>-1377.25</v>
      </c>
      <c r="M159" s="6">
        <f t="shared" si="55"/>
        <v>0</v>
      </c>
      <c r="N159" s="5">
        <f t="shared" si="56"/>
        <v>200</v>
      </c>
      <c r="O159" s="5">
        <f t="shared" si="57"/>
        <v>4131.75</v>
      </c>
      <c r="P159" s="5">
        <f t="shared" si="58"/>
        <v>-3931.75</v>
      </c>
      <c r="Q159" s="6">
        <f t="shared" si="59"/>
        <v>4.8405639256973436E-2</v>
      </c>
    </row>
    <row r="160" spans="1:17" x14ac:dyDescent="0.25">
      <c r="A160" s="3" t="s">
        <v>161</v>
      </c>
      <c r="B160" s="5">
        <f>1183.93</f>
        <v>1183.93</v>
      </c>
      <c r="C160" s="5">
        <f>416</f>
        <v>416</v>
      </c>
      <c r="D160" s="5">
        <f t="shared" si="50"/>
        <v>767.93000000000006</v>
      </c>
      <c r="E160" s="6">
        <f t="shared" si="51"/>
        <v>2.8459855769230771</v>
      </c>
      <c r="F160" s="5">
        <f>1141.85</f>
        <v>1141.8499999999999</v>
      </c>
      <c r="G160" s="5">
        <f>416</f>
        <v>416</v>
      </c>
      <c r="H160" s="5">
        <f t="shared" si="52"/>
        <v>725.84999999999991</v>
      </c>
      <c r="I160" s="6">
        <f t="shared" si="53"/>
        <v>2.7448317307692305</v>
      </c>
      <c r="J160" s="5">
        <f>633.15</f>
        <v>633.15</v>
      </c>
      <c r="K160" s="5">
        <f>416</f>
        <v>416</v>
      </c>
      <c r="L160" s="5">
        <f t="shared" si="54"/>
        <v>217.14999999999998</v>
      </c>
      <c r="M160" s="6">
        <f t="shared" si="55"/>
        <v>1.5219951923076922</v>
      </c>
      <c r="N160" s="5">
        <f t="shared" si="56"/>
        <v>2958.93</v>
      </c>
      <c r="O160" s="5">
        <f t="shared" si="57"/>
        <v>1248</v>
      </c>
      <c r="P160" s="5">
        <f t="shared" si="58"/>
        <v>1710.9299999999998</v>
      </c>
      <c r="Q160" s="6">
        <f t="shared" si="59"/>
        <v>2.3709374999999997</v>
      </c>
    </row>
    <row r="161" spans="1:17" x14ac:dyDescent="0.25">
      <c r="A161" s="3" t="s">
        <v>162</v>
      </c>
      <c r="B161" s="5">
        <f>823.29</f>
        <v>823.29</v>
      </c>
      <c r="C161" s="5">
        <f>1430</f>
        <v>1430</v>
      </c>
      <c r="D161" s="5">
        <f t="shared" si="50"/>
        <v>-606.71</v>
      </c>
      <c r="E161" s="6">
        <f t="shared" si="51"/>
        <v>0.57572727272727275</v>
      </c>
      <c r="F161" s="5">
        <f>1938.58</f>
        <v>1938.58</v>
      </c>
      <c r="G161" s="5">
        <f>1430</f>
        <v>1430</v>
      </c>
      <c r="H161" s="5">
        <f t="shared" si="52"/>
        <v>508.57999999999993</v>
      </c>
      <c r="I161" s="6">
        <f t="shared" si="53"/>
        <v>1.3556503496503496</v>
      </c>
      <c r="J161" s="5">
        <f>3317.77</f>
        <v>3317.77</v>
      </c>
      <c r="K161" s="5">
        <f>1430</f>
        <v>1430</v>
      </c>
      <c r="L161" s="5">
        <f t="shared" si="54"/>
        <v>1887.77</v>
      </c>
      <c r="M161" s="6">
        <f t="shared" si="55"/>
        <v>2.3201188811188813</v>
      </c>
      <c r="N161" s="5">
        <f t="shared" si="56"/>
        <v>6079.6399999999994</v>
      </c>
      <c r="O161" s="5">
        <f t="shared" si="57"/>
        <v>4290</v>
      </c>
      <c r="P161" s="5">
        <f t="shared" si="58"/>
        <v>1789.6399999999994</v>
      </c>
      <c r="Q161" s="6">
        <f t="shared" si="59"/>
        <v>1.4171655011655011</v>
      </c>
    </row>
    <row r="162" spans="1:17" x14ac:dyDescent="0.25">
      <c r="A162" s="3" t="s">
        <v>163</v>
      </c>
      <c r="B162" s="4"/>
      <c r="C162" s="5">
        <f>354.83</f>
        <v>354.83</v>
      </c>
      <c r="D162" s="5">
        <f t="shared" si="50"/>
        <v>-354.83</v>
      </c>
      <c r="E162" s="6">
        <f t="shared" si="51"/>
        <v>0</v>
      </c>
      <c r="F162" s="4"/>
      <c r="G162" s="5">
        <f>354.83</f>
        <v>354.83</v>
      </c>
      <c r="H162" s="5">
        <f t="shared" si="52"/>
        <v>-354.83</v>
      </c>
      <c r="I162" s="6">
        <f t="shared" si="53"/>
        <v>0</v>
      </c>
      <c r="J162" s="4"/>
      <c r="K162" s="5">
        <f>354.83</f>
        <v>354.83</v>
      </c>
      <c r="L162" s="5">
        <f t="shared" si="54"/>
        <v>-354.83</v>
      </c>
      <c r="M162" s="6">
        <f t="shared" si="55"/>
        <v>0</v>
      </c>
      <c r="N162" s="5">
        <f t="shared" si="56"/>
        <v>0</v>
      </c>
      <c r="O162" s="5">
        <f t="shared" si="57"/>
        <v>1064.49</v>
      </c>
      <c r="P162" s="5">
        <f t="shared" si="58"/>
        <v>-1064.49</v>
      </c>
      <c r="Q162" s="6">
        <f t="shared" si="59"/>
        <v>0</v>
      </c>
    </row>
    <row r="163" spans="1:17" x14ac:dyDescent="0.25">
      <c r="A163" s="3" t="s">
        <v>164</v>
      </c>
      <c r="B163" s="5">
        <f>89.32</f>
        <v>89.32</v>
      </c>
      <c r="C163" s="4"/>
      <c r="D163" s="5">
        <f t="shared" si="50"/>
        <v>89.32</v>
      </c>
      <c r="E163" s="6" t="str">
        <f t="shared" si="51"/>
        <v/>
      </c>
      <c r="F163" s="5">
        <f>73</f>
        <v>73</v>
      </c>
      <c r="G163" s="4"/>
      <c r="H163" s="5">
        <f t="shared" si="52"/>
        <v>73</v>
      </c>
      <c r="I163" s="6" t="str">
        <f t="shared" si="53"/>
        <v/>
      </c>
      <c r="J163" s="5">
        <f>2124.04</f>
        <v>2124.04</v>
      </c>
      <c r="K163" s="4"/>
      <c r="L163" s="5">
        <f t="shared" si="54"/>
        <v>2124.04</v>
      </c>
      <c r="M163" s="6" t="str">
        <f t="shared" si="55"/>
        <v/>
      </c>
      <c r="N163" s="5">
        <f t="shared" si="56"/>
        <v>2286.36</v>
      </c>
      <c r="O163" s="5">
        <f t="shared" si="57"/>
        <v>0</v>
      </c>
      <c r="P163" s="5">
        <f t="shared" si="58"/>
        <v>2286.36</v>
      </c>
      <c r="Q163" s="6" t="str">
        <f t="shared" si="59"/>
        <v/>
      </c>
    </row>
    <row r="164" spans="1:17" x14ac:dyDescent="0.25">
      <c r="A164" s="3" t="s">
        <v>165</v>
      </c>
      <c r="B164" s="4"/>
      <c r="C164" s="5">
        <f>5109.09</f>
        <v>5109.09</v>
      </c>
      <c r="D164" s="5">
        <f t="shared" si="50"/>
        <v>-5109.09</v>
      </c>
      <c r="E164" s="6">
        <f t="shared" si="51"/>
        <v>0</v>
      </c>
      <c r="F164" s="4"/>
      <c r="G164" s="5">
        <f>5109.09</f>
        <v>5109.09</v>
      </c>
      <c r="H164" s="5">
        <f t="shared" si="52"/>
        <v>-5109.09</v>
      </c>
      <c r="I164" s="6">
        <f t="shared" si="53"/>
        <v>0</v>
      </c>
      <c r="J164" s="4"/>
      <c r="K164" s="5">
        <f>5109.09</f>
        <v>5109.09</v>
      </c>
      <c r="L164" s="5">
        <f t="shared" si="54"/>
        <v>-5109.09</v>
      </c>
      <c r="M164" s="6">
        <f t="shared" si="55"/>
        <v>0</v>
      </c>
      <c r="N164" s="5">
        <f t="shared" si="56"/>
        <v>0</v>
      </c>
      <c r="O164" s="5">
        <f t="shared" si="57"/>
        <v>15327.27</v>
      </c>
      <c r="P164" s="5">
        <f t="shared" si="58"/>
        <v>-15327.27</v>
      </c>
      <c r="Q164" s="6">
        <f t="shared" si="59"/>
        <v>0</v>
      </c>
    </row>
    <row r="165" spans="1:17" x14ac:dyDescent="0.25">
      <c r="A165" s="3" t="s">
        <v>166</v>
      </c>
      <c r="B165" s="7">
        <f>((((((((((B154)+(B155))+(B156))+(B157))+(B158))+(B159))+(B160))+(B161))+(B162))+(B163))+(B164)</f>
        <v>33931.96</v>
      </c>
      <c r="C165" s="7">
        <f>((((((((((C154)+(C155))+(C156))+(C157))+(C158))+(C159))+(C160))+(C161))+(C162))+(C163))+(C164)</f>
        <v>35674.92</v>
      </c>
      <c r="D165" s="7">
        <f t="shared" si="50"/>
        <v>-1742.9599999999991</v>
      </c>
      <c r="E165" s="8">
        <f t="shared" si="51"/>
        <v>0.95114326815589212</v>
      </c>
      <c r="F165" s="7">
        <f>((((((((((F154)+(F155))+(F156))+(F157))+(F158))+(F159))+(F160))+(F161))+(F162))+(F163))+(F164)</f>
        <v>41702.43</v>
      </c>
      <c r="G165" s="7">
        <f>((((((((((G154)+(G155))+(G156))+(G157))+(G158))+(G159))+(G160))+(G161))+(G162))+(G163))+(G164)</f>
        <v>35674.92</v>
      </c>
      <c r="H165" s="7">
        <f t="shared" si="52"/>
        <v>6027.510000000002</v>
      </c>
      <c r="I165" s="8">
        <f t="shared" si="53"/>
        <v>1.1689565106242705</v>
      </c>
      <c r="J165" s="7">
        <f>((((((((((J154)+(J155))+(J156))+(J157))+(J158))+(J159))+(J160))+(J161))+(J162))+(J163))+(J164)</f>
        <v>46447.340000000004</v>
      </c>
      <c r="K165" s="7">
        <f>((((((((((K154)+(K155))+(K156))+(K157))+(K158))+(K159))+(K160))+(K161))+(K162))+(K163))+(K164)</f>
        <v>35674.92</v>
      </c>
      <c r="L165" s="7">
        <f t="shared" si="54"/>
        <v>10772.420000000006</v>
      </c>
      <c r="M165" s="8">
        <f t="shared" si="55"/>
        <v>1.301960593044077</v>
      </c>
      <c r="N165" s="7">
        <f t="shared" si="56"/>
        <v>122081.73000000001</v>
      </c>
      <c r="O165" s="7">
        <f t="shared" si="57"/>
        <v>107024.76</v>
      </c>
      <c r="P165" s="7">
        <f t="shared" si="58"/>
        <v>15056.970000000016</v>
      </c>
      <c r="Q165" s="8">
        <f t="shared" si="59"/>
        <v>1.14068679060808</v>
      </c>
    </row>
    <row r="166" spans="1:17" x14ac:dyDescent="0.25">
      <c r="A166" s="3" t="s">
        <v>167</v>
      </c>
      <c r="B166" s="4"/>
      <c r="C166" s="4"/>
      <c r="D166" s="5">
        <f t="shared" si="50"/>
        <v>0</v>
      </c>
      <c r="E166" s="6" t="str">
        <f t="shared" si="51"/>
        <v/>
      </c>
      <c r="F166" s="4"/>
      <c r="G166" s="4"/>
      <c r="H166" s="5">
        <f t="shared" si="52"/>
        <v>0</v>
      </c>
      <c r="I166" s="6" t="str">
        <f t="shared" si="53"/>
        <v/>
      </c>
      <c r="J166" s="4"/>
      <c r="K166" s="4"/>
      <c r="L166" s="5">
        <f t="shared" si="54"/>
        <v>0</v>
      </c>
      <c r="M166" s="6" t="str">
        <f t="shared" si="55"/>
        <v/>
      </c>
      <c r="N166" s="5">
        <f t="shared" si="56"/>
        <v>0</v>
      </c>
      <c r="O166" s="5">
        <f t="shared" si="57"/>
        <v>0</v>
      </c>
      <c r="P166" s="5">
        <f t="shared" si="58"/>
        <v>0</v>
      </c>
      <c r="Q166" s="6" t="str">
        <f t="shared" si="59"/>
        <v/>
      </c>
    </row>
    <row r="167" spans="1:17" x14ac:dyDescent="0.25">
      <c r="A167" s="3" t="s">
        <v>168</v>
      </c>
      <c r="B167" s="5">
        <f>13529.02</f>
        <v>13529.02</v>
      </c>
      <c r="C167" s="5">
        <f>21269.92</f>
        <v>21269.919999999998</v>
      </c>
      <c r="D167" s="5">
        <f t="shared" si="50"/>
        <v>-7740.8999999999978</v>
      </c>
      <c r="E167" s="6">
        <f t="shared" si="51"/>
        <v>0.63606351128730154</v>
      </c>
      <c r="F167" s="5">
        <f>13505.01</f>
        <v>13505.01</v>
      </c>
      <c r="G167" s="5">
        <f>21269.92</f>
        <v>21269.919999999998</v>
      </c>
      <c r="H167" s="5">
        <f t="shared" si="52"/>
        <v>-7764.909999999998</v>
      </c>
      <c r="I167" s="6">
        <f t="shared" si="53"/>
        <v>0.63493468710742684</v>
      </c>
      <c r="J167" s="5">
        <f>13046.05</f>
        <v>13046.05</v>
      </c>
      <c r="K167" s="5">
        <f>21269.92</f>
        <v>21269.919999999998</v>
      </c>
      <c r="L167" s="5">
        <f t="shared" si="54"/>
        <v>-8223.869999999999</v>
      </c>
      <c r="M167" s="6">
        <f t="shared" si="55"/>
        <v>0.61335679682857291</v>
      </c>
      <c r="N167" s="5">
        <f t="shared" si="56"/>
        <v>40080.080000000002</v>
      </c>
      <c r="O167" s="5">
        <f t="shared" si="57"/>
        <v>63809.759999999995</v>
      </c>
      <c r="P167" s="5">
        <f t="shared" si="58"/>
        <v>-23729.679999999993</v>
      </c>
      <c r="Q167" s="6">
        <f t="shared" si="59"/>
        <v>0.62811833174110054</v>
      </c>
    </row>
    <row r="168" spans="1:17" x14ac:dyDescent="0.25">
      <c r="A168" s="3" t="s">
        <v>169</v>
      </c>
      <c r="B168" s="7">
        <f>(B166)+(B167)</f>
        <v>13529.02</v>
      </c>
      <c r="C168" s="7">
        <f>(C166)+(C167)</f>
        <v>21269.919999999998</v>
      </c>
      <c r="D168" s="7">
        <f t="shared" si="50"/>
        <v>-7740.8999999999978</v>
      </c>
      <c r="E168" s="8">
        <f t="shared" si="51"/>
        <v>0.63606351128730154</v>
      </c>
      <c r="F168" s="7">
        <f>(F166)+(F167)</f>
        <v>13505.01</v>
      </c>
      <c r="G168" s="7">
        <f>(G166)+(G167)</f>
        <v>21269.919999999998</v>
      </c>
      <c r="H168" s="7">
        <f t="shared" si="52"/>
        <v>-7764.909999999998</v>
      </c>
      <c r="I168" s="8">
        <f t="shared" si="53"/>
        <v>0.63493468710742684</v>
      </c>
      <c r="J168" s="7">
        <f>(J166)+(J167)</f>
        <v>13046.05</v>
      </c>
      <c r="K168" s="7">
        <f>(K166)+(K167)</f>
        <v>21269.919999999998</v>
      </c>
      <c r="L168" s="7">
        <f t="shared" si="54"/>
        <v>-8223.869999999999</v>
      </c>
      <c r="M168" s="8">
        <f t="shared" si="55"/>
        <v>0.61335679682857291</v>
      </c>
      <c r="N168" s="7">
        <f t="shared" si="56"/>
        <v>40080.080000000002</v>
      </c>
      <c r="O168" s="7">
        <f t="shared" si="57"/>
        <v>63809.759999999995</v>
      </c>
      <c r="P168" s="7">
        <f t="shared" si="58"/>
        <v>-23729.679999999993</v>
      </c>
      <c r="Q168" s="8">
        <f t="shared" si="59"/>
        <v>0.62811833174110054</v>
      </c>
    </row>
    <row r="169" spans="1:17" x14ac:dyDescent="0.25">
      <c r="A169" s="3" t="s">
        <v>170</v>
      </c>
      <c r="B169" s="7">
        <f>((((((((((((B47)+(B59))+(B64))+(B68))+(B75))+(B89))+(B110))+(B121))+(B142))+(B147))+(B153))+(B165))+(B168)</f>
        <v>884618.98999999976</v>
      </c>
      <c r="C169" s="7">
        <f>((((((((((((C47)+(C59))+(C64))+(C68))+(C75))+(C89))+(C110))+(C121))+(C142))+(C147))+(C153))+(C165))+(C168)</f>
        <v>897731.30000000016</v>
      </c>
      <c r="D169" s="7">
        <f t="shared" si="50"/>
        <v>-13112.310000000405</v>
      </c>
      <c r="E169" s="8">
        <f t="shared" si="51"/>
        <v>0.98539394805550351</v>
      </c>
      <c r="F169" s="7">
        <f>((((((((((((F47)+(F59))+(F64))+(F68))+(F75))+(F89))+(F110))+(F121))+(F142))+(F147))+(F153))+(F165))+(F168)</f>
        <v>1060760.1600000001</v>
      </c>
      <c r="G169" s="7">
        <f>((((((((((((G47)+(G59))+(G64))+(G68))+(G75))+(G89))+(G110))+(G121))+(G142))+(G147))+(G153))+(G165))+(G168)</f>
        <v>919282.80000000016</v>
      </c>
      <c r="H169" s="7">
        <f t="shared" si="52"/>
        <v>141477.35999999999</v>
      </c>
      <c r="I169" s="8">
        <f t="shared" si="53"/>
        <v>1.1538997139944314</v>
      </c>
      <c r="J169" s="7">
        <f>((((((((((((J47)+(J59))+(J64))+(J68))+(J75))+(J89))+(J110))+(J121))+(J142))+(J147))+(J153))+(J165))+(J168)</f>
        <v>815816.42000000016</v>
      </c>
      <c r="K169" s="7">
        <f>((((((((((((K47)+(K59))+(K64))+(K68))+(K75))+(K89))+(K110))+(K121))+(K142))+(K147))+(K153))+(K165))+(K168)</f>
        <v>883782.80000000016</v>
      </c>
      <c r="L169" s="7">
        <f t="shared" si="54"/>
        <v>-67966.38</v>
      </c>
      <c r="M169" s="8">
        <f t="shared" si="55"/>
        <v>0.92309605934851868</v>
      </c>
      <c r="N169" s="7">
        <f t="shared" si="56"/>
        <v>2761195.5700000003</v>
      </c>
      <c r="O169" s="7">
        <f t="shared" si="57"/>
        <v>2700796.9000000004</v>
      </c>
      <c r="P169" s="7">
        <f t="shared" si="58"/>
        <v>60398.669999999925</v>
      </c>
      <c r="Q169" s="8">
        <f t="shared" si="59"/>
        <v>1.0223632772978968</v>
      </c>
    </row>
    <row r="170" spans="1:17" x14ac:dyDescent="0.25">
      <c r="A170" s="3" t="s">
        <v>171</v>
      </c>
      <c r="B170" s="7">
        <f>(B22)-(B169)</f>
        <v>96067.820000000298</v>
      </c>
      <c r="C170" s="7">
        <f>(C22)-(C169)</f>
        <v>124184.69999999984</v>
      </c>
      <c r="D170" s="7">
        <f t="shared" si="50"/>
        <v>-28116.879999999539</v>
      </c>
      <c r="E170" s="8">
        <f t="shared" si="51"/>
        <v>0.77358821175233683</v>
      </c>
      <c r="F170" s="7">
        <f>(F22)-(F169)</f>
        <v>86889.34999999986</v>
      </c>
      <c r="G170" s="7">
        <f>(G22)-(G169)</f>
        <v>105847.19999999984</v>
      </c>
      <c r="H170" s="7">
        <f t="shared" si="52"/>
        <v>-18957.849999999977</v>
      </c>
      <c r="I170" s="8">
        <f t="shared" si="53"/>
        <v>0.8208941757552396</v>
      </c>
      <c r="J170" s="7">
        <f>(J22)-(J169)</f>
        <v>301210.90999999992</v>
      </c>
      <c r="K170" s="7">
        <f>(K22)-(K169)</f>
        <v>138233.19999999984</v>
      </c>
      <c r="L170" s="7">
        <f t="shared" si="54"/>
        <v>162977.71000000008</v>
      </c>
      <c r="M170" s="8">
        <f t="shared" si="55"/>
        <v>2.1790055500415262</v>
      </c>
      <c r="N170" s="7">
        <f t="shared" si="56"/>
        <v>484168.08000000007</v>
      </c>
      <c r="O170" s="7">
        <f t="shared" si="57"/>
        <v>368265.09999999951</v>
      </c>
      <c r="P170" s="7">
        <f t="shared" si="58"/>
        <v>115902.98000000056</v>
      </c>
      <c r="Q170" s="8">
        <f t="shared" si="59"/>
        <v>1.3147270268075923</v>
      </c>
    </row>
    <row r="171" spans="1:17" x14ac:dyDescent="0.25">
      <c r="A171" s="3" t="s">
        <v>172</v>
      </c>
      <c r="B171" s="9">
        <f>(B170)+(0)</f>
        <v>96067.820000000298</v>
      </c>
      <c r="C171" s="9">
        <f>(C170)+(0)</f>
        <v>124184.69999999984</v>
      </c>
      <c r="D171" s="9">
        <f t="shared" si="50"/>
        <v>-28116.879999999539</v>
      </c>
      <c r="E171" s="10">
        <f t="shared" si="51"/>
        <v>0.77358821175233683</v>
      </c>
      <c r="F171" s="9">
        <f>(F170)+(0)</f>
        <v>86889.34999999986</v>
      </c>
      <c r="G171" s="9">
        <f>(G170)+(0)</f>
        <v>105847.19999999984</v>
      </c>
      <c r="H171" s="9">
        <f t="shared" si="52"/>
        <v>-18957.849999999977</v>
      </c>
      <c r="I171" s="10">
        <f t="shared" si="53"/>
        <v>0.8208941757552396</v>
      </c>
      <c r="J171" s="9">
        <f>(J170)+(0)</f>
        <v>301210.90999999992</v>
      </c>
      <c r="K171" s="9">
        <f>(K170)+(0)</f>
        <v>138233.19999999984</v>
      </c>
      <c r="L171" s="9">
        <f t="shared" si="54"/>
        <v>162977.71000000008</v>
      </c>
      <c r="M171" s="10">
        <f t="shared" si="55"/>
        <v>2.1790055500415262</v>
      </c>
      <c r="N171" s="9">
        <f t="shared" si="56"/>
        <v>484168.08000000007</v>
      </c>
      <c r="O171" s="9">
        <f t="shared" si="57"/>
        <v>368265.09999999951</v>
      </c>
      <c r="P171" s="9">
        <f t="shared" si="58"/>
        <v>115902.98000000056</v>
      </c>
      <c r="Q171" s="10">
        <f t="shared" si="59"/>
        <v>1.3147270268075923</v>
      </c>
    </row>
    <row r="172" spans="1:17" x14ac:dyDescent="0.25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5" spans="1:17" x14ac:dyDescent="0.25">
      <c r="A175" s="13" t="s">
        <v>173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</sheetData>
  <mergeCells count="8">
    <mergeCell ref="A1:Q1"/>
    <mergeCell ref="A2:Q2"/>
    <mergeCell ref="A3:Q3"/>
    <mergeCell ref="B5:E5"/>
    <mergeCell ref="F5:I5"/>
    <mergeCell ref="J5:M5"/>
    <mergeCell ref="N5:Q5"/>
    <mergeCell ref="A175:Q1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vs. Actuals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Holder, Kevin</cp:lastModifiedBy>
  <dcterms:created xsi:type="dcterms:W3CDTF">2019-10-23T20:13:42Z</dcterms:created>
  <dcterms:modified xsi:type="dcterms:W3CDTF">2019-10-26T11:25:48Z</dcterms:modified>
</cp:coreProperties>
</file>