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charts/chart11.xml" ContentType="application/vnd.openxmlformats-officedocument.drawingml.chart+xml"/>
  <Override PartName="/xl/drawings/drawing3.xml" ContentType="application/vnd.openxmlformats-officedocument.drawing+xml"/>
  <Override PartName="/xl/charts/chart12.xml" ContentType="application/vnd.openxmlformats-officedocument.drawingml.chart+xml"/>
  <Override PartName="/xl/drawings/drawing4.xml" ContentType="application/vnd.openxmlformats-officedocument.drawing+xml"/>
  <Override PartName="/xl/charts/chart13.xml" ContentType="application/vnd.openxmlformats-officedocument.drawingml.chart+xml"/>
  <Override PartName="/xl/drawings/drawing5.xml" ContentType="application/vnd.openxmlformats-officedocument.drawing+xml"/>
  <Override PartName="/xl/charts/chart14.xml" ContentType="application/vnd.openxmlformats-officedocument.drawingml.chart+xml"/>
  <Override PartName="/xl/drawings/drawing6.xml" ContentType="application/vnd.openxmlformats-officedocument.drawing+xml"/>
  <Override PartName="/xl/charts/chart15.xml" ContentType="application/vnd.openxmlformats-officedocument.drawingml.chart+xml"/>
  <Override PartName="/xl/drawings/drawing7.xml" ContentType="application/vnd.openxmlformats-officedocument.drawing+xml"/>
  <Override PartName="/xl/charts/chart16.xml" ContentType="application/vnd.openxmlformats-officedocument.drawingml.chart+xml"/>
  <Override PartName="/xl/drawings/drawing8.xml" ContentType="application/vnd.openxmlformats-officedocument.drawing+xml"/>
  <Override PartName="/xl/charts/chart17.xml" ContentType="application/vnd.openxmlformats-officedocument.drawingml.chart+xml"/>
  <Override PartName="/xl/drawings/drawing9.xml" ContentType="application/vnd.openxmlformats-officedocument.drawing+xml"/>
  <Override PartName="/xl/charts/chart18.xml" ContentType="application/vnd.openxmlformats-officedocument.drawingml.chart+xml"/>
  <Override PartName="/xl/drawings/drawing10.xml" ContentType="application/vnd.openxmlformats-officedocument.drawing+xml"/>
  <Override PartName="/xl/charts/chart19.xml" ContentType="application/vnd.openxmlformats-officedocument.drawingml.chart+xml"/>
  <Override PartName="/xl/drawings/drawing11.xml" ContentType="application/vnd.openxmlformats-officedocument.drawing+xml"/>
  <Override PartName="/xl/charts/chart2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/>
  <mc:AlternateContent xmlns:mc="http://schemas.openxmlformats.org/markup-compatibility/2006">
    <mc:Choice Requires="x15">
      <x15ac:absPath xmlns:x15ac="http://schemas.microsoft.com/office/spreadsheetml/2010/11/ac" url="https://d.docs.live.net/a49beef038c769d4/Third Future Schools/General Instruction/23-24 Spot Data/"/>
    </mc:Choice>
  </mc:AlternateContent>
  <xr:revisionPtr revIDLastSave="0" documentId="8_{220FCB30-2D34-4956-8803-9236A0A5B1FC}" xr6:coauthVersionLast="47" xr6:coauthVersionMax="47" xr10:uidLastSave="{00000000-0000-0000-0000-000000000000}"/>
  <bookViews>
    <workbookView xWindow="15" yWindow="735" windowWidth="20505" windowHeight="12945" xr2:uid="{00000000-000D-0000-FFFF-FFFF00000000}"/>
  </bookViews>
  <sheets>
    <sheet name="summary" sheetId="1" r:id="rId1"/>
    <sheet name="TFS" sheetId="2" r:id="rId2"/>
    <sheet name="AAL" sheetId="3" r:id="rId3"/>
    <sheet name="C3" sheetId="4" r:id="rId4"/>
    <sheet name="LAMAR" sheetId="5" r:id="rId5"/>
    <sheet name="SAM" sheetId="6" r:id="rId6"/>
    <sheet name="ECP" sheetId="7" r:id="rId7"/>
    <sheet name="MMS" sheetId="8" r:id="rId8"/>
    <sheet name="FEHL" sheetId="9" r:id="rId9"/>
    <sheet name="JONES" sheetId="10" r:id="rId10"/>
    <sheet name="SMITH" sheetId="11" r:id="rId11"/>
    <sheet name="PRESCOTT" sheetId="12" r:id="rId1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1" i="12" l="1"/>
  <c r="C10" i="12"/>
  <c r="B5" i="12"/>
  <c r="B4" i="12"/>
  <c r="B3" i="12"/>
  <c r="B6" i="12" s="1"/>
  <c r="C12" i="11"/>
  <c r="B12" i="11" s="1"/>
  <c r="C11" i="11"/>
  <c r="B11" i="11" s="1"/>
  <c r="B6" i="11"/>
  <c r="B5" i="11"/>
  <c r="B4" i="11"/>
  <c r="B3" i="11"/>
  <c r="B7" i="11" s="1"/>
  <c r="C11" i="10"/>
  <c r="C10" i="10"/>
  <c r="B5" i="10"/>
  <c r="B6" i="10" s="1"/>
  <c r="B11" i="10" s="1"/>
  <c r="B4" i="10"/>
  <c r="B3" i="10"/>
  <c r="C12" i="9"/>
  <c r="B12" i="9" s="1"/>
  <c r="C11" i="9"/>
  <c r="C13" i="9" s="1"/>
  <c r="B7" i="9"/>
  <c r="B11" i="9" s="1"/>
  <c r="B6" i="9"/>
  <c r="B5" i="9"/>
  <c r="B4" i="9"/>
  <c r="B3" i="9"/>
  <c r="C10" i="8"/>
  <c r="C9" i="8"/>
  <c r="B4" i="8"/>
  <c r="B5" i="8" s="1"/>
  <c r="B3" i="8"/>
  <c r="C15" i="7"/>
  <c r="C14" i="7"/>
  <c r="B9" i="7"/>
  <c r="B8" i="7"/>
  <c r="B7" i="7"/>
  <c r="B6" i="7"/>
  <c r="B5" i="7"/>
  <c r="B4" i="7"/>
  <c r="B3" i="7"/>
  <c r="B10" i="7" s="1"/>
  <c r="B14" i="7" s="1"/>
  <c r="C11" i="6"/>
  <c r="C10" i="6"/>
  <c r="B10" i="6" s="1"/>
  <c r="B5" i="6"/>
  <c r="B4" i="6"/>
  <c r="B3" i="6"/>
  <c r="B6" i="6" s="1"/>
  <c r="C10" i="5"/>
  <c r="C9" i="5"/>
  <c r="B4" i="5"/>
  <c r="B3" i="5"/>
  <c r="B5" i="5" s="1"/>
  <c r="C10" i="4"/>
  <c r="B10" i="4" s="1"/>
  <c r="C9" i="4"/>
  <c r="B4" i="4"/>
  <c r="B3" i="4"/>
  <c r="B5" i="4" s="1"/>
  <c r="B9" i="4" s="1"/>
  <c r="C13" i="3"/>
  <c r="C12" i="3"/>
  <c r="B12" i="3" s="1"/>
  <c r="B7" i="3"/>
  <c r="B6" i="3"/>
  <c r="B5" i="3"/>
  <c r="B4" i="3"/>
  <c r="B3" i="3"/>
  <c r="B8" i="3" s="1"/>
  <c r="B13" i="3" s="1"/>
  <c r="R327" i="2"/>
  <c r="Q327" i="2"/>
  <c r="P327" i="2"/>
  <c r="O327" i="2"/>
  <c r="N327" i="2"/>
  <c r="M327" i="2"/>
  <c r="L327" i="2"/>
  <c r="K327" i="2"/>
  <c r="I327" i="2"/>
  <c r="H327" i="2"/>
  <c r="G327" i="2"/>
  <c r="F327" i="2"/>
  <c r="E327" i="2"/>
  <c r="R326" i="2"/>
  <c r="Q326" i="2"/>
  <c r="P326" i="2"/>
  <c r="O326" i="2"/>
  <c r="N326" i="2"/>
  <c r="M326" i="2"/>
  <c r="L326" i="2"/>
  <c r="K326" i="2"/>
  <c r="I326" i="2"/>
  <c r="H326" i="2"/>
  <c r="G326" i="2"/>
  <c r="F326" i="2"/>
  <c r="E326" i="2"/>
  <c r="S325" i="2"/>
  <c r="R325" i="2"/>
  <c r="Q325" i="2"/>
  <c r="P325" i="2"/>
  <c r="O325" i="2"/>
  <c r="N325" i="2"/>
  <c r="M325" i="2"/>
  <c r="L325" i="2"/>
  <c r="K325" i="2"/>
  <c r="I325" i="2"/>
  <c r="H325" i="2"/>
  <c r="G325" i="2"/>
  <c r="F325" i="2"/>
  <c r="E325" i="2"/>
  <c r="R324" i="2"/>
  <c r="Q324" i="2"/>
  <c r="P324" i="2"/>
  <c r="O324" i="2"/>
  <c r="N324" i="2"/>
  <c r="M324" i="2"/>
  <c r="L324" i="2"/>
  <c r="K324" i="2"/>
  <c r="J324" i="2"/>
  <c r="I324" i="2"/>
  <c r="H324" i="2"/>
  <c r="G324" i="2"/>
  <c r="F324" i="2"/>
  <c r="E324" i="2"/>
  <c r="R323" i="2"/>
  <c r="Q323" i="2"/>
  <c r="P323" i="2"/>
  <c r="O323" i="2"/>
  <c r="N323" i="2"/>
  <c r="M323" i="2"/>
  <c r="L323" i="2"/>
  <c r="K323" i="2"/>
  <c r="J323" i="2"/>
  <c r="I323" i="2"/>
  <c r="H323" i="2"/>
  <c r="G323" i="2"/>
  <c r="F323" i="2"/>
  <c r="E323" i="2"/>
  <c r="R322" i="2"/>
  <c r="Q322" i="2"/>
  <c r="P322" i="2"/>
  <c r="O322" i="2"/>
  <c r="N322" i="2"/>
  <c r="M322" i="2"/>
  <c r="L322" i="2"/>
  <c r="K322" i="2"/>
  <c r="J322" i="2"/>
  <c r="I322" i="2"/>
  <c r="H322" i="2"/>
  <c r="G322" i="2"/>
  <c r="F322" i="2"/>
  <c r="E322" i="2"/>
  <c r="R321" i="2"/>
  <c r="Q321" i="2"/>
  <c r="P321" i="2"/>
  <c r="O321" i="2"/>
  <c r="N321" i="2"/>
  <c r="M321" i="2"/>
  <c r="L321" i="2"/>
  <c r="K321" i="2"/>
  <c r="J321" i="2"/>
  <c r="I321" i="2"/>
  <c r="H321" i="2"/>
  <c r="G321" i="2"/>
  <c r="F321" i="2"/>
  <c r="E321" i="2"/>
  <c r="R320" i="2"/>
  <c r="Q320" i="2"/>
  <c r="P320" i="2"/>
  <c r="O320" i="2"/>
  <c r="N320" i="2"/>
  <c r="M320" i="2"/>
  <c r="L320" i="2"/>
  <c r="K320" i="2"/>
  <c r="J320" i="2"/>
  <c r="I320" i="2"/>
  <c r="H320" i="2"/>
  <c r="G320" i="2"/>
  <c r="F320" i="2"/>
  <c r="E320" i="2"/>
  <c r="S319" i="2"/>
  <c r="R319" i="2"/>
  <c r="Q319" i="2"/>
  <c r="P319" i="2"/>
  <c r="O319" i="2"/>
  <c r="N319" i="2"/>
  <c r="M319" i="2"/>
  <c r="L319" i="2"/>
  <c r="K319" i="2"/>
  <c r="J319" i="2"/>
  <c r="I319" i="2"/>
  <c r="H319" i="2"/>
  <c r="G319" i="2"/>
  <c r="F319" i="2"/>
  <c r="E319" i="2"/>
  <c r="R318" i="2"/>
  <c r="Q318" i="2"/>
  <c r="P318" i="2"/>
  <c r="O318" i="2"/>
  <c r="N318" i="2"/>
  <c r="M318" i="2"/>
  <c r="L318" i="2"/>
  <c r="K318" i="2"/>
  <c r="J318" i="2"/>
  <c r="I318" i="2"/>
  <c r="H318" i="2"/>
  <c r="G318" i="2"/>
  <c r="F318" i="2"/>
  <c r="E318" i="2"/>
  <c r="S317" i="2"/>
  <c r="R317" i="2"/>
  <c r="Q317" i="2"/>
  <c r="P317" i="2"/>
  <c r="O317" i="2"/>
  <c r="N317" i="2"/>
  <c r="M317" i="2"/>
  <c r="L317" i="2"/>
  <c r="K317" i="2"/>
  <c r="I317" i="2"/>
  <c r="H317" i="2"/>
  <c r="G317" i="2"/>
  <c r="F317" i="2"/>
  <c r="E317" i="2"/>
  <c r="S316" i="2"/>
  <c r="R316" i="2"/>
  <c r="Q316" i="2"/>
  <c r="P316" i="2"/>
  <c r="O316" i="2"/>
  <c r="N316" i="2"/>
  <c r="M316" i="2"/>
  <c r="L316" i="2"/>
  <c r="K316" i="2"/>
  <c r="I316" i="2"/>
  <c r="H316" i="2"/>
  <c r="G316" i="2"/>
  <c r="F316" i="2"/>
  <c r="E316" i="2"/>
  <c r="S315" i="2"/>
  <c r="R315" i="2"/>
  <c r="Q315" i="2"/>
  <c r="P315" i="2"/>
  <c r="O315" i="2"/>
  <c r="N315" i="2"/>
  <c r="M315" i="2"/>
  <c r="L315" i="2"/>
  <c r="K315" i="2"/>
  <c r="I315" i="2"/>
  <c r="H315" i="2"/>
  <c r="G315" i="2"/>
  <c r="F315" i="2"/>
  <c r="E315" i="2"/>
  <c r="R314" i="2"/>
  <c r="Q314" i="2"/>
  <c r="P314" i="2"/>
  <c r="O314" i="2"/>
  <c r="N314" i="2"/>
  <c r="M314" i="2"/>
  <c r="L314" i="2"/>
  <c r="K314" i="2"/>
  <c r="J314" i="2"/>
  <c r="I314" i="2"/>
  <c r="H314" i="2"/>
  <c r="G314" i="2"/>
  <c r="F314" i="2"/>
  <c r="E314" i="2"/>
  <c r="R313" i="2"/>
  <c r="Q313" i="2"/>
  <c r="P313" i="2"/>
  <c r="O313" i="2"/>
  <c r="N313" i="2"/>
  <c r="M313" i="2"/>
  <c r="L313" i="2"/>
  <c r="K313" i="2"/>
  <c r="I313" i="2"/>
  <c r="H313" i="2"/>
  <c r="G313" i="2"/>
  <c r="F313" i="2"/>
  <c r="E313" i="2"/>
  <c r="O312" i="2"/>
  <c r="N312" i="2"/>
  <c r="M312" i="2"/>
  <c r="L312" i="2"/>
  <c r="K312" i="2"/>
  <c r="J312" i="2"/>
  <c r="I312" i="2"/>
  <c r="H312" i="2"/>
  <c r="G312" i="2"/>
  <c r="F312" i="2"/>
  <c r="E312" i="2"/>
  <c r="S311" i="2"/>
  <c r="R311" i="2"/>
  <c r="Q311" i="2"/>
  <c r="P311" i="2"/>
  <c r="O311" i="2"/>
  <c r="N311" i="2"/>
  <c r="M311" i="2"/>
  <c r="L311" i="2"/>
  <c r="K311" i="2"/>
  <c r="I311" i="2"/>
  <c r="H311" i="2"/>
  <c r="G311" i="2"/>
  <c r="F311" i="2"/>
  <c r="E311" i="2"/>
  <c r="R310" i="2"/>
  <c r="Q310" i="2"/>
  <c r="P310" i="2"/>
  <c r="O310" i="2"/>
  <c r="N310" i="2"/>
  <c r="M310" i="2"/>
  <c r="L310" i="2"/>
  <c r="K310" i="2"/>
  <c r="I310" i="2"/>
  <c r="H310" i="2"/>
  <c r="G310" i="2"/>
  <c r="F310" i="2"/>
  <c r="E310" i="2"/>
  <c r="S309" i="2"/>
  <c r="R309" i="2"/>
  <c r="Q309" i="2"/>
  <c r="P309" i="2"/>
  <c r="O309" i="2"/>
  <c r="N309" i="2"/>
  <c r="M309" i="2"/>
  <c r="L309" i="2"/>
  <c r="K309" i="2"/>
  <c r="I309" i="2"/>
  <c r="H309" i="2"/>
  <c r="G309" i="2"/>
  <c r="F309" i="2"/>
  <c r="E309" i="2"/>
  <c r="S308" i="2"/>
  <c r="R308" i="2"/>
  <c r="Q308" i="2"/>
  <c r="P308" i="2"/>
  <c r="O308" i="2"/>
  <c r="N308" i="2"/>
  <c r="M308" i="2"/>
  <c r="L308" i="2"/>
  <c r="K308" i="2"/>
  <c r="J308" i="2"/>
  <c r="I308" i="2"/>
  <c r="H308" i="2"/>
  <c r="G308" i="2"/>
  <c r="F308" i="2"/>
  <c r="E308" i="2"/>
  <c r="R307" i="2"/>
  <c r="Q307" i="2"/>
  <c r="P307" i="2"/>
  <c r="O307" i="2"/>
  <c r="N307" i="2"/>
  <c r="M307" i="2"/>
  <c r="L307" i="2"/>
  <c r="K307" i="2"/>
  <c r="J307" i="2"/>
  <c r="I307" i="2"/>
  <c r="H307" i="2"/>
  <c r="G307" i="2"/>
  <c r="F307" i="2"/>
  <c r="E307" i="2"/>
  <c r="R306" i="2"/>
  <c r="Q306" i="2"/>
  <c r="P306" i="2"/>
  <c r="O306" i="2"/>
  <c r="N306" i="2"/>
  <c r="M306" i="2"/>
  <c r="L306" i="2"/>
  <c r="K306" i="2"/>
  <c r="J306" i="2"/>
  <c r="I306" i="2"/>
  <c r="H306" i="2"/>
  <c r="G306" i="2"/>
  <c r="F306" i="2"/>
  <c r="E306" i="2"/>
  <c r="R305" i="2"/>
  <c r="Q305" i="2"/>
  <c r="P305" i="2"/>
  <c r="O305" i="2"/>
  <c r="N305" i="2"/>
  <c r="M305" i="2"/>
  <c r="L305" i="2"/>
  <c r="K305" i="2"/>
  <c r="J305" i="2"/>
  <c r="I305" i="2"/>
  <c r="H305" i="2"/>
  <c r="G305" i="2"/>
  <c r="F305" i="2"/>
  <c r="E305" i="2"/>
  <c r="O304" i="2"/>
  <c r="N304" i="2"/>
  <c r="M304" i="2"/>
  <c r="L304" i="2"/>
  <c r="K304" i="2"/>
  <c r="J304" i="2"/>
  <c r="I304" i="2"/>
  <c r="H304" i="2"/>
  <c r="G304" i="2"/>
  <c r="F304" i="2"/>
  <c r="E304" i="2"/>
  <c r="R303" i="2"/>
  <c r="Q303" i="2"/>
  <c r="P303" i="2"/>
  <c r="O303" i="2"/>
  <c r="N303" i="2"/>
  <c r="K303" i="2"/>
  <c r="J303" i="2"/>
  <c r="I303" i="2"/>
  <c r="H303" i="2"/>
  <c r="G303" i="2"/>
  <c r="F303" i="2"/>
  <c r="E303" i="2"/>
  <c r="R302" i="2"/>
  <c r="Q302" i="2"/>
  <c r="P302" i="2"/>
  <c r="O302" i="2"/>
  <c r="N302" i="2"/>
  <c r="M302" i="2"/>
  <c r="L302" i="2"/>
  <c r="K302" i="2"/>
  <c r="J302" i="2"/>
  <c r="I302" i="2"/>
  <c r="H302" i="2"/>
  <c r="G302" i="2"/>
  <c r="F302" i="2"/>
  <c r="E302" i="2"/>
  <c r="S301" i="2"/>
  <c r="R301" i="2"/>
  <c r="Q301" i="2"/>
  <c r="P301" i="2"/>
  <c r="O301" i="2"/>
  <c r="N301" i="2"/>
  <c r="M301" i="2"/>
  <c r="L301" i="2"/>
  <c r="K301" i="2"/>
  <c r="J301" i="2"/>
  <c r="I301" i="2"/>
  <c r="H301" i="2"/>
  <c r="G301" i="2"/>
  <c r="F301" i="2"/>
  <c r="E301" i="2"/>
  <c r="S300" i="2"/>
  <c r="R300" i="2"/>
  <c r="Q300" i="2"/>
  <c r="P300" i="2"/>
  <c r="O300" i="2"/>
  <c r="N300" i="2"/>
  <c r="M300" i="2"/>
  <c r="L300" i="2"/>
  <c r="K300" i="2"/>
  <c r="J300" i="2"/>
  <c r="I300" i="2"/>
  <c r="H300" i="2"/>
  <c r="G300" i="2"/>
  <c r="F300" i="2"/>
  <c r="E300" i="2"/>
  <c r="S299" i="2"/>
  <c r="R299" i="2"/>
  <c r="Q299" i="2"/>
  <c r="P299" i="2"/>
  <c r="O299" i="2"/>
  <c r="N299" i="2"/>
  <c r="M299" i="2"/>
  <c r="L299" i="2"/>
  <c r="K299" i="2"/>
  <c r="J299" i="2"/>
  <c r="I299" i="2"/>
  <c r="H299" i="2"/>
  <c r="G299" i="2"/>
  <c r="F299" i="2"/>
  <c r="E299" i="2"/>
  <c r="O298" i="2"/>
  <c r="N298" i="2"/>
  <c r="M298" i="2"/>
  <c r="L298" i="2"/>
  <c r="K298" i="2"/>
  <c r="I298" i="2"/>
  <c r="H298" i="2"/>
  <c r="G298" i="2"/>
  <c r="F298" i="2"/>
  <c r="E298" i="2"/>
  <c r="S297" i="2"/>
  <c r="R297" i="2"/>
  <c r="Q297" i="2"/>
  <c r="P297" i="2"/>
  <c r="O297" i="2"/>
  <c r="N297" i="2"/>
  <c r="M297" i="2"/>
  <c r="L297" i="2"/>
  <c r="K297" i="2"/>
  <c r="I297" i="2"/>
  <c r="H297" i="2"/>
  <c r="G297" i="2"/>
  <c r="F297" i="2"/>
  <c r="E297" i="2"/>
  <c r="S296" i="2"/>
  <c r="R296" i="2"/>
  <c r="Q296" i="2"/>
  <c r="P296" i="2"/>
  <c r="O296" i="2"/>
  <c r="N296" i="2"/>
  <c r="M296" i="2"/>
  <c r="L296" i="2"/>
  <c r="K296" i="2"/>
  <c r="I296" i="2"/>
  <c r="H296" i="2"/>
  <c r="G296" i="2"/>
  <c r="F296" i="2"/>
  <c r="E296" i="2"/>
  <c r="S295" i="2"/>
  <c r="R295" i="2"/>
  <c r="Q295" i="2"/>
  <c r="P295" i="2"/>
  <c r="O295" i="2"/>
  <c r="N295" i="2"/>
  <c r="M295" i="2"/>
  <c r="L295" i="2"/>
  <c r="K295" i="2"/>
  <c r="J295" i="2"/>
  <c r="I295" i="2"/>
  <c r="H295" i="2"/>
  <c r="G295" i="2"/>
  <c r="F295" i="2"/>
  <c r="E295" i="2"/>
  <c r="R294" i="2"/>
  <c r="Q294" i="2"/>
  <c r="P294" i="2"/>
  <c r="O294" i="2"/>
  <c r="N294" i="2"/>
  <c r="K294" i="2"/>
  <c r="J294" i="2"/>
  <c r="I294" i="2"/>
  <c r="H294" i="2"/>
  <c r="G294" i="2"/>
  <c r="F294" i="2"/>
  <c r="E294" i="2"/>
  <c r="S293" i="2"/>
  <c r="R293" i="2"/>
  <c r="Q293" i="2"/>
  <c r="P293" i="2"/>
  <c r="O293" i="2"/>
  <c r="N293" i="2"/>
  <c r="M293" i="2"/>
  <c r="L293" i="2"/>
  <c r="K293" i="2"/>
  <c r="I293" i="2"/>
  <c r="H293" i="2"/>
  <c r="G293" i="2"/>
  <c r="F293" i="2"/>
  <c r="E293" i="2"/>
  <c r="S292" i="2"/>
  <c r="R292" i="2"/>
  <c r="Q292" i="2"/>
  <c r="P292" i="2"/>
  <c r="O292" i="2"/>
  <c r="N292" i="2"/>
  <c r="M292" i="2"/>
  <c r="L292" i="2"/>
  <c r="K292" i="2"/>
  <c r="I292" i="2"/>
  <c r="H292" i="2"/>
  <c r="G292" i="2"/>
  <c r="F292" i="2"/>
  <c r="E292" i="2"/>
  <c r="S291" i="2"/>
  <c r="R291" i="2"/>
  <c r="Q291" i="2"/>
  <c r="P291" i="2"/>
  <c r="O291" i="2"/>
  <c r="N291" i="2"/>
  <c r="M291" i="2"/>
  <c r="L291" i="2"/>
  <c r="K291" i="2"/>
  <c r="J291" i="2"/>
  <c r="I291" i="2"/>
  <c r="H291" i="2"/>
  <c r="G291" i="2"/>
  <c r="F291" i="2"/>
  <c r="E291" i="2"/>
  <c r="R290" i="2"/>
  <c r="Q290" i="2"/>
  <c r="P290" i="2"/>
  <c r="O290" i="2"/>
  <c r="N290" i="2"/>
  <c r="M290" i="2"/>
  <c r="L290" i="2"/>
  <c r="K290" i="2"/>
  <c r="I290" i="2"/>
  <c r="H290" i="2"/>
  <c r="G290" i="2"/>
  <c r="F290" i="2"/>
  <c r="E290" i="2"/>
  <c r="R289" i="2"/>
  <c r="Q289" i="2"/>
  <c r="P289" i="2"/>
  <c r="O289" i="2"/>
  <c r="N289" i="2"/>
  <c r="M289" i="2"/>
  <c r="L289" i="2"/>
  <c r="K289" i="2"/>
  <c r="I289" i="2"/>
  <c r="H289" i="2"/>
  <c r="G289" i="2"/>
  <c r="F289" i="2"/>
  <c r="E289" i="2"/>
  <c r="R288" i="2"/>
  <c r="Q288" i="2"/>
  <c r="P288" i="2"/>
  <c r="O288" i="2"/>
  <c r="N288" i="2"/>
  <c r="M288" i="2"/>
  <c r="L288" i="2"/>
  <c r="K288" i="2"/>
  <c r="I288" i="2"/>
  <c r="H288" i="2"/>
  <c r="G288" i="2"/>
  <c r="F288" i="2"/>
  <c r="E288" i="2"/>
  <c r="R287" i="2"/>
  <c r="Q287" i="2"/>
  <c r="P287" i="2"/>
  <c r="O287" i="2"/>
  <c r="N287" i="2"/>
  <c r="M287" i="2"/>
  <c r="L287" i="2"/>
  <c r="K287" i="2"/>
  <c r="I287" i="2"/>
  <c r="H287" i="2"/>
  <c r="G287" i="2"/>
  <c r="F287" i="2"/>
  <c r="E287" i="2"/>
  <c r="S286" i="2"/>
  <c r="R286" i="2"/>
  <c r="Q286" i="2"/>
  <c r="P286" i="2"/>
  <c r="O286" i="2"/>
  <c r="N286" i="2"/>
  <c r="M286" i="2"/>
  <c r="L286" i="2"/>
  <c r="K286" i="2"/>
  <c r="J286" i="2"/>
  <c r="I286" i="2"/>
  <c r="H286" i="2"/>
  <c r="G286" i="2"/>
  <c r="F286" i="2"/>
  <c r="E286" i="2"/>
  <c r="R285" i="2"/>
  <c r="Q285" i="2"/>
  <c r="P285" i="2"/>
  <c r="O285" i="2"/>
  <c r="N285" i="2"/>
  <c r="M285" i="2"/>
  <c r="L285" i="2"/>
  <c r="K285" i="2"/>
  <c r="J285" i="2"/>
  <c r="I285" i="2"/>
  <c r="H285" i="2"/>
  <c r="G285" i="2"/>
  <c r="F285" i="2"/>
  <c r="E285" i="2"/>
  <c r="R284" i="2"/>
  <c r="Q284" i="2"/>
  <c r="P284" i="2"/>
  <c r="O284" i="2"/>
  <c r="N284" i="2"/>
  <c r="K284" i="2"/>
  <c r="J284" i="2"/>
  <c r="I284" i="2"/>
  <c r="H284" i="2"/>
  <c r="G284" i="2"/>
  <c r="F284" i="2"/>
  <c r="E284" i="2"/>
  <c r="R283" i="2"/>
  <c r="Q283" i="2"/>
  <c r="P283" i="2"/>
  <c r="O283" i="2"/>
  <c r="N283" i="2"/>
  <c r="K283" i="2"/>
  <c r="J283" i="2"/>
  <c r="I283" i="2"/>
  <c r="H283" i="2"/>
  <c r="G283" i="2"/>
  <c r="F283" i="2"/>
  <c r="E283" i="2"/>
  <c r="S282" i="2"/>
  <c r="R282" i="2"/>
  <c r="Q282" i="2"/>
  <c r="P282" i="2"/>
  <c r="O282" i="2"/>
  <c r="N282" i="2"/>
  <c r="M282" i="2"/>
  <c r="L282" i="2"/>
  <c r="K282" i="2"/>
  <c r="J282" i="2"/>
  <c r="I282" i="2"/>
  <c r="H282" i="2"/>
  <c r="G282" i="2"/>
  <c r="F282" i="2"/>
  <c r="E282" i="2"/>
  <c r="R281" i="2"/>
  <c r="Q281" i="2"/>
  <c r="P281" i="2"/>
  <c r="O281" i="2"/>
  <c r="N281" i="2"/>
  <c r="M281" i="2"/>
  <c r="L281" i="2"/>
  <c r="K281" i="2"/>
  <c r="J281" i="2"/>
  <c r="I281" i="2"/>
  <c r="H281" i="2"/>
  <c r="G281" i="2"/>
  <c r="F281" i="2"/>
  <c r="E281" i="2"/>
  <c r="R280" i="2"/>
  <c r="Q280" i="2"/>
  <c r="P280" i="2"/>
  <c r="O280" i="2"/>
  <c r="N280" i="2"/>
  <c r="M280" i="2"/>
  <c r="L280" i="2"/>
  <c r="K280" i="2"/>
  <c r="J280" i="2"/>
  <c r="I280" i="2"/>
  <c r="H280" i="2"/>
  <c r="G280" i="2"/>
  <c r="F280" i="2"/>
  <c r="E280" i="2"/>
  <c r="S279" i="2"/>
  <c r="R279" i="2"/>
  <c r="Q279" i="2"/>
  <c r="P279" i="2"/>
  <c r="O279" i="2"/>
  <c r="N279" i="2"/>
  <c r="M279" i="2"/>
  <c r="L279" i="2"/>
  <c r="K279" i="2"/>
  <c r="J279" i="2"/>
  <c r="I279" i="2"/>
  <c r="H279" i="2"/>
  <c r="G279" i="2"/>
  <c r="F279" i="2"/>
  <c r="E279" i="2"/>
  <c r="R278" i="2"/>
  <c r="Q278" i="2"/>
  <c r="P278" i="2"/>
  <c r="O278" i="2"/>
  <c r="N278" i="2"/>
  <c r="M278" i="2"/>
  <c r="L278" i="2"/>
  <c r="K278" i="2"/>
  <c r="J278" i="2"/>
  <c r="I278" i="2"/>
  <c r="H278" i="2"/>
  <c r="G278" i="2"/>
  <c r="F278" i="2"/>
  <c r="E278" i="2"/>
  <c r="R277" i="2"/>
  <c r="Q277" i="2"/>
  <c r="P277" i="2"/>
  <c r="O277" i="2"/>
  <c r="N277" i="2"/>
  <c r="K277" i="2"/>
  <c r="J277" i="2"/>
  <c r="I277" i="2"/>
  <c r="H277" i="2"/>
  <c r="G277" i="2"/>
  <c r="F277" i="2"/>
  <c r="E277" i="2"/>
  <c r="S276" i="2"/>
  <c r="R276" i="2"/>
  <c r="Q276" i="2"/>
  <c r="P276" i="2"/>
  <c r="O276" i="2"/>
  <c r="N276" i="2"/>
  <c r="M276" i="2"/>
  <c r="L276" i="2"/>
  <c r="K276" i="2"/>
  <c r="J276" i="2"/>
  <c r="I276" i="2"/>
  <c r="H276" i="2"/>
  <c r="G276" i="2"/>
  <c r="F276" i="2"/>
  <c r="E276" i="2"/>
  <c r="R275" i="2"/>
  <c r="Q275" i="2"/>
  <c r="P275" i="2"/>
  <c r="O275" i="2"/>
  <c r="N275" i="2"/>
  <c r="M275" i="2"/>
  <c r="L275" i="2"/>
  <c r="K275" i="2"/>
  <c r="J275" i="2"/>
  <c r="I275" i="2"/>
  <c r="H275" i="2"/>
  <c r="G275" i="2"/>
  <c r="F275" i="2"/>
  <c r="E275" i="2"/>
  <c r="O274" i="2"/>
  <c r="N274" i="2"/>
  <c r="M274" i="2"/>
  <c r="L274" i="2"/>
  <c r="K274" i="2"/>
  <c r="J274" i="2"/>
  <c r="I274" i="2"/>
  <c r="H274" i="2"/>
  <c r="G274" i="2"/>
  <c r="F274" i="2"/>
  <c r="E274" i="2"/>
  <c r="R273" i="2"/>
  <c r="Q273" i="2"/>
  <c r="P273" i="2"/>
  <c r="O273" i="2"/>
  <c r="N273" i="2"/>
  <c r="M273" i="2"/>
  <c r="L273" i="2"/>
  <c r="K273" i="2"/>
  <c r="J273" i="2"/>
  <c r="I273" i="2"/>
  <c r="H273" i="2"/>
  <c r="G273" i="2"/>
  <c r="F273" i="2"/>
  <c r="E273" i="2"/>
  <c r="S272" i="2"/>
  <c r="R272" i="2"/>
  <c r="Q272" i="2"/>
  <c r="P272" i="2"/>
  <c r="O272" i="2"/>
  <c r="N272" i="2"/>
  <c r="M272" i="2"/>
  <c r="L272" i="2"/>
  <c r="K272" i="2"/>
  <c r="I272" i="2"/>
  <c r="H272" i="2"/>
  <c r="G272" i="2"/>
  <c r="F272" i="2"/>
  <c r="E272" i="2"/>
  <c r="S271" i="2"/>
  <c r="R271" i="2"/>
  <c r="Q271" i="2"/>
  <c r="P271" i="2"/>
  <c r="O271" i="2"/>
  <c r="N271" i="2"/>
  <c r="M271" i="2"/>
  <c r="L271" i="2"/>
  <c r="K271" i="2"/>
  <c r="I271" i="2"/>
  <c r="H271" i="2"/>
  <c r="G271" i="2"/>
  <c r="F271" i="2"/>
  <c r="E271" i="2"/>
  <c r="S270" i="2"/>
  <c r="R270" i="2"/>
  <c r="Q270" i="2"/>
  <c r="P270" i="2"/>
  <c r="O270" i="2"/>
  <c r="N270" i="2"/>
  <c r="M270" i="2"/>
  <c r="L270" i="2"/>
  <c r="K270" i="2"/>
  <c r="J270" i="2"/>
  <c r="I270" i="2"/>
  <c r="H270" i="2"/>
  <c r="G270" i="2"/>
  <c r="F270" i="2"/>
  <c r="E270" i="2"/>
  <c r="S269" i="2"/>
  <c r="R269" i="2"/>
  <c r="Q269" i="2"/>
  <c r="P269" i="2"/>
  <c r="O269" i="2"/>
  <c r="N269" i="2"/>
  <c r="M269" i="2"/>
  <c r="L269" i="2"/>
  <c r="K269" i="2"/>
  <c r="I269" i="2"/>
  <c r="H269" i="2"/>
  <c r="G269" i="2"/>
  <c r="F269" i="2"/>
  <c r="E269" i="2"/>
  <c r="S268" i="2"/>
  <c r="R268" i="2"/>
  <c r="Q268" i="2"/>
  <c r="P268" i="2"/>
  <c r="O268" i="2"/>
  <c r="N268" i="2"/>
  <c r="L268" i="2"/>
  <c r="K268" i="2"/>
  <c r="J268" i="2"/>
  <c r="I268" i="2"/>
  <c r="H268" i="2"/>
  <c r="G268" i="2"/>
  <c r="F268" i="2"/>
  <c r="E268" i="2"/>
  <c r="S267" i="2"/>
  <c r="R267" i="2"/>
  <c r="Q267" i="2"/>
  <c r="P267" i="2"/>
  <c r="O267" i="2"/>
  <c r="N267" i="2"/>
  <c r="M267" i="2"/>
  <c r="L267" i="2"/>
  <c r="K267" i="2"/>
  <c r="I267" i="2"/>
  <c r="H267" i="2"/>
  <c r="G267" i="2"/>
  <c r="F267" i="2"/>
  <c r="E267" i="2"/>
  <c r="S266" i="2"/>
  <c r="R266" i="2"/>
  <c r="Q266" i="2"/>
  <c r="P266" i="2"/>
  <c r="O266" i="2"/>
  <c r="N266" i="2"/>
  <c r="M266" i="2"/>
  <c r="L266" i="2"/>
  <c r="K266" i="2"/>
  <c r="J266" i="2"/>
  <c r="I266" i="2"/>
  <c r="H266" i="2"/>
  <c r="G266" i="2"/>
  <c r="F266" i="2"/>
  <c r="E266" i="2"/>
  <c r="S265" i="2"/>
  <c r="R265" i="2"/>
  <c r="Q265" i="2"/>
  <c r="P265" i="2"/>
  <c r="O265" i="2"/>
  <c r="N265" i="2"/>
  <c r="M265" i="2"/>
  <c r="L265" i="2"/>
  <c r="K265" i="2"/>
  <c r="J265" i="2"/>
  <c r="I265" i="2"/>
  <c r="H265" i="2"/>
  <c r="G265" i="2"/>
  <c r="F265" i="2"/>
  <c r="E265" i="2"/>
  <c r="S264" i="2"/>
  <c r="R264" i="2"/>
  <c r="Q264" i="2"/>
  <c r="P264" i="2"/>
  <c r="O264" i="2"/>
  <c r="N264" i="2"/>
  <c r="M264" i="2"/>
  <c r="L264" i="2"/>
  <c r="K264" i="2"/>
  <c r="I264" i="2"/>
  <c r="H264" i="2"/>
  <c r="G264" i="2"/>
  <c r="F264" i="2"/>
  <c r="E264" i="2"/>
  <c r="R263" i="2"/>
  <c r="Q263" i="2"/>
  <c r="P263" i="2"/>
  <c r="O263" i="2"/>
  <c r="N263" i="2"/>
  <c r="M263" i="2"/>
  <c r="L263" i="2"/>
  <c r="K263" i="2"/>
  <c r="I263" i="2"/>
  <c r="H263" i="2"/>
  <c r="G263" i="2"/>
  <c r="F263" i="2"/>
  <c r="E263" i="2"/>
  <c r="R262" i="2"/>
  <c r="Q262" i="2"/>
  <c r="P262" i="2"/>
  <c r="O262" i="2"/>
  <c r="N262" i="2"/>
  <c r="M262" i="2"/>
  <c r="L262" i="2"/>
  <c r="K262" i="2"/>
  <c r="J262" i="2"/>
  <c r="I262" i="2"/>
  <c r="H262" i="2"/>
  <c r="G262" i="2"/>
  <c r="F262" i="2"/>
  <c r="E262" i="2"/>
  <c r="S261" i="2"/>
  <c r="R261" i="2"/>
  <c r="Q261" i="2"/>
  <c r="P261" i="2"/>
  <c r="O261" i="2"/>
  <c r="N261" i="2"/>
  <c r="M261" i="2"/>
  <c r="L261" i="2"/>
  <c r="K261" i="2"/>
  <c r="I261" i="2"/>
  <c r="H261" i="2"/>
  <c r="G261" i="2"/>
  <c r="F261" i="2"/>
  <c r="E261" i="2"/>
  <c r="S260" i="2"/>
  <c r="R260" i="2"/>
  <c r="Q260" i="2"/>
  <c r="P260" i="2"/>
  <c r="O260" i="2"/>
  <c r="N260" i="2"/>
  <c r="M260" i="2"/>
  <c r="L260" i="2"/>
  <c r="K260" i="2"/>
  <c r="J260" i="2"/>
  <c r="I260" i="2"/>
  <c r="H260" i="2"/>
  <c r="G260" i="2"/>
  <c r="F260" i="2"/>
  <c r="E260" i="2"/>
  <c r="O259" i="2"/>
  <c r="N259" i="2"/>
  <c r="M259" i="2"/>
  <c r="L259" i="2"/>
  <c r="K259" i="2"/>
  <c r="J259" i="2"/>
  <c r="I259" i="2"/>
  <c r="H259" i="2"/>
  <c r="G259" i="2"/>
  <c r="F259" i="2"/>
  <c r="E259" i="2"/>
  <c r="R258" i="2"/>
  <c r="Q258" i="2"/>
  <c r="P258" i="2"/>
  <c r="O258" i="2"/>
  <c r="N258" i="2"/>
  <c r="M258" i="2"/>
  <c r="L258" i="2"/>
  <c r="K258" i="2"/>
  <c r="J258" i="2"/>
  <c r="I258" i="2"/>
  <c r="H258" i="2"/>
  <c r="G258" i="2"/>
  <c r="F258" i="2"/>
  <c r="E258" i="2"/>
  <c r="S257" i="2"/>
  <c r="R257" i="2"/>
  <c r="Q257" i="2"/>
  <c r="P257" i="2"/>
  <c r="O257" i="2"/>
  <c r="N257" i="2"/>
  <c r="M257" i="2"/>
  <c r="L257" i="2"/>
  <c r="K257" i="2"/>
  <c r="J257" i="2"/>
  <c r="I257" i="2"/>
  <c r="H257" i="2"/>
  <c r="G257" i="2"/>
  <c r="F257" i="2"/>
  <c r="E257" i="2"/>
  <c r="O256" i="2"/>
  <c r="N256" i="2"/>
  <c r="M256" i="2"/>
  <c r="L256" i="2"/>
  <c r="K256" i="2"/>
  <c r="J256" i="2"/>
  <c r="I256" i="2"/>
  <c r="H256" i="2"/>
  <c r="G256" i="2"/>
  <c r="F256" i="2"/>
  <c r="E256" i="2"/>
  <c r="S255" i="2"/>
  <c r="R255" i="2"/>
  <c r="Q255" i="2"/>
  <c r="P255" i="2"/>
  <c r="O255" i="2"/>
  <c r="N255" i="2"/>
  <c r="M255" i="2"/>
  <c r="L255" i="2"/>
  <c r="K255" i="2"/>
  <c r="J255" i="2"/>
  <c r="I255" i="2"/>
  <c r="H255" i="2"/>
  <c r="G255" i="2"/>
  <c r="F255" i="2"/>
  <c r="E255" i="2"/>
  <c r="S254" i="2"/>
  <c r="R254" i="2"/>
  <c r="Q254" i="2"/>
  <c r="P254" i="2"/>
  <c r="O254" i="2"/>
  <c r="N254" i="2"/>
  <c r="M254" i="2"/>
  <c r="L254" i="2"/>
  <c r="K254" i="2"/>
  <c r="J254" i="2"/>
  <c r="I254" i="2"/>
  <c r="H254" i="2"/>
  <c r="G254" i="2"/>
  <c r="F254" i="2"/>
  <c r="E254" i="2"/>
  <c r="S253" i="2"/>
  <c r="R253" i="2"/>
  <c r="Q253" i="2"/>
  <c r="P253" i="2"/>
  <c r="O253" i="2"/>
  <c r="N253" i="2"/>
  <c r="M253" i="2"/>
  <c r="L253" i="2"/>
  <c r="K253" i="2"/>
  <c r="J253" i="2"/>
  <c r="I253" i="2"/>
  <c r="H253" i="2"/>
  <c r="G253" i="2"/>
  <c r="F253" i="2"/>
  <c r="E253" i="2"/>
  <c r="S252" i="2"/>
  <c r="R252" i="2"/>
  <c r="Q252" i="2"/>
  <c r="P252" i="2"/>
  <c r="O252" i="2"/>
  <c r="N252" i="2"/>
  <c r="M252" i="2"/>
  <c r="L252" i="2"/>
  <c r="K252" i="2"/>
  <c r="J252" i="2"/>
  <c r="I252" i="2"/>
  <c r="H252" i="2"/>
  <c r="G252" i="2"/>
  <c r="F252" i="2"/>
  <c r="E252" i="2"/>
  <c r="S251" i="2"/>
  <c r="R251" i="2"/>
  <c r="Q251" i="2"/>
  <c r="P251" i="2"/>
  <c r="O251" i="2"/>
  <c r="N251" i="2"/>
  <c r="M251" i="2"/>
  <c r="L251" i="2"/>
  <c r="K251" i="2"/>
  <c r="I251" i="2"/>
  <c r="H251" i="2"/>
  <c r="G251" i="2"/>
  <c r="F251" i="2"/>
  <c r="E251" i="2"/>
  <c r="S250" i="2"/>
  <c r="R250" i="2"/>
  <c r="Q250" i="2"/>
  <c r="P250" i="2"/>
  <c r="O250" i="2"/>
  <c r="N250" i="2"/>
  <c r="M250" i="2"/>
  <c r="L250" i="2"/>
  <c r="K250" i="2"/>
  <c r="I250" i="2"/>
  <c r="H250" i="2"/>
  <c r="G250" i="2"/>
  <c r="F250" i="2"/>
  <c r="E250" i="2"/>
  <c r="S249" i="2"/>
  <c r="R249" i="2"/>
  <c r="Q249" i="2"/>
  <c r="P249" i="2"/>
  <c r="O249" i="2"/>
  <c r="N249" i="2"/>
  <c r="M249" i="2"/>
  <c r="L249" i="2"/>
  <c r="K249" i="2"/>
  <c r="I249" i="2"/>
  <c r="H249" i="2"/>
  <c r="G249" i="2"/>
  <c r="F249" i="2"/>
  <c r="E249" i="2"/>
  <c r="R248" i="2"/>
  <c r="Q248" i="2"/>
  <c r="P248" i="2"/>
  <c r="O248" i="2"/>
  <c r="N248" i="2"/>
  <c r="M248" i="2"/>
  <c r="L248" i="2"/>
  <c r="K248" i="2"/>
  <c r="J248" i="2"/>
  <c r="I248" i="2"/>
  <c r="H248" i="2"/>
  <c r="G248" i="2"/>
  <c r="F248" i="2"/>
  <c r="E248" i="2"/>
  <c r="R247" i="2"/>
  <c r="Q247" i="2"/>
  <c r="P247" i="2"/>
  <c r="O247" i="2"/>
  <c r="N247" i="2"/>
  <c r="M247" i="2"/>
  <c r="L247" i="2"/>
  <c r="K247" i="2"/>
  <c r="J247" i="2"/>
  <c r="I247" i="2"/>
  <c r="H247" i="2"/>
  <c r="G247" i="2"/>
  <c r="F247" i="2"/>
  <c r="E247" i="2"/>
  <c r="R246" i="2"/>
  <c r="Q246" i="2"/>
  <c r="P246" i="2"/>
  <c r="O246" i="2"/>
  <c r="N246" i="2"/>
  <c r="M246" i="2"/>
  <c r="L246" i="2"/>
  <c r="K246" i="2"/>
  <c r="I246" i="2"/>
  <c r="H246" i="2"/>
  <c r="G246" i="2"/>
  <c r="F246" i="2"/>
  <c r="E246" i="2"/>
  <c r="R245" i="2"/>
  <c r="Q245" i="2"/>
  <c r="P245" i="2"/>
  <c r="O245" i="2"/>
  <c r="N245" i="2"/>
  <c r="M245" i="2"/>
  <c r="L245" i="2"/>
  <c r="K245" i="2"/>
  <c r="I245" i="2"/>
  <c r="H245" i="2"/>
  <c r="G245" i="2"/>
  <c r="F245" i="2"/>
  <c r="E245" i="2"/>
  <c r="S244" i="2"/>
  <c r="R244" i="2"/>
  <c r="Q244" i="2"/>
  <c r="P244" i="2"/>
  <c r="O244" i="2"/>
  <c r="N244" i="2"/>
  <c r="M244" i="2"/>
  <c r="L244" i="2"/>
  <c r="K244" i="2"/>
  <c r="I244" i="2"/>
  <c r="H244" i="2"/>
  <c r="G244" i="2"/>
  <c r="F244" i="2"/>
  <c r="E244" i="2"/>
  <c r="R243" i="2"/>
  <c r="Q243" i="2"/>
  <c r="P243" i="2"/>
  <c r="O243" i="2"/>
  <c r="N243" i="2"/>
  <c r="M243" i="2"/>
  <c r="L243" i="2"/>
  <c r="K243" i="2"/>
  <c r="J243" i="2"/>
  <c r="I243" i="2"/>
  <c r="H243" i="2"/>
  <c r="G243" i="2"/>
  <c r="F243" i="2"/>
  <c r="E243" i="2"/>
  <c r="R242" i="2"/>
  <c r="Q242" i="2"/>
  <c r="P242" i="2"/>
  <c r="O242" i="2"/>
  <c r="N242" i="2"/>
  <c r="K242" i="2"/>
  <c r="I242" i="2"/>
  <c r="H242" i="2"/>
  <c r="G242" i="2"/>
  <c r="F242" i="2"/>
  <c r="E242" i="2"/>
  <c r="R241" i="2"/>
  <c r="Q241" i="2"/>
  <c r="P241" i="2"/>
  <c r="O241" i="2"/>
  <c r="N241" i="2"/>
  <c r="M241" i="2"/>
  <c r="L241" i="2"/>
  <c r="K241" i="2"/>
  <c r="J241" i="2"/>
  <c r="I241" i="2"/>
  <c r="H241" i="2"/>
  <c r="G241" i="2"/>
  <c r="F241" i="2"/>
  <c r="E241" i="2"/>
  <c r="R240" i="2"/>
  <c r="Q240" i="2"/>
  <c r="P240" i="2"/>
  <c r="O240" i="2"/>
  <c r="N240" i="2"/>
  <c r="M240" i="2"/>
  <c r="L240" i="2"/>
  <c r="K240" i="2"/>
  <c r="J240" i="2"/>
  <c r="I240" i="2"/>
  <c r="H240" i="2"/>
  <c r="G240" i="2"/>
  <c r="F240" i="2"/>
  <c r="E240" i="2"/>
  <c r="S239" i="2"/>
  <c r="R239" i="2"/>
  <c r="Q239" i="2"/>
  <c r="P239" i="2"/>
  <c r="O239" i="2"/>
  <c r="N239" i="2"/>
  <c r="M239" i="2"/>
  <c r="L239" i="2"/>
  <c r="K239" i="2"/>
  <c r="J239" i="2"/>
  <c r="I239" i="2"/>
  <c r="H239" i="2"/>
  <c r="G239" i="2"/>
  <c r="F239" i="2"/>
  <c r="E239" i="2"/>
  <c r="R238" i="2"/>
  <c r="Q238" i="2"/>
  <c r="P238" i="2"/>
  <c r="O238" i="2"/>
  <c r="N238" i="2"/>
  <c r="M238" i="2"/>
  <c r="L238" i="2"/>
  <c r="K238" i="2"/>
  <c r="I238" i="2"/>
  <c r="H238" i="2"/>
  <c r="G238" i="2"/>
  <c r="F238" i="2"/>
  <c r="E238" i="2"/>
  <c r="R237" i="2"/>
  <c r="Q237" i="2"/>
  <c r="P237" i="2"/>
  <c r="O237" i="2"/>
  <c r="N237" i="2"/>
  <c r="L237" i="2"/>
  <c r="K237" i="2"/>
  <c r="I237" i="2"/>
  <c r="H237" i="2"/>
  <c r="G237" i="2"/>
  <c r="F237" i="2"/>
  <c r="E237" i="2"/>
  <c r="S236" i="2"/>
  <c r="R236" i="2"/>
  <c r="Q236" i="2"/>
  <c r="P236" i="2"/>
  <c r="O236" i="2"/>
  <c r="N236" i="2"/>
  <c r="M236" i="2"/>
  <c r="L236" i="2"/>
  <c r="K236" i="2"/>
  <c r="I236" i="2"/>
  <c r="H236" i="2"/>
  <c r="G236" i="2"/>
  <c r="F236" i="2"/>
  <c r="E236" i="2"/>
  <c r="R235" i="2"/>
  <c r="Q235" i="2"/>
  <c r="P235" i="2"/>
  <c r="O235" i="2"/>
  <c r="N235" i="2"/>
  <c r="M235" i="2"/>
  <c r="L235" i="2"/>
  <c r="K235" i="2"/>
  <c r="I235" i="2"/>
  <c r="H235" i="2"/>
  <c r="G235" i="2"/>
  <c r="F235" i="2"/>
  <c r="E235" i="2"/>
  <c r="R234" i="2"/>
  <c r="Q234" i="2"/>
  <c r="P234" i="2"/>
  <c r="O234" i="2"/>
  <c r="N234" i="2"/>
  <c r="M234" i="2"/>
  <c r="L234" i="2"/>
  <c r="K234" i="2"/>
  <c r="I234" i="2"/>
  <c r="H234" i="2"/>
  <c r="G234" i="2"/>
  <c r="F234" i="2"/>
  <c r="E234" i="2"/>
  <c r="R233" i="2"/>
  <c r="Q233" i="2"/>
  <c r="P233" i="2"/>
  <c r="O233" i="2"/>
  <c r="N233" i="2"/>
  <c r="M233" i="2"/>
  <c r="L233" i="2"/>
  <c r="K233" i="2"/>
  <c r="I233" i="2"/>
  <c r="H233" i="2"/>
  <c r="G233" i="2"/>
  <c r="F233" i="2"/>
  <c r="E233" i="2"/>
  <c r="R232" i="2"/>
  <c r="Q232" i="2"/>
  <c r="P232" i="2"/>
  <c r="O232" i="2"/>
  <c r="N232" i="2"/>
  <c r="M232" i="2"/>
  <c r="L232" i="2"/>
  <c r="K232" i="2"/>
  <c r="J232" i="2"/>
  <c r="I232" i="2"/>
  <c r="H232" i="2"/>
  <c r="G232" i="2"/>
  <c r="F232" i="2"/>
  <c r="E232" i="2"/>
  <c r="S231" i="2"/>
  <c r="R231" i="2"/>
  <c r="Q231" i="2"/>
  <c r="P231" i="2"/>
  <c r="O231" i="2"/>
  <c r="N231" i="2"/>
  <c r="M231" i="2"/>
  <c r="L231" i="2"/>
  <c r="K231" i="2"/>
  <c r="I231" i="2"/>
  <c r="H231" i="2"/>
  <c r="G231" i="2"/>
  <c r="F231" i="2"/>
  <c r="E231" i="2"/>
  <c r="S230" i="2"/>
  <c r="R230" i="2"/>
  <c r="Q230" i="2"/>
  <c r="P230" i="2"/>
  <c r="O230" i="2"/>
  <c r="N230" i="2"/>
  <c r="M230" i="2"/>
  <c r="L230" i="2"/>
  <c r="K230" i="2"/>
  <c r="J230" i="2"/>
  <c r="I230" i="2"/>
  <c r="H230" i="2"/>
  <c r="G230" i="2"/>
  <c r="F230" i="2"/>
  <c r="E230" i="2"/>
  <c r="S229" i="2"/>
  <c r="R229" i="2"/>
  <c r="Q229" i="2"/>
  <c r="P229" i="2"/>
  <c r="O229" i="2"/>
  <c r="N229" i="2"/>
  <c r="M229" i="2"/>
  <c r="L229" i="2"/>
  <c r="K229" i="2"/>
  <c r="J229" i="2"/>
  <c r="I229" i="2"/>
  <c r="H229" i="2"/>
  <c r="G229" i="2"/>
  <c r="F229" i="2"/>
  <c r="E229" i="2"/>
  <c r="R228" i="2"/>
  <c r="Q228" i="2"/>
  <c r="P228" i="2"/>
  <c r="O228" i="2"/>
  <c r="N228" i="2"/>
  <c r="M228" i="2"/>
  <c r="L228" i="2"/>
  <c r="K228" i="2"/>
  <c r="J228" i="2"/>
  <c r="I228" i="2"/>
  <c r="H228" i="2"/>
  <c r="G228" i="2"/>
  <c r="F228" i="2"/>
  <c r="E228" i="2"/>
  <c r="S227" i="2"/>
  <c r="R227" i="2"/>
  <c r="Q227" i="2"/>
  <c r="P227" i="2"/>
  <c r="O227" i="2"/>
  <c r="N227" i="2"/>
  <c r="M227" i="2"/>
  <c r="L227" i="2"/>
  <c r="K227" i="2"/>
  <c r="J227" i="2"/>
  <c r="I227" i="2"/>
  <c r="H227" i="2"/>
  <c r="G227" i="2"/>
  <c r="F227" i="2"/>
  <c r="E227" i="2"/>
  <c r="R226" i="2"/>
  <c r="Q226" i="2"/>
  <c r="P226" i="2"/>
  <c r="O226" i="2"/>
  <c r="N226" i="2"/>
  <c r="M226" i="2"/>
  <c r="L226" i="2"/>
  <c r="K226" i="2"/>
  <c r="I226" i="2"/>
  <c r="H226" i="2"/>
  <c r="G226" i="2"/>
  <c r="F226" i="2"/>
  <c r="E226" i="2"/>
  <c r="S225" i="2"/>
  <c r="R225" i="2"/>
  <c r="Q225" i="2"/>
  <c r="P225" i="2"/>
  <c r="O225" i="2"/>
  <c r="N225" i="2"/>
  <c r="M225" i="2"/>
  <c r="L225" i="2"/>
  <c r="K225" i="2"/>
  <c r="I225" i="2"/>
  <c r="H225" i="2"/>
  <c r="G225" i="2"/>
  <c r="F225" i="2"/>
  <c r="E225" i="2"/>
  <c r="R224" i="2"/>
  <c r="Q224" i="2"/>
  <c r="P224" i="2"/>
  <c r="O224" i="2"/>
  <c r="N224" i="2"/>
  <c r="K224" i="2"/>
  <c r="J224" i="2"/>
  <c r="I224" i="2"/>
  <c r="H224" i="2"/>
  <c r="G224" i="2"/>
  <c r="F224" i="2"/>
  <c r="E224" i="2"/>
  <c r="R223" i="2"/>
  <c r="Q223" i="2"/>
  <c r="P223" i="2"/>
  <c r="O223" i="2"/>
  <c r="N223" i="2"/>
  <c r="L223" i="2"/>
  <c r="K223" i="2"/>
  <c r="J223" i="2"/>
  <c r="I223" i="2"/>
  <c r="H223" i="2"/>
  <c r="G223" i="2"/>
  <c r="F223" i="2"/>
  <c r="E223" i="2"/>
  <c r="R222" i="2"/>
  <c r="Q222" i="2"/>
  <c r="P222" i="2"/>
  <c r="O222" i="2"/>
  <c r="N222" i="2"/>
  <c r="K222" i="2"/>
  <c r="J222" i="2"/>
  <c r="I222" i="2"/>
  <c r="H222" i="2"/>
  <c r="G222" i="2"/>
  <c r="F222" i="2"/>
  <c r="E222" i="2"/>
  <c r="S221" i="2"/>
  <c r="R221" i="2"/>
  <c r="Q221" i="2"/>
  <c r="P221" i="2"/>
  <c r="O221" i="2"/>
  <c r="N221" i="2"/>
  <c r="M221" i="2"/>
  <c r="L221" i="2"/>
  <c r="K221" i="2"/>
  <c r="J221" i="2"/>
  <c r="I221" i="2"/>
  <c r="H221" i="2"/>
  <c r="G221" i="2"/>
  <c r="F221" i="2"/>
  <c r="E221" i="2"/>
  <c r="S220" i="2"/>
  <c r="R220" i="2"/>
  <c r="Q220" i="2"/>
  <c r="P220" i="2"/>
  <c r="O220" i="2"/>
  <c r="N220" i="2"/>
  <c r="M220" i="2"/>
  <c r="L220" i="2"/>
  <c r="K220" i="2"/>
  <c r="J220" i="2"/>
  <c r="I220" i="2"/>
  <c r="H220" i="2"/>
  <c r="G220" i="2"/>
  <c r="F220" i="2"/>
  <c r="E220" i="2"/>
  <c r="R219" i="2"/>
  <c r="Q219" i="2"/>
  <c r="P219" i="2"/>
  <c r="O219" i="2"/>
  <c r="N219" i="2"/>
  <c r="M219" i="2"/>
  <c r="L219" i="2"/>
  <c r="K219" i="2"/>
  <c r="J219" i="2"/>
  <c r="I219" i="2"/>
  <c r="H219" i="2"/>
  <c r="G219" i="2"/>
  <c r="F219" i="2"/>
  <c r="E219" i="2"/>
  <c r="S218" i="2"/>
  <c r="R218" i="2"/>
  <c r="Q218" i="2"/>
  <c r="P218" i="2"/>
  <c r="O218" i="2"/>
  <c r="N218" i="2"/>
  <c r="M218" i="2"/>
  <c r="L218" i="2"/>
  <c r="K218" i="2"/>
  <c r="J218" i="2"/>
  <c r="I218" i="2"/>
  <c r="H218" i="2"/>
  <c r="G218" i="2"/>
  <c r="F218" i="2"/>
  <c r="E218" i="2"/>
  <c r="S217" i="2"/>
  <c r="R217" i="2"/>
  <c r="Q217" i="2"/>
  <c r="P217" i="2"/>
  <c r="O217" i="2"/>
  <c r="N217" i="2"/>
  <c r="M217" i="2"/>
  <c r="L217" i="2"/>
  <c r="K217" i="2"/>
  <c r="J217" i="2"/>
  <c r="I217" i="2"/>
  <c r="H217" i="2"/>
  <c r="G217" i="2"/>
  <c r="F217" i="2"/>
  <c r="E217" i="2"/>
  <c r="S216" i="2"/>
  <c r="R216" i="2"/>
  <c r="Q216" i="2"/>
  <c r="P216" i="2"/>
  <c r="O216" i="2"/>
  <c r="N216" i="2"/>
  <c r="M216" i="2"/>
  <c r="L216" i="2"/>
  <c r="K216" i="2"/>
  <c r="J216" i="2"/>
  <c r="I216" i="2"/>
  <c r="H216" i="2"/>
  <c r="G216" i="2"/>
  <c r="F216" i="2"/>
  <c r="E216" i="2"/>
  <c r="R215" i="2"/>
  <c r="Q215" i="2"/>
  <c r="P215" i="2"/>
  <c r="O215" i="2"/>
  <c r="N215" i="2"/>
  <c r="K215" i="2"/>
  <c r="J215" i="2"/>
  <c r="I215" i="2"/>
  <c r="H215" i="2"/>
  <c r="G215" i="2"/>
  <c r="F215" i="2"/>
  <c r="E215" i="2"/>
  <c r="S214" i="2"/>
  <c r="R214" i="2"/>
  <c r="Q214" i="2"/>
  <c r="P214" i="2"/>
  <c r="O214" i="2"/>
  <c r="N214" i="2"/>
  <c r="M214" i="2"/>
  <c r="L214" i="2"/>
  <c r="K214" i="2"/>
  <c r="J214" i="2"/>
  <c r="I214" i="2"/>
  <c r="H214" i="2"/>
  <c r="G214" i="2"/>
  <c r="F214" i="2"/>
  <c r="E214" i="2"/>
  <c r="S213" i="2"/>
  <c r="R213" i="2"/>
  <c r="Q213" i="2"/>
  <c r="P213" i="2"/>
  <c r="O213" i="2"/>
  <c r="N213" i="2"/>
  <c r="M213" i="2"/>
  <c r="L213" i="2"/>
  <c r="K213" i="2"/>
  <c r="J213" i="2"/>
  <c r="I213" i="2"/>
  <c r="H213" i="2"/>
  <c r="G213" i="2"/>
  <c r="F213" i="2"/>
  <c r="E213" i="2"/>
  <c r="R212" i="2"/>
  <c r="Q212" i="2"/>
  <c r="P212" i="2"/>
  <c r="O212" i="2"/>
  <c r="N212" i="2"/>
  <c r="K212" i="2"/>
  <c r="J212" i="2"/>
  <c r="I212" i="2"/>
  <c r="H212" i="2"/>
  <c r="G212" i="2"/>
  <c r="F212" i="2"/>
  <c r="E212" i="2"/>
  <c r="S211" i="2"/>
  <c r="R211" i="2"/>
  <c r="Q211" i="2"/>
  <c r="P211" i="2"/>
  <c r="O211" i="2"/>
  <c r="N211" i="2"/>
  <c r="M211" i="2"/>
  <c r="L211" i="2"/>
  <c r="K211" i="2"/>
  <c r="J211" i="2"/>
  <c r="I211" i="2"/>
  <c r="H211" i="2"/>
  <c r="G211" i="2"/>
  <c r="F211" i="2"/>
  <c r="E211" i="2"/>
  <c r="S210" i="2"/>
  <c r="R210" i="2"/>
  <c r="Q210" i="2"/>
  <c r="P210" i="2"/>
  <c r="O210" i="2"/>
  <c r="N210" i="2"/>
  <c r="M210" i="2"/>
  <c r="L210" i="2"/>
  <c r="K210" i="2"/>
  <c r="J210" i="2"/>
  <c r="I210" i="2"/>
  <c r="H210" i="2"/>
  <c r="G210" i="2"/>
  <c r="F210" i="2"/>
  <c r="E210" i="2"/>
  <c r="R209" i="2"/>
  <c r="Q209" i="2"/>
  <c r="P209" i="2"/>
  <c r="O209" i="2"/>
  <c r="N209" i="2"/>
  <c r="M209" i="2"/>
  <c r="L209" i="2"/>
  <c r="K209" i="2"/>
  <c r="J209" i="2"/>
  <c r="I209" i="2"/>
  <c r="H209" i="2"/>
  <c r="G209" i="2"/>
  <c r="F209" i="2"/>
  <c r="E209" i="2"/>
  <c r="S208" i="2"/>
  <c r="R208" i="2"/>
  <c r="Q208" i="2"/>
  <c r="P208" i="2"/>
  <c r="O208" i="2"/>
  <c r="N208" i="2"/>
  <c r="M208" i="2"/>
  <c r="L208" i="2"/>
  <c r="K208" i="2"/>
  <c r="J208" i="2"/>
  <c r="I208" i="2"/>
  <c r="H208" i="2"/>
  <c r="G208" i="2"/>
  <c r="F208" i="2"/>
  <c r="E208" i="2"/>
  <c r="R207" i="2"/>
  <c r="Q207" i="2"/>
  <c r="P207" i="2"/>
  <c r="O207" i="2"/>
  <c r="N207" i="2"/>
  <c r="M207" i="2"/>
  <c r="L207" i="2"/>
  <c r="K207" i="2"/>
  <c r="J207" i="2"/>
  <c r="I207" i="2"/>
  <c r="H207" i="2"/>
  <c r="G207" i="2"/>
  <c r="F207" i="2"/>
  <c r="E207" i="2"/>
  <c r="S206" i="2"/>
  <c r="R206" i="2"/>
  <c r="Q206" i="2"/>
  <c r="P206" i="2"/>
  <c r="O206" i="2"/>
  <c r="N206" i="2"/>
  <c r="M206" i="2"/>
  <c r="L206" i="2"/>
  <c r="K206" i="2"/>
  <c r="J206" i="2"/>
  <c r="I206" i="2"/>
  <c r="H206" i="2"/>
  <c r="G206" i="2"/>
  <c r="F206" i="2"/>
  <c r="E206" i="2"/>
  <c r="R205" i="2"/>
  <c r="Q205" i="2"/>
  <c r="P205" i="2"/>
  <c r="O205" i="2"/>
  <c r="N205" i="2"/>
  <c r="L205" i="2"/>
  <c r="K205" i="2"/>
  <c r="J205" i="2"/>
  <c r="I205" i="2"/>
  <c r="H205" i="2"/>
  <c r="G205" i="2"/>
  <c r="F205" i="2"/>
  <c r="E205" i="2"/>
  <c r="S204" i="2"/>
  <c r="R204" i="2"/>
  <c r="Q204" i="2"/>
  <c r="P204" i="2"/>
  <c r="O204" i="2"/>
  <c r="N204" i="2"/>
  <c r="M204" i="2"/>
  <c r="L204" i="2"/>
  <c r="K204" i="2"/>
  <c r="J204" i="2"/>
  <c r="I204" i="2"/>
  <c r="H204" i="2"/>
  <c r="G204" i="2"/>
  <c r="F204" i="2"/>
  <c r="E204" i="2"/>
  <c r="R203" i="2"/>
  <c r="Q203" i="2"/>
  <c r="P203" i="2"/>
  <c r="O203" i="2"/>
  <c r="N203" i="2"/>
  <c r="M203" i="2"/>
  <c r="L203" i="2"/>
  <c r="K203" i="2"/>
  <c r="J203" i="2"/>
  <c r="I203" i="2"/>
  <c r="H203" i="2"/>
  <c r="G203" i="2"/>
  <c r="F203" i="2"/>
  <c r="E203" i="2"/>
  <c r="S202" i="2"/>
  <c r="R202" i="2"/>
  <c r="Q202" i="2"/>
  <c r="P202" i="2"/>
  <c r="O202" i="2"/>
  <c r="N202" i="2"/>
  <c r="M202" i="2"/>
  <c r="L202" i="2"/>
  <c r="K202" i="2"/>
  <c r="J202" i="2"/>
  <c r="I202" i="2"/>
  <c r="H202" i="2"/>
  <c r="G202" i="2"/>
  <c r="F202" i="2"/>
  <c r="E202" i="2"/>
  <c r="R201" i="2"/>
  <c r="Q201" i="2"/>
  <c r="P201" i="2"/>
  <c r="O201" i="2"/>
  <c r="N201" i="2"/>
  <c r="L201" i="2"/>
  <c r="K201" i="2"/>
  <c r="J201" i="2"/>
  <c r="I201" i="2"/>
  <c r="H201" i="2"/>
  <c r="G201" i="2"/>
  <c r="F201" i="2"/>
  <c r="E201" i="2"/>
  <c r="S200" i="2"/>
  <c r="R200" i="2"/>
  <c r="Q200" i="2"/>
  <c r="P200" i="2"/>
  <c r="O200" i="2"/>
  <c r="N200" i="2"/>
  <c r="M200" i="2"/>
  <c r="L200" i="2"/>
  <c r="K200" i="2"/>
  <c r="J200" i="2"/>
  <c r="I200" i="2"/>
  <c r="H200" i="2"/>
  <c r="G200" i="2"/>
  <c r="F200" i="2"/>
  <c r="E200" i="2"/>
  <c r="R199" i="2"/>
  <c r="Q199" i="2"/>
  <c r="P199" i="2"/>
  <c r="O199" i="2"/>
  <c r="N199" i="2"/>
  <c r="M199" i="2"/>
  <c r="L199" i="2"/>
  <c r="K199" i="2"/>
  <c r="J199" i="2"/>
  <c r="I199" i="2"/>
  <c r="H199" i="2"/>
  <c r="G199" i="2"/>
  <c r="F199" i="2"/>
  <c r="E199" i="2"/>
  <c r="R198" i="2"/>
  <c r="Q198" i="2"/>
  <c r="P198" i="2"/>
  <c r="O198" i="2"/>
  <c r="N198" i="2"/>
  <c r="M198" i="2"/>
  <c r="L198" i="2"/>
  <c r="K198" i="2"/>
  <c r="J198" i="2"/>
  <c r="I198" i="2"/>
  <c r="H198" i="2"/>
  <c r="G198" i="2"/>
  <c r="F198" i="2"/>
  <c r="E198" i="2"/>
  <c r="S197" i="2"/>
  <c r="R197" i="2"/>
  <c r="Q197" i="2"/>
  <c r="P197" i="2"/>
  <c r="O197" i="2"/>
  <c r="N197" i="2"/>
  <c r="M197" i="2"/>
  <c r="L197" i="2"/>
  <c r="K197" i="2"/>
  <c r="J197" i="2"/>
  <c r="I197" i="2"/>
  <c r="H197" i="2"/>
  <c r="G197" i="2"/>
  <c r="F197" i="2"/>
  <c r="E197" i="2"/>
  <c r="S196" i="2"/>
  <c r="R196" i="2"/>
  <c r="Q196" i="2"/>
  <c r="P196" i="2"/>
  <c r="O196" i="2"/>
  <c r="N196" i="2"/>
  <c r="M196" i="2"/>
  <c r="L196" i="2"/>
  <c r="K196" i="2"/>
  <c r="J196" i="2"/>
  <c r="I196" i="2"/>
  <c r="H196" i="2"/>
  <c r="G196" i="2"/>
  <c r="F196" i="2"/>
  <c r="E196" i="2"/>
  <c r="S195" i="2"/>
  <c r="R195" i="2"/>
  <c r="Q195" i="2"/>
  <c r="P195" i="2"/>
  <c r="O195" i="2"/>
  <c r="N195" i="2"/>
  <c r="M195" i="2"/>
  <c r="L195" i="2"/>
  <c r="K195" i="2"/>
  <c r="J195" i="2"/>
  <c r="I195" i="2"/>
  <c r="H195" i="2"/>
  <c r="G195" i="2"/>
  <c r="F195" i="2"/>
  <c r="E195" i="2"/>
  <c r="R194" i="2"/>
  <c r="Q194" i="2"/>
  <c r="P194" i="2"/>
  <c r="O194" i="2"/>
  <c r="N194" i="2"/>
  <c r="M194" i="2"/>
  <c r="L194" i="2"/>
  <c r="K194" i="2"/>
  <c r="J194" i="2"/>
  <c r="I194" i="2"/>
  <c r="H194" i="2"/>
  <c r="G194" i="2"/>
  <c r="F194" i="2"/>
  <c r="E194" i="2"/>
  <c r="R193" i="2"/>
  <c r="Q193" i="2"/>
  <c r="P193" i="2"/>
  <c r="O193" i="2"/>
  <c r="N193" i="2"/>
  <c r="M193" i="2"/>
  <c r="L193" i="2"/>
  <c r="K193" i="2"/>
  <c r="J193" i="2"/>
  <c r="I193" i="2"/>
  <c r="H193" i="2"/>
  <c r="G193" i="2"/>
  <c r="F193" i="2"/>
  <c r="E193" i="2"/>
  <c r="R192" i="2"/>
  <c r="Q192" i="2"/>
  <c r="P192" i="2"/>
  <c r="O192" i="2"/>
  <c r="N192" i="2"/>
  <c r="K192" i="2"/>
  <c r="J192" i="2"/>
  <c r="I192" i="2"/>
  <c r="H192" i="2"/>
  <c r="G192" i="2"/>
  <c r="F192" i="2"/>
  <c r="E192" i="2"/>
  <c r="S191" i="2"/>
  <c r="R191" i="2"/>
  <c r="Q191" i="2"/>
  <c r="P191" i="2"/>
  <c r="O191" i="2"/>
  <c r="N191" i="2"/>
  <c r="M191" i="2"/>
  <c r="L191" i="2"/>
  <c r="K191" i="2"/>
  <c r="J191" i="2"/>
  <c r="I191" i="2"/>
  <c r="H191" i="2"/>
  <c r="G191" i="2"/>
  <c r="F191" i="2"/>
  <c r="E191" i="2"/>
  <c r="R190" i="2"/>
  <c r="Q190" i="2"/>
  <c r="P190" i="2"/>
  <c r="O190" i="2"/>
  <c r="N190" i="2"/>
  <c r="K190" i="2"/>
  <c r="J190" i="2"/>
  <c r="I190" i="2"/>
  <c r="H190" i="2"/>
  <c r="G190" i="2"/>
  <c r="F190" i="2"/>
  <c r="E190" i="2"/>
  <c r="S189" i="2"/>
  <c r="R189" i="2"/>
  <c r="Q189" i="2"/>
  <c r="P189" i="2"/>
  <c r="O189" i="2"/>
  <c r="N189" i="2"/>
  <c r="M189" i="2"/>
  <c r="L189" i="2"/>
  <c r="K189" i="2"/>
  <c r="J189" i="2"/>
  <c r="I189" i="2"/>
  <c r="H189" i="2"/>
  <c r="G189" i="2"/>
  <c r="F189" i="2"/>
  <c r="E189" i="2"/>
  <c r="R188" i="2"/>
  <c r="Q188" i="2"/>
  <c r="P188" i="2"/>
  <c r="O188" i="2"/>
  <c r="N188" i="2"/>
  <c r="M188" i="2"/>
  <c r="L188" i="2"/>
  <c r="K188" i="2"/>
  <c r="J188" i="2"/>
  <c r="I188" i="2"/>
  <c r="H188" i="2"/>
  <c r="G188" i="2"/>
  <c r="F188" i="2"/>
  <c r="E188" i="2"/>
  <c r="R187" i="2"/>
  <c r="Q187" i="2"/>
  <c r="P187" i="2"/>
  <c r="O187" i="2"/>
  <c r="N187" i="2"/>
  <c r="M187" i="2"/>
  <c r="L187" i="2"/>
  <c r="K187" i="2"/>
  <c r="J187" i="2"/>
  <c r="I187" i="2"/>
  <c r="H187" i="2"/>
  <c r="G187" i="2"/>
  <c r="F187" i="2"/>
  <c r="E187" i="2"/>
  <c r="S186" i="2"/>
  <c r="R186" i="2"/>
  <c r="Q186" i="2"/>
  <c r="P186" i="2"/>
  <c r="O186" i="2"/>
  <c r="N186" i="2"/>
  <c r="M186" i="2"/>
  <c r="L186" i="2"/>
  <c r="K186" i="2"/>
  <c r="J186" i="2"/>
  <c r="I186" i="2"/>
  <c r="H186" i="2"/>
  <c r="G186" i="2"/>
  <c r="F186" i="2"/>
  <c r="E186" i="2"/>
  <c r="S185" i="2"/>
  <c r="R185" i="2"/>
  <c r="Q185" i="2"/>
  <c r="P185" i="2"/>
  <c r="O185" i="2"/>
  <c r="N185" i="2"/>
  <c r="M185" i="2"/>
  <c r="L185" i="2"/>
  <c r="K185" i="2"/>
  <c r="J185" i="2"/>
  <c r="I185" i="2"/>
  <c r="H185" i="2"/>
  <c r="G185" i="2"/>
  <c r="F185" i="2"/>
  <c r="E185" i="2"/>
  <c r="O184" i="2"/>
  <c r="N184" i="2"/>
  <c r="M184" i="2"/>
  <c r="L184" i="2"/>
  <c r="K184" i="2"/>
  <c r="J184" i="2"/>
  <c r="I184" i="2"/>
  <c r="H184" i="2"/>
  <c r="G184" i="2"/>
  <c r="F184" i="2"/>
  <c r="E184" i="2"/>
  <c r="S183" i="2"/>
  <c r="R183" i="2"/>
  <c r="Q183" i="2"/>
  <c r="P183" i="2"/>
  <c r="O183" i="2"/>
  <c r="N183" i="2"/>
  <c r="M183" i="2"/>
  <c r="L183" i="2"/>
  <c r="K183" i="2"/>
  <c r="J183" i="2"/>
  <c r="I183" i="2"/>
  <c r="H183" i="2"/>
  <c r="G183" i="2"/>
  <c r="F183" i="2"/>
  <c r="E183" i="2"/>
  <c r="S182" i="2"/>
  <c r="R182" i="2"/>
  <c r="Q182" i="2"/>
  <c r="P182" i="2"/>
  <c r="O182" i="2"/>
  <c r="N182" i="2"/>
  <c r="M182" i="2"/>
  <c r="L182" i="2"/>
  <c r="K182" i="2"/>
  <c r="J182" i="2"/>
  <c r="I182" i="2"/>
  <c r="H182" i="2"/>
  <c r="G182" i="2"/>
  <c r="F182" i="2"/>
  <c r="E182" i="2"/>
  <c r="S181" i="2"/>
  <c r="R181" i="2"/>
  <c r="Q181" i="2"/>
  <c r="P181" i="2"/>
  <c r="O181" i="2"/>
  <c r="N181" i="2"/>
  <c r="M181" i="2"/>
  <c r="L181" i="2"/>
  <c r="K181" i="2"/>
  <c r="J181" i="2"/>
  <c r="I181" i="2"/>
  <c r="H181" i="2"/>
  <c r="G181" i="2"/>
  <c r="F181" i="2"/>
  <c r="E181" i="2"/>
  <c r="S180" i="2"/>
  <c r="R180" i="2"/>
  <c r="Q180" i="2"/>
  <c r="P180" i="2"/>
  <c r="O180" i="2"/>
  <c r="N180" i="2"/>
  <c r="M180" i="2"/>
  <c r="L180" i="2"/>
  <c r="K180" i="2"/>
  <c r="J180" i="2"/>
  <c r="I180" i="2"/>
  <c r="H180" i="2"/>
  <c r="G180" i="2"/>
  <c r="F180" i="2"/>
  <c r="E180" i="2"/>
  <c r="S179" i="2"/>
  <c r="R179" i="2"/>
  <c r="Q179" i="2"/>
  <c r="P179" i="2"/>
  <c r="O179" i="2"/>
  <c r="N179" i="2"/>
  <c r="M179" i="2"/>
  <c r="L179" i="2"/>
  <c r="K179" i="2"/>
  <c r="J179" i="2"/>
  <c r="I179" i="2"/>
  <c r="H179" i="2"/>
  <c r="G179" i="2"/>
  <c r="F179" i="2"/>
  <c r="E179" i="2"/>
  <c r="R178" i="2"/>
  <c r="Q178" i="2"/>
  <c r="P178" i="2"/>
  <c r="O178" i="2"/>
  <c r="N178" i="2"/>
  <c r="K178" i="2"/>
  <c r="I178" i="2"/>
  <c r="H178" i="2"/>
  <c r="G178" i="2"/>
  <c r="F178" i="2"/>
  <c r="E178" i="2"/>
  <c r="S177" i="2"/>
  <c r="R177" i="2"/>
  <c r="Q177" i="2"/>
  <c r="P177" i="2"/>
  <c r="O177" i="2"/>
  <c r="N177" i="2"/>
  <c r="M177" i="2"/>
  <c r="L177" i="2"/>
  <c r="K177" i="2"/>
  <c r="J177" i="2"/>
  <c r="I177" i="2"/>
  <c r="H177" i="2"/>
  <c r="G177" i="2"/>
  <c r="F177" i="2"/>
  <c r="E177" i="2"/>
  <c r="S176" i="2"/>
  <c r="R176" i="2"/>
  <c r="Q176" i="2"/>
  <c r="P176" i="2"/>
  <c r="O176" i="2"/>
  <c r="N176" i="2"/>
  <c r="M176" i="2"/>
  <c r="L176" i="2"/>
  <c r="K176" i="2"/>
  <c r="J176" i="2"/>
  <c r="I176" i="2"/>
  <c r="H176" i="2"/>
  <c r="G176" i="2"/>
  <c r="F176" i="2"/>
  <c r="E176" i="2"/>
  <c r="S175" i="2"/>
  <c r="R175" i="2"/>
  <c r="Q175" i="2"/>
  <c r="P175" i="2"/>
  <c r="O175" i="2"/>
  <c r="N175" i="2"/>
  <c r="M175" i="2"/>
  <c r="L175" i="2"/>
  <c r="K175" i="2"/>
  <c r="J175" i="2"/>
  <c r="I175" i="2"/>
  <c r="H175" i="2"/>
  <c r="G175" i="2"/>
  <c r="F175" i="2"/>
  <c r="E175" i="2"/>
  <c r="S174" i="2"/>
  <c r="R174" i="2"/>
  <c r="Q174" i="2"/>
  <c r="P174" i="2"/>
  <c r="O174" i="2"/>
  <c r="N174" i="2"/>
  <c r="M174" i="2"/>
  <c r="L174" i="2"/>
  <c r="K174" i="2"/>
  <c r="J174" i="2"/>
  <c r="I174" i="2"/>
  <c r="H174" i="2"/>
  <c r="G174" i="2"/>
  <c r="F174" i="2"/>
  <c r="E174" i="2"/>
  <c r="S173" i="2"/>
  <c r="R173" i="2"/>
  <c r="Q173" i="2"/>
  <c r="P173" i="2"/>
  <c r="O173" i="2"/>
  <c r="N173" i="2"/>
  <c r="M173" i="2"/>
  <c r="L173" i="2"/>
  <c r="K173" i="2"/>
  <c r="I173" i="2"/>
  <c r="H173" i="2"/>
  <c r="G173" i="2"/>
  <c r="F173" i="2"/>
  <c r="E173" i="2"/>
  <c r="S172" i="2"/>
  <c r="R172" i="2"/>
  <c r="Q172" i="2"/>
  <c r="P172" i="2"/>
  <c r="O172" i="2"/>
  <c r="N172" i="2"/>
  <c r="M172" i="2"/>
  <c r="L172" i="2"/>
  <c r="K172" i="2"/>
  <c r="I172" i="2"/>
  <c r="H172" i="2"/>
  <c r="G172" i="2"/>
  <c r="F172" i="2"/>
  <c r="E172" i="2"/>
  <c r="S171" i="2"/>
  <c r="R171" i="2"/>
  <c r="Q171" i="2"/>
  <c r="P171" i="2"/>
  <c r="O171" i="2"/>
  <c r="N171" i="2"/>
  <c r="M171" i="2"/>
  <c r="L171" i="2"/>
  <c r="K171" i="2"/>
  <c r="J171" i="2"/>
  <c r="I171" i="2"/>
  <c r="H171" i="2"/>
  <c r="G171" i="2"/>
  <c r="F171" i="2"/>
  <c r="E171" i="2"/>
  <c r="S170" i="2"/>
  <c r="R170" i="2"/>
  <c r="Q170" i="2"/>
  <c r="P170" i="2"/>
  <c r="O170" i="2"/>
  <c r="N170" i="2"/>
  <c r="M170" i="2"/>
  <c r="L170" i="2"/>
  <c r="K170" i="2"/>
  <c r="J170" i="2"/>
  <c r="I170" i="2"/>
  <c r="H170" i="2"/>
  <c r="G170" i="2"/>
  <c r="F170" i="2"/>
  <c r="E170" i="2"/>
  <c r="R169" i="2"/>
  <c r="Q169" i="2"/>
  <c r="P169" i="2"/>
  <c r="O169" i="2"/>
  <c r="N169" i="2"/>
  <c r="K169" i="2"/>
  <c r="I169" i="2"/>
  <c r="H169" i="2"/>
  <c r="G169" i="2"/>
  <c r="F169" i="2"/>
  <c r="E169" i="2"/>
  <c r="S168" i="2"/>
  <c r="R168" i="2"/>
  <c r="Q168" i="2"/>
  <c r="P168" i="2"/>
  <c r="O168" i="2"/>
  <c r="N168" i="2"/>
  <c r="M168" i="2"/>
  <c r="L168" i="2"/>
  <c r="K168" i="2"/>
  <c r="J168" i="2"/>
  <c r="I168" i="2"/>
  <c r="H168" i="2"/>
  <c r="G168" i="2"/>
  <c r="F168" i="2"/>
  <c r="E168" i="2"/>
  <c r="S167" i="2"/>
  <c r="R167" i="2"/>
  <c r="Q167" i="2"/>
  <c r="P167" i="2"/>
  <c r="O167" i="2"/>
  <c r="N167" i="2"/>
  <c r="M167" i="2"/>
  <c r="L167" i="2"/>
  <c r="K167" i="2"/>
  <c r="I167" i="2"/>
  <c r="H167" i="2"/>
  <c r="G167" i="2"/>
  <c r="F167" i="2"/>
  <c r="E167" i="2"/>
  <c r="S166" i="2"/>
  <c r="R166" i="2"/>
  <c r="Q166" i="2"/>
  <c r="P166" i="2"/>
  <c r="O166" i="2"/>
  <c r="N166" i="2"/>
  <c r="M166" i="2"/>
  <c r="L166" i="2"/>
  <c r="K166" i="2"/>
  <c r="I166" i="2"/>
  <c r="H166" i="2"/>
  <c r="G166" i="2"/>
  <c r="F166" i="2"/>
  <c r="E166" i="2"/>
  <c r="S165" i="2"/>
  <c r="R165" i="2"/>
  <c r="Q165" i="2"/>
  <c r="P165" i="2"/>
  <c r="O165" i="2"/>
  <c r="N165" i="2"/>
  <c r="M165" i="2"/>
  <c r="L165" i="2"/>
  <c r="K165" i="2"/>
  <c r="J165" i="2"/>
  <c r="I165" i="2"/>
  <c r="H165" i="2"/>
  <c r="G165" i="2"/>
  <c r="F165" i="2"/>
  <c r="E165" i="2"/>
  <c r="S164" i="2"/>
  <c r="R164" i="2"/>
  <c r="Q164" i="2"/>
  <c r="P164" i="2"/>
  <c r="O164" i="2"/>
  <c r="N164" i="2"/>
  <c r="M164" i="2"/>
  <c r="L164" i="2"/>
  <c r="K164" i="2"/>
  <c r="J164" i="2"/>
  <c r="I164" i="2"/>
  <c r="H164" i="2"/>
  <c r="G164" i="2"/>
  <c r="F164" i="2"/>
  <c r="E164" i="2"/>
  <c r="S163" i="2"/>
  <c r="R163" i="2"/>
  <c r="Q163" i="2"/>
  <c r="P163" i="2"/>
  <c r="O163" i="2"/>
  <c r="N163" i="2"/>
  <c r="M163" i="2"/>
  <c r="L163" i="2"/>
  <c r="K163" i="2"/>
  <c r="J163" i="2"/>
  <c r="I163" i="2"/>
  <c r="H163" i="2"/>
  <c r="G163" i="2"/>
  <c r="F163" i="2"/>
  <c r="E163" i="2"/>
  <c r="S162" i="2"/>
  <c r="R162" i="2"/>
  <c r="Q162" i="2"/>
  <c r="P162" i="2"/>
  <c r="O162" i="2"/>
  <c r="N162" i="2"/>
  <c r="M162" i="2"/>
  <c r="L162" i="2"/>
  <c r="K162" i="2"/>
  <c r="I162" i="2"/>
  <c r="H162" i="2"/>
  <c r="G162" i="2"/>
  <c r="F162" i="2"/>
  <c r="E162" i="2"/>
  <c r="R161" i="2"/>
  <c r="Q161" i="2"/>
  <c r="P161" i="2"/>
  <c r="O161" i="2"/>
  <c r="N161" i="2"/>
  <c r="K161" i="2"/>
  <c r="J161" i="2"/>
  <c r="I161" i="2"/>
  <c r="H161" i="2"/>
  <c r="G161" i="2"/>
  <c r="F161" i="2"/>
  <c r="E161" i="2"/>
  <c r="R160" i="2"/>
  <c r="Q160" i="2"/>
  <c r="P160" i="2"/>
  <c r="O160" i="2"/>
  <c r="N160" i="2"/>
  <c r="K160" i="2"/>
  <c r="I160" i="2"/>
  <c r="H160" i="2"/>
  <c r="G160" i="2"/>
  <c r="F160" i="2"/>
  <c r="E160" i="2"/>
  <c r="S159" i="2"/>
  <c r="R159" i="2"/>
  <c r="Q159" i="2"/>
  <c r="P159" i="2"/>
  <c r="O159" i="2"/>
  <c r="N159" i="2"/>
  <c r="M159" i="2"/>
  <c r="L159" i="2"/>
  <c r="K159" i="2"/>
  <c r="I159" i="2"/>
  <c r="H159" i="2"/>
  <c r="G159" i="2"/>
  <c r="F159" i="2"/>
  <c r="E159" i="2"/>
  <c r="S158" i="2"/>
  <c r="R158" i="2"/>
  <c r="Q158" i="2"/>
  <c r="P158" i="2"/>
  <c r="O158" i="2"/>
  <c r="N158" i="2"/>
  <c r="M158" i="2"/>
  <c r="L158" i="2"/>
  <c r="K158" i="2"/>
  <c r="J158" i="2"/>
  <c r="I158" i="2"/>
  <c r="H158" i="2"/>
  <c r="G158" i="2"/>
  <c r="F158" i="2"/>
  <c r="E158" i="2"/>
  <c r="S157" i="2"/>
  <c r="R157" i="2"/>
  <c r="Q157" i="2"/>
  <c r="P157" i="2"/>
  <c r="O157" i="2"/>
  <c r="N157" i="2"/>
  <c r="M157" i="2"/>
  <c r="L157" i="2"/>
  <c r="K157" i="2"/>
  <c r="I157" i="2"/>
  <c r="H157" i="2"/>
  <c r="G157" i="2"/>
  <c r="F157" i="2"/>
  <c r="E157" i="2"/>
  <c r="S156" i="2"/>
  <c r="R156" i="2"/>
  <c r="Q156" i="2"/>
  <c r="P156" i="2"/>
  <c r="O156" i="2"/>
  <c r="N156" i="2"/>
  <c r="M156" i="2"/>
  <c r="L156" i="2"/>
  <c r="K156" i="2"/>
  <c r="J156" i="2"/>
  <c r="I156" i="2"/>
  <c r="H156" i="2"/>
  <c r="G156" i="2"/>
  <c r="F156" i="2"/>
  <c r="E156" i="2"/>
  <c r="S155" i="2"/>
  <c r="R155" i="2"/>
  <c r="Q155" i="2"/>
  <c r="P155" i="2"/>
  <c r="O155" i="2"/>
  <c r="N155" i="2"/>
  <c r="M155" i="2"/>
  <c r="L155" i="2"/>
  <c r="K155" i="2"/>
  <c r="I155" i="2"/>
  <c r="H155" i="2"/>
  <c r="G155" i="2"/>
  <c r="F155" i="2"/>
  <c r="E155" i="2"/>
  <c r="S154" i="2"/>
  <c r="R154" i="2"/>
  <c r="Q154" i="2"/>
  <c r="P154" i="2"/>
  <c r="O154" i="2"/>
  <c r="N154" i="2"/>
  <c r="M154" i="2"/>
  <c r="L154" i="2"/>
  <c r="K154" i="2"/>
  <c r="J154" i="2"/>
  <c r="I154" i="2"/>
  <c r="H154" i="2"/>
  <c r="G154" i="2"/>
  <c r="F154" i="2"/>
  <c r="E154" i="2"/>
  <c r="O153" i="2"/>
  <c r="N153" i="2"/>
  <c r="M153" i="2"/>
  <c r="L153" i="2"/>
  <c r="K153" i="2"/>
  <c r="J153" i="2"/>
  <c r="I153" i="2"/>
  <c r="H153" i="2"/>
  <c r="G153" i="2"/>
  <c r="F153" i="2"/>
  <c r="E153" i="2"/>
  <c r="S152" i="2"/>
  <c r="R152" i="2"/>
  <c r="Q152" i="2"/>
  <c r="P152" i="2"/>
  <c r="O152" i="2"/>
  <c r="N152" i="2"/>
  <c r="M152" i="2"/>
  <c r="L152" i="2"/>
  <c r="K152" i="2"/>
  <c r="I152" i="2"/>
  <c r="H152" i="2"/>
  <c r="G152" i="2"/>
  <c r="F152" i="2"/>
  <c r="E152" i="2"/>
  <c r="R151" i="2"/>
  <c r="Q151" i="2"/>
  <c r="P151" i="2"/>
  <c r="O151" i="2"/>
  <c r="N151" i="2"/>
  <c r="K151" i="2"/>
  <c r="I151" i="2"/>
  <c r="H151" i="2"/>
  <c r="G151" i="2"/>
  <c r="F151" i="2"/>
  <c r="E151" i="2"/>
  <c r="R150" i="2"/>
  <c r="Q150" i="2"/>
  <c r="P150" i="2"/>
  <c r="O150" i="2"/>
  <c r="N150" i="2"/>
  <c r="K150" i="2"/>
  <c r="J150" i="2"/>
  <c r="I150" i="2"/>
  <c r="H150" i="2"/>
  <c r="G150" i="2"/>
  <c r="F150" i="2"/>
  <c r="E150" i="2"/>
  <c r="R149" i="2"/>
  <c r="Q149" i="2"/>
  <c r="P149" i="2"/>
  <c r="O149" i="2"/>
  <c r="N149" i="2"/>
  <c r="K149" i="2"/>
  <c r="J149" i="2"/>
  <c r="I149" i="2"/>
  <c r="H149" i="2"/>
  <c r="G149" i="2"/>
  <c r="F149" i="2"/>
  <c r="E149" i="2"/>
  <c r="R148" i="2"/>
  <c r="Q148" i="2"/>
  <c r="P148" i="2"/>
  <c r="O148" i="2"/>
  <c r="N148" i="2"/>
  <c r="K148" i="2"/>
  <c r="I148" i="2"/>
  <c r="H148" i="2"/>
  <c r="G148" i="2"/>
  <c r="F148" i="2"/>
  <c r="E148" i="2"/>
  <c r="S147" i="2"/>
  <c r="R147" i="2"/>
  <c r="Q147" i="2"/>
  <c r="P147" i="2"/>
  <c r="O147" i="2"/>
  <c r="N147" i="2"/>
  <c r="M147" i="2"/>
  <c r="L147" i="2"/>
  <c r="K147" i="2"/>
  <c r="I147" i="2"/>
  <c r="H147" i="2"/>
  <c r="G147" i="2"/>
  <c r="F147" i="2"/>
  <c r="E147" i="2"/>
  <c r="S146" i="2"/>
  <c r="R146" i="2"/>
  <c r="Q146" i="2"/>
  <c r="P146" i="2"/>
  <c r="O146" i="2"/>
  <c r="N146" i="2"/>
  <c r="M146" i="2"/>
  <c r="L146" i="2"/>
  <c r="K146" i="2"/>
  <c r="J146" i="2"/>
  <c r="I146" i="2"/>
  <c r="H146" i="2"/>
  <c r="G146" i="2"/>
  <c r="F146" i="2"/>
  <c r="E146" i="2"/>
  <c r="S145" i="2"/>
  <c r="R145" i="2"/>
  <c r="Q145" i="2"/>
  <c r="P145" i="2"/>
  <c r="O145" i="2"/>
  <c r="N145" i="2"/>
  <c r="M145" i="2"/>
  <c r="L145" i="2"/>
  <c r="K145" i="2"/>
  <c r="I145" i="2"/>
  <c r="H145" i="2"/>
  <c r="G145" i="2"/>
  <c r="F145" i="2"/>
  <c r="E145" i="2"/>
  <c r="S144" i="2"/>
  <c r="R144" i="2"/>
  <c r="Q144" i="2"/>
  <c r="P144" i="2"/>
  <c r="O144" i="2"/>
  <c r="N144" i="2"/>
  <c r="M144" i="2"/>
  <c r="L144" i="2"/>
  <c r="K144" i="2"/>
  <c r="I144" i="2"/>
  <c r="H144" i="2"/>
  <c r="G144" i="2"/>
  <c r="F144" i="2"/>
  <c r="E144" i="2"/>
  <c r="S143" i="2"/>
  <c r="R143" i="2"/>
  <c r="Q143" i="2"/>
  <c r="P143" i="2"/>
  <c r="O143" i="2"/>
  <c r="N143" i="2"/>
  <c r="L143" i="2"/>
  <c r="K143" i="2"/>
  <c r="J143" i="2"/>
  <c r="I143" i="2"/>
  <c r="H143" i="2"/>
  <c r="G143" i="2"/>
  <c r="F143" i="2"/>
  <c r="E143" i="2"/>
  <c r="S142" i="2"/>
  <c r="R142" i="2"/>
  <c r="Q142" i="2"/>
  <c r="P142" i="2"/>
  <c r="O142" i="2"/>
  <c r="N142" i="2"/>
  <c r="L142" i="2"/>
  <c r="K142" i="2"/>
  <c r="J142" i="2"/>
  <c r="I142" i="2"/>
  <c r="H142" i="2"/>
  <c r="G142" i="2"/>
  <c r="F142" i="2"/>
  <c r="E142" i="2"/>
  <c r="R141" i="2"/>
  <c r="Q141" i="2"/>
  <c r="P141" i="2"/>
  <c r="O141" i="2"/>
  <c r="N141" i="2"/>
  <c r="M141" i="2"/>
  <c r="L141" i="2"/>
  <c r="K141" i="2"/>
  <c r="J141" i="2"/>
  <c r="I141" i="2"/>
  <c r="H141" i="2"/>
  <c r="G141" i="2"/>
  <c r="F141" i="2"/>
  <c r="E141" i="2"/>
  <c r="S140" i="2"/>
  <c r="R140" i="2"/>
  <c r="Q140" i="2"/>
  <c r="P140" i="2"/>
  <c r="O140" i="2"/>
  <c r="N140" i="2"/>
  <c r="M140" i="2"/>
  <c r="L140" i="2"/>
  <c r="K140" i="2"/>
  <c r="J140" i="2"/>
  <c r="I140" i="2"/>
  <c r="H140" i="2"/>
  <c r="G140" i="2"/>
  <c r="F140" i="2"/>
  <c r="E140" i="2"/>
  <c r="S139" i="2"/>
  <c r="R139" i="2"/>
  <c r="Q139" i="2"/>
  <c r="P139" i="2"/>
  <c r="O139" i="2"/>
  <c r="N139" i="2"/>
  <c r="M139" i="2"/>
  <c r="L139" i="2"/>
  <c r="K139" i="2"/>
  <c r="J139" i="2"/>
  <c r="I139" i="2"/>
  <c r="H139" i="2"/>
  <c r="G139" i="2"/>
  <c r="F139" i="2"/>
  <c r="E139" i="2"/>
  <c r="S138" i="2"/>
  <c r="R138" i="2"/>
  <c r="Q138" i="2"/>
  <c r="P138" i="2"/>
  <c r="O138" i="2"/>
  <c r="N138" i="2"/>
  <c r="M138" i="2"/>
  <c r="L138" i="2"/>
  <c r="K138" i="2"/>
  <c r="J138" i="2"/>
  <c r="I138" i="2"/>
  <c r="H138" i="2"/>
  <c r="G138" i="2"/>
  <c r="F138" i="2"/>
  <c r="E138" i="2"/>
  <c r="S137" i="2"/>
  <c r="R137" i="2"/>
  <c r="Q137" i="2"/>
  <c r="P137" i="2"/>
  <c r="O137" i="2"/>
  <c r="N137" i="2"/>
  <c r="M137" i="2"/>
  <c r="L137" i="2"/>
  <c r="K137" i="2"/>
  <c r="J137" i="2"/>
  <c r="I137" i="2"/>
  <c r="H137" i="2"/>
  <c r="G137" i="2"/>
  <c r="F137" i="2"/>
  <c r="E137" i="2"/>
  <c r="S136" i="2"/>
  <c r="R136" i="2"/>
  <c r="Q136" i="2"/>
  <c r="P136" i="2"/>
  <c r="O136" i="2"/>
  <c r="N136" i="2"/>
  <c r="M136" i="2"/>
  <c r="L136" i="2"/>
  <c r="K136" i="2"/>
  <c r="I136" i="2"/>
  <c r="H136" i="2"/>
  <c r="G136" i="2"/>
  <c r="F136" i="2"/>
  <c r="E136" i="2"/>
  <c r="S135" i="2"/>
  <c r="R135" i="2"/>
  <c r="Q135" i="2"/>
  <c r="P135" i="2"/>
  <c r="O135" i="2"/>
  <c r="N135" i="2"/>
  <c r="M135" i="2"/>
  <c r="L135" i="2"/>
  <c r="K135" i="2"/>
  <c r="J135" i="2"/>
  <c r="I135" i="2"/>
  <c r="H135" i="2"/>
  <c r="G135" i="2"/>
  <c r="F135" i="2"/>
  <c r="E135" i="2"/>
  <c r="S134" i="2"/>
  <c r="R134" i="2"/>
  <c r="Q134" i="2"/>
  <c r="P134" i="2"/>
  <c r="O134" i="2"/>
  <c r="N134" i="2"/>
  <c r="M134" i="2"/>
  <c r="L134" i="2"/>
  <c r="K134" i="2"/>
  <c r="I134" i="2"/>
  <c r="H134" i="2"/>
  <c r="G134" i="2"/>
  <c r="F134" i="2"/>
  <c r="E134" i="2"/>
  <c r="S133" i="2"/>
  <c r="R133" i="2"/>
  <c r="Q133" i="2"/>
  <c r="P133" i="2"/>
  <c r="O133" i="2"/>
  <c r="N133" i="2"/>
  <c r="M133" i="2"/>
  <c r="L133" i="2"/>
  <c r="K133" i="2"/>
  <c r="J133" i="2"/>
  <c r="I133" i="2"/>
  <c r="H133" i="2"/>
  <c r="G133" i="2"/>
  <c r="F133" i="2"/>
  <c r="E133" i="2"/>
  <c r="S132" i="2"/>
  <c r="R132" i="2"/>
  <c r="Q132" i="2"/>
  <c r="P132" i="2"/>
  <c r="O132" i="2"/>
  <c r="N132" i="2"/>
  <c r="M132" i="2"/>
  <c r="L132" i="2"/>
  <c r="K132" i="2"/>
  <c r="J132" i="2"/>
  <c r="I132" i="2"/>
  <c r="H132" i="2"/>
  <c r="G132" i="2"/>
  <c r="F132" i="2"/>
  <c r="E132" i="2"/>
  <c r="S131" i="2"/>
  <c r="R131" i="2"/>
  <c r="Q131" i="2"/>
  <c r="P131" i="2"/>
  <c r="O131" i="2"/>
  <c r="N131" i="2"/>
  <c r="M131" i="2"/>
  <c r="L131" i="2"/>
  <c r="K131" i="2"/>
  <c r="I131" i="2"/>
  <c r="H131" i="2"/>
  <c r="G131" i="2"/>
  <c r="F131" i="2"/>
  <c r="E131" i="2"/>
  <c r="S130" i="2"/>
  <c r="R130" i="2"/>
  <c r="Q130" i="2"/>
  <c r="P130" i="2"/>
  <c r="O130" i="2"/>
  <c r="N130" i="2"/>
  <c r="M130" i="2"/>
  <c r="L130" i="2"/>
  <c r="K130" i="2"/>
  <c r="J130" i="2"/>
  <c r="I130" i="2"/>
  <c r="H130" i="2"/>
  <c r="G130" i="2"/>
  <c r="F130" i="2"/>
  <c r="E130" i="2"/>
  <c r="R129" i="2"/>
  <c r="Q129" i="2"/>
  <c r="P129" i="2"/>
  <c r="O129" i="2"/>
  <c r="N129" i="2"/>
  <c r="K129" i="2"/>
  <c r="J129" i="2"/>
  <c r="I129" i="2"/>
  <c r="H129" i="2"/>
  <c r="G129" i="2"/>
  <c r="F129" i="2"/>
  <c r="E129" i="2"/>
  <c r="S128" i="2"/>
  <c r="R128" i="2"/>
  <c r="Q128" i="2"/>
  <c r="P128" i="2"/>
  <c r="O128" i="2"/>
  <c r="N128" i="2"/>
  <c r="M128" i="2"/>
  <c r="L128" i="2"/>
  <c r="K128" i="2"/>
  <c r="J128" i="2"/>
  <c r="I128" i="2"/>
  <c r="H128" i="2"/>
  <c r="G128" i="2"/>
  <c r="F128" i="2"/>
  <c r="E128" i="2"/>
  <c r="S127" i="2"/>
  <c r="R127" i="2"/>
  <c r="Q127" i="2"/>
  <c r="P127" i="2"/>
  <c r="O127" i="2"/>
  <c r="N127" i="2"/>
  <c r="M127" i="2"/>
  <c r="L127" i="2"/>
  <c r="K127" i="2"/>
  <c r="J127" i="2"/>
  <c r="I127" i="2"/>
  <c r="H127" i="2"/>
  <c r="G127" i="2"/>
  <c r="F127" i="2"/>
  <c r="E127" i="2"/>
  <c r="R126" i="2"/>
  <c r="Q126" i="2"/>
  <c r="P126" i="2"/>
  <c r="O126" i="2"/>
  <c r="N126" i="2"/>
  <c r="K126" i="2"/>
  <c r="I126" i="2"/>
  <c r="H126" i="2"/>
  <c r="G126" i="2"/>
  <c r="F126" i="2"/>
  <c r="E126" i="2"/>
  <c r="S125" i="2"/>
  <c r="R125" i="2"/>
  <c r="Q125" i="2"/>
  <c r="P125" i="2"/>
  <c r="O125" i="2"/>
  <c r="N125" i="2"/>
  <c r="M125" i="2"/>
  <c r="L125" i="2"/>
  <c r="K125" i="2"/>
  <c r="I125" i="2"/>
  <c r="H125" i="2"/>
  <c r="G125" i="2"/>
  <c r="F125" i="2"/>
  <c r="E125" i="2"/>
  <c r="R124" i="2"/>
  <c r="Q124" i="2"/>
  <c r="P124" i="2"/>
  <c r="O124" i="2"/>
  <c r="N124" i="2"/>
  <c r="M124" i="2"/>
  <c r="L124" i="2"/>
  <c r="K124" i="2"/>
  <c r="J124" i="2"/>
  <c r="I124" i="2"/>
  <c r="H124" i="2"/>
  <c r="G124" i="2"/>
  <c r="F124" i="2"/>
  <c r="E124" i="2"/>
  <c r="S123" i="2"/>
  <c r="R123" i="2"/>
  <c r="Q123" i="2"/>
  <c r="P123" i="2"/>
  <c r="O123" i="2"/>
  <c r="N123" i="2"/>
  <c r="M123" i="2"/>
  <c r="L123" i="2"/>
  <c r="K123" i="2"/>
  <c r="J123" i="2"/>
  <c r="I123" i="2"/>
  <c r="H123" i="2"/>
  <c r="G123" i="2"/>
  <c r="F123" i="2"/>
  <c r="E123" i="2"/>
  <c r="S122" i="2"/>
  <c r="R122" i="2"/>
  <c r="Q122" i="2"/>
  <c r="P122" i="2"/>
  <c r="O122" i="2"/>
  <c r="N122" i="2"/>
  <c r="M122" i="2"/>
  <c r="L122" i="2"/>
  <c r="K122" i="2"/>
  <c r="I122" i="2"/>
  <c r="H122" i="2"/>
  <c r="G122" i="2"/>
  <c r="F122" i="2"/>
  <c r="E122" i="2"/>
  <c r="R121" i="2"/>
  <c r="Q121" i="2"/>
  <c r="P121" i="2"/>
  <c r="O121" i="2"/>
  <c r="N121" i="2"/>
  <c r="L121" i="2"/>
  <c r="K121" i="2"/>
  <c r="J121" i="2"/>
  <c r="I121" i="2"/>
  <c r="H121" i="2"/>
  <c r="G121" i="2"/>
  <c r="F121" i="2"/>
  <c r="E121" i="2"/>
  <c r="R120" i="2"/>
  <c r="Q120" i="2"/>
  <c r="P120" i="2"/>
  <c r="O120" i="2"/>
  <c r="N120" i="2"/>
  <c r="L120" i="2"/>
  <c r="K120" i="2"/>
  <c r="J120" i="2"/>
  <c r="I120" i="2"/>
  <c r="H120" i="2"/>
  <c r="G120" i="2"/>
  <c r="F120" i="2"/>
  <c r="E120" i="2"/>
  <c r="R119" i="2"/>
  <c r="Q119" i="2"/>
  <c r="P119" i="2"/>
  <c r="O119" i="2"/>
  <c r="N119" i="2"/>
  <c r="L119" i="2"/>
  <c r="K119" i="2"/>
  <c r="J119" i="2"/>
  <c r="I119" i="2"/>
  <c r="H119" i="2"/>
  <c r="G119" i="2"/>
  <c r="F119" i="2"/>
  <c r="E119" i="2"/>
  <c r="R118" i="2"/>
  <c r="Q118" i="2"/>
  <c r="P118" i="2"/>
  <c r="O118" i="2"/>
  <c r="N118" i="2"/>
  <c r="M118" i="2"/>
  <c r="L118" i="2"/>
  <c r="K118" i="2"/>
  <c r="J118" i="2"/>
  <c r="I118" i="2"/>
  <c r="H118" i="2"/>
  <c r="G118" i="2"/>
  <c r="F118" i="2"/>
  <c r="E118" i="2"/>
  <c r="R117" i="2"/>
  <c r="Q117" i="2"/>
  <c r="P117" i="2"/>
  <c r="O117" i="2"/>
  <c r="N117" i="2"/>
  <c r="M117" i="2"/>
  <c r="L117" i="2"/>
  <c r="K117" i="2"/>
  <c r="J117" i="2"/>
  <c r="I117" i="2"/>
  <c r="H117" i="2"/>
  <c r="G117" i="2"/>
  <c r="F117" i="2"/>
  <c r="E117" i="2"/>
  <c r="S116" i="2"/>
  <c r="R116" i="2"/>
  <c r="Q116" i="2"/>
  <c r="P116" i="2"/>
  <c r="O116" i="2"/>
  <c r="N116" i="2"/>
  <c r="M116" i="2"/>
  <c r="L116" i="2"/>
  <c r="K116" i="2"/>
  <c r="I116" i="2"/>
  <c r="H116" i="2"/>
  <c r="G116" i="2"/>
  <c r="F116" i="2"/>
  <c r="E116" i="2"/>
  <c r="S115" i="2"/>
  <c r="R115" i="2"/>
  <c r="Q115" i="2"/>
  <c r="P115" i="2"/>
  <c r="O115" i="2"/>
  <c r="N115" i="2"/>
  <c r="M115" i="2"/>
  <c r="L115" i="2"/>
  <c r="K115" i="2"/>
  <c r="J115" i="2"/>
  <c r="I115" i="2"/>
  <c r="H115" i="2"/>
  <c r="G115" i="2"/>
  <c r="F115" i="2"/>
  <c r="E115" i="2"/>
  <c r="S114" i="2"/>
  <c r="R114" i="2"/>
  <c r="Q114" i="2"/>
  <c r="P114" i="2"/>
  <c r="O114" i="2"/>
  <c r="N114" i="2"/>
  <c r="M114" i="2"/>
  <c r="L114" i="2"/>
  <c r="K114" i="2"/>
  <c r="J114" i="2"/>
  <c r="I114" i="2"/>
  <c r="H114" i="2"/>
  <c r="G114" i="2"/>
  <c r="F114" i="2"/>
  <c r="E114" i="2"/>
  <c r="S113" i="2"/>
  <c r="R113" i="2"/>
  <c r="Q113" i="2"/>
  <c r="P113" i="2"/>
  <c r="O113" i="2"/>
  <c r="N113" i="2"/>
  <c r="M113" i="2"/>
  <c r="L113" i="2"/>
  <c r="K113" i="2"/>
  <c r="J113" i="2"/>
  <c r="I113" i="2"/>
  <c r="H113" i="2"/>
  <c r="G113" i="2"/>
  <c r="F113" i="2"/>
  <c r="E113" i="2"/>
  <c r="S112" i="2"/>
  <c r="R112" i="2"/>
  <c r="Q112" i="2"/>
  <c r="P112" i="2"/>
  <c r="O112" i="2"/>
  <c r="N112" i="2"/>
  <c r="M112" i="2"/>
  <c r="L112" i="2"/>
  <c r="K112" i="2"/>
  <c r="J112" i="2"/>
  <c r="I112" i="2"/>
  <c r="H112" i="2"/>
  <c r="G112" i="2"/>
  <c r="F112" i="2"/>
  <c r="E112" i="2"/>
  <c r="R111" i="2"/>
  <c r="Q111" i="2"/>
  <c r="P111" i="2"/>
  <c r="O111" i="2"/>
  <c r="N111" i="2"/>
  <c r="M111" i="2"/>
  <c r="L111" i="2"/>
  <c r="K111" i="2"/>
  <c r="J111" i="2"/>
  <c r="I111" i="2"/>
  <c r="H111" i="2"/>
  <c r="G111" i="2"/>
  <c r="F111" i="2"/>
  <c r="E111" i="2"/>
  <c r="R110" i="2"/>
  <c r="Q110" i="2"/>
  <c r="P110" i="2"/>
  <c r="O110" i="2"/>
  <c r="N110" i="2"/>
  <c r="M110" i="2"/>
  <c r="L110" i="2"/>
  <c r="K110" i="2"/>
  <c r="J110" i="2"/>
  <c r="I110" i="2"/>
  <c r="H110" i="2"/>
  <c r="G110" i="2"/>
  <c r="F110" i="2"/>
  <c r="E110" i="2"/>
  <c r="S109" i="2"/>
  <c r="R109" i="2"/>
  <c r="Q109" i="2"/>
  <c r="P109" i="2"/>
  <c r="O109" i="2"/>
  <c r="N109" i="2"/>
  <c r="M109" i="2"/>
  <c r="L109" i="2"/>
  <c r="K109" i="2"/>
  <c r="J109" i="2"/>
  <c r="I109" i="2"/>
  <c r="H109" i="2"/>
  <c r="G109" i="2"/>
  <c r="F109" i="2"/>
  <c r="E109" i="2"/>
  <c r="R108" i="2"/>
  <c r="Q108" i="2"/>
  <c r="P108" i="2"/>
  <c r="O108" i="2"/>
  <c r="N108" i="2"/>
  <c r="M108" i="2"/>
  <c r="L108" i="2"/>
  <c r="K108" i="2"/>
  <c r="J108" i="2"/>
  <c r="I108" i="2"/>
  <c r="H108" i="2"/>
  <c r="G108" i="2"/>
  <c r="F108" i="2"/>
  <c r="E108" i="2"/>
  <c r="S107" i="2"/>
  <c r="R107" i="2"/>
  <c r="Q107" i="2"/>
  <c r="P107" i="2"/>
  <c r="O107" i="2"/>
  <c r="N107" i="2"/>
  <c r="M107" i="2"/>
  <c r="L107" i="2"/>
  <c r="K107" i="2"/>
  <c r="I107" i="2"/>
  <c r="H107" i="2"/>
  <c r="G107" i="2"/>
  <c r="F107" i="2"/>
  <c r="E107" i="2"/>
  <c r="S106" i="2"/>
  <c r="R106" i="2"/>
  <c r="Q106" i="2"/>
  <c r="P106" i="2"/>
  <c r="O106" i="2"/>
  <c r="N106" i="2"/>
  <c r="M106" i="2"/>
  <c r="L106" i="2"/>
  <c r="K106" i="2"/>
  <c r="J106" i="2"/>
  <c r="I106" i="2"/>
  <c r="H106" i="2"/>
  <c r="G106" i="2"/>
  <c r="F106" i="2"/>
  <c r="E106" i="2"/>
  <c r="R105" i="2"/>
  <c r="Q105" i="2"/>
  <c r="P105" i="2"/>
  <c r="O105" i="2"/>
  <c r="N105" i="2"/>
  <c r="M105" i="2"/>
  <c r="L105" i="2"/>
  <c r="K105" i="2"/>
  <c r="I105" i="2"/>
  <c r="H105" i="2"/>
  <c r="G105" i="2"/>
  <c r="F105" i="2"/>
  <c r="E105" i="2"/>
  <c r="S104" i="2"/>
  <c r="R104" i="2"/>
  <c r="Q104" i="2"/>
  <c r="P104" i="2"/>
  <c r="O104" i="2"/>
  <c r="N104" i="2"/>
  <c r="M104" i="2"/>
  <c r="L104" i="2"/>
  <c r="K104" i="2"/>
  <c r="J104" i="2"/>
  <c r="I104" i="2"/>
  <c r="H104" i="2"/>
  <c r="G104" i="2"/>
  <c r="F104" i="2"/>
  <c r="E104" i="2"/>
  <c r="S103" i="2"/>
  <c r="R103" i="2"/>
  <c r="Q103" i="2"/>
  <c r="P103" i="2"/>
  <c r="O103" i="2"/>
  <c r="N103" i="2"/>
  <c r="M103" i="2"/>
  <c r="L103" i="2"/>
  <c r="K103" i="2"/>
  <c r="J103" i="2"/>
  <c r="I103" i="2"/>
  <c r="H103" i="2"/>
  <c r="G103" i="2"/>
  <c r="F103" i="2"/>
  <c r="E103" i="2"/>
  <c r="S102" i="2"/>
  <c r="R102" i="2"/>
  <c r="Q102" i="2"/>
  <c r="P102" i="2"/>
  <c r="O102" i="2"/>
  <c r="N102" i="2"/>
  <c r="M102" i="2"/>
  <c r="L102" i="2"/>
  <c r="K102" i="2"/>
  <c r="J102" i="2"/>
  <c r="I102" i="2"/>
  <c r="H102" i="2"/>
  <c r="G102" i="2"/>
  <c r="F102" i="2"/>
  <c r="E102" i="2"/>
  <c r="S101" i="2"/>
  <c r="R101" i="2"/>
  <c r="Q101" i="2"/>
  <c r="P101" i="2"/>
  <c r="O101" i="2"/>
  <c r="N101" i="2"/>
  <c r="M101" i="2"/>
  <c r="L101" i="2"/>
  <c r="K101" i="2"/>
  <c r="I101" i="2"/>
  <c r="H101" i="2"/>
  <c r="G101" i="2"/>
  <c r="F101" i="2"/>
  <c r="E101" i="2"/>
  <c r="S100" i="2"/>
  <c r="R100" i="2"/>
  <c r="Q100" i="2"/>
  <c r="P100" i="2"/>
  <c r="O100" i="2"/>
  <c r="N100" i="2"/>
  <c r="M100" i="2"/>
  <c r="L100" i="2"/>
  <c r="K100" i="2"/>
  <c r="J100" i="2"/>
  <c r="I100" i="2"/>
  <c r="H100" i="2"/>
  <c r="G100" i="2"/>
  <c r="F100" i="2"/>
  <c r="E100" i="2"/>
  <c r="S99" i="2"/>
  <c r="R99" i="2"/>
  <c r="Q99" i="2"/>
  <c r="P99" i="2"/>
  <c r="O99" i="2"/>
  <c r="N99" i="2"/>
  <c r="M99" i="2"/>
  <c r="L99" i="2"/>
  <c r="K99" i="2"/>
  <c r="J99" i="2"/>
  <c r="I99" i="2"/>
  <c r="H99" i="2"/>
  <c r="G99" i="2"/>
  <c r="F99" i="2"/>
  <c r="E99" i="2"/>
  <c r="R98" i="2"/>
  <c r="Q98" i="2"/>
  <c r="P98" i="2"/>
  <c r="O98" i="2"/>
  <c r="N98" i="2"/>
  <c r="M98" i="2"/>
  <c r="L98" i="2"/>
  <c r="K98" i="2"/>
  <c r="I98" i="2"/>
  <c r="H98" i="2"/>
  <c r="G98" i="2"/>
  <c r="F98" i="2"/>
  <c r="E98" i="2"/>
  <c r="S97" i="2"/>
  <c r="R97" i="2"/>
  <c r="Q97" i="2"/>
  <c r="P97" i="2"/>
  <c r="O97" i="2"/>
  <c r="N97" i="2"/>
  <c r="M97" i="2"/>
  <c r="L97" i="2"/>
  <c r="K97" i="2"/>
  <c r="J97" i="2"/>
  <c r="I97" i="2"/>
  <c r="H97" i="2"/>
  <c r="G97" i="2"/>
  <c r="F97" i="2"/>
  <c r="E97" i="2"/>
  <c r="R96" i="2"/>
  <c r="Q96" i="2"/>
  <c r="P96" i="2"/>
  <c r="O96" i="2"/>
  <c r="N96" i="2"/>
  <c r="M96" i="2"/>
  <c r="L96" i="2"/>
  <c r="K96" i="2"/>
  <c r="J96" i="2"/>
  <c r="I96" i="2"/>
  <c r="H96" i="2"/>
  <c r="G96" i="2"/>
  <c r="F96" i="2"/>
  <c r="E96" i="2"/>
  <c r="R95" i="2"/>
  <c r="Q95" i="2"/>
  <c r="P95" i="2"/>
  <c r="O95" i="2"/>
  <c r="N95" i="2"/>
  <c r="M95" i="2"/>
  <c r="L95" i="2"/>
  <c r="K95" i="2"/>
  <c r="J95" i="2"/>
  <c r="I95" i="2"/>
  <c r="H95" i="2"/>
  <c r="G95" i="2"/>
  <c r="F95" i="2"/>
  <c r="E95" i="2"/>
  <c r="S94" i="2"/>
  <c r="R94" i="2"/>
  <c r="Q94" i="2"/>
  <c r="P94" i="2"/>
  <c r="O94" i="2"/>
  <c r="N94" i="2"/>
  <c r="M94" i="2"/>
  <c r="L94" i="2"/>
  <c r="K94" i="2"/>
  <c r="J94" i="2"/>
  <c r="I94" i="2"/>
  <c r="H94" i="2"/>
  <c r="G94" i="2"/>
  <c r="F94" i="2"/>
  <c r="E94" i="2"/>
  <c r="O93" i="2"/>
  <c r="N93" i="2"/>
  <c r="M93" i="2"/>
  <c r="L93" i="2"/>
  <c r="K93" i="2"/>
  <c r="J93" i="2"/>
  <c r="I93" i="2"/>
  <c r="H93" i="2"/>
  <c r="G93" i="2"/>
  <c r="F93" i="2"/>
  <c r="E93" i="2"/>
  <c r="O92" i="2"/>
  <c r="N92" i="2"/>
  <c r="M92" i="2"/>
  <c r="L92" i="2"/>
  <c r="K92" i="2"/>
  <c r="J92" i="2"/>
  <c r="I92" i="2"/>
  <c r="H92" i="2"/>
  <c r="G92" i="2"/>
  <c r="F92" i="2"/>
  <c r="E92" i="2"/>
  <c r="R91" i="2"/>
  <c r="Q91" i="2"/>
  <c r="P91" i="2"/>
  <c r="O91" i="2"/>
  <c r="N91" i="2"/>
  <c r="M91" i="2"/>
  <c r="L91" i="2"/>
  <c r="K91" i="2"/>
  <c r="J91" i="2"/>
  <c r="I91" i="2"/>
  <c r="H91" i="2"/>
  <c r="G91" i="2"/>
  <c r="F91" i="2"/>
  <c r="E91" i="2"/>
  <c r="S90" i="2"/>
  <c r="R90" i="2"/>
  <c r="Q90" i="2"/>
  <c r="P90" i="2"/>
  <c r="O90" i="2"/>
  <c r="N90" i="2"/>
  <c r="M90" i="2"/>
  <c r="L90" i="2"/>
  <c r="K90" i="2"/>
  <c r="J90" i="2"/>
  <c r="I90" i="2"/>
  <c r="H90" i="2"/>
  <c r="G90" i="2"/>
  <c r="F90" i="2"/>
  <c r="E90" i="2"/>
  <c r="S89" i="2"/>
  <c r="R89" i="2"/>
  <c r="Q89" i="2"/>
  <c r="P89" i="2"/>
  <c r="O89" i="2"/>
  <c r="N89" i="2"/>
  <c r="M89" i="2"/>
  <c r="L89" i="2"/>
  <c r="K89" i="2"/>
  <c r="J89" i="2"/>
  <c r="I89" i="2"/>
  <c r="H89" i="2"/>
  <c r="G89" i="2"/>
  <c r="F89" i="2"/>
  <c r="E89" i="2"/>
  <c r="R88" i="2"/>
  <c r="Q88" i="2"/>
  <c r="P88" i="2"/>
  <c r="O88" i="2"/>
  <c r="N88" i="2"/>
  <c r="K88" i="2"/>
  <c r="J88" i="2"/>
  <c r="I88" i="2"/>
  <c r="H88" i="2"/>
  <c r="G88" i="2"/>
  <c r="F88" i="2"/>
  <c r="E88" i="2"/>
  <c r="S87" i="2"/>
  <c r="R87" i="2"/>
  <c r="Q87" i="2"/>
  <c r="P87" i="2"/>
  <c r="O87" i="2"/>
  <c r="N87" i="2"/>
  <c r="M87" i="2"/>
  <c r="L87" i="2"/>
  <c r="K87" i="2"/>
  <c r="J87" i="2"/>
  <c r="I87" i="2"/>
  <c r="H87" i="2"/>
  <c r="G87" i="2"/>
  <c r="F87" i="2"/>
  <c r="E87" i="2"/>
  <c r="S86" i="2"/>
  <c r="R86" i="2"/>
  <c r="Q86" i="2"/>
  <c r="P86" i="2"/>
  <c r="O86" i="2"/>
  <c r="N86" i="2"/>
  <c r="M86" i="2"/>
  <c r="L86" i="2"/>
  <c r="K86" i="2"/>
  <c r="J86" i="2"/>
  <c r="I86" i="2"/>
  <c r="H86" i="2"/>
  <c r="G86" i="2"/>
  <c r="F86" i="2"/>
  <c r="E86" i="2"/>
  <c r="S85" i="2"/>
  <c r="R85" i="2"/>
  <c r="Q85" i="2"/>
  <c r="P85" i="2"/>
  <c r="O85" i="2"/>
  <c r="N85" i="2"/>
  <c r="M85" i="2"/>
  <c r="L85" i="2"/>
  <c r="K85" i="2"/>
  <c r="I85" i="2"/>
  <c r="H85" i="2"/>
  <c r="G85" i="2"/>
  <c r="F85" i="2"/>
  <c r="E85" i="2"/>
  <c r="R84" i="2"/>
  <c r="Q84" i="2"/>
  <c r="P84" i="2"/>
  <c r="O84" i="2"/>
  <c r="N84" i="2"/>
  <c r="K84" i="2"/>
  <c r="I84" i="2"/>
  <c r="H84" i="2"/>
  <c r="G84" i="2"/>
  <c r="F84" i="2"/>
  <c r="E84" i="2"/>
  <c r="S83" i="2"/>
  <c r="R83" i="2"/>
  <c r="Q83" i="2"/>
  <c r="P83" i="2"/>
  <c r="O83" i="2"/>
  <c r="N83" i="2"/>
  <c r="M83" i="2"/>
  <c r="L83" i="2"/>
  <c r="K83" i="2"/>
  <c r="J83" i="2"/>
  <c r="I83" i="2"/>
  <c r="H83" i="2"/>
  <c r="G83" i="2"/>
  <c r="F83" i="2"/>
  <c r="E83" i="2"/>
  <c r="R82" i="2"/>
  <c r="Q82" i="2"/>
  <c r="P82" i="2"/>
  <c r="O82" i="2"/>
  <c r="N82" i="2"/>
  <c r="L82" i="2"/>
  <c r="K82" i="2"/>
  <c r="J82" i="2"/>
  <c r="I82" i="2"/>
  <c r="H82" i="2"/>
  <c r="G82" i="2"/>
  <c r="F82" i="2"/>
  <c r="E82" i="2"/>
  <c r="R81" i="2"/>
  <c r="Q81" i="2"/>
  <c r="P81" i="2"/>
  <c r="O81" i="2"/>
  <c r="N81" i="2"/>
  <c r="M81" i="2"/>
  <c r="L81" i="2"/>
  <c r="K81" i="2"/>
  <c r="J81" i="2"/>
  <c r="I81" i="2"/>
  <c r="H81" i="2"/>
  <c r="G81" i="2"/>
  <c r="F81" i="2"/>
  <c r="E81" i="2"/>
  <c r="S80" i="2"/>
  <c r="R80" i="2"/>
  <c r="Q80" i="2"/>
  <c r="P80" i="2"/>
  <c r="O80" i="2"/>
  <c r="N80" i="2"/>
  <c r="M80" i="2"/>
  <c r="L80" i="2"/>
  <c r="K80" i="2"/>
  <c r="I80" i="2"/>
  <c r="H80" i="2"/>
  <c r="G80" i="2"/>
  <c r="F80" i="2"/>
  <c r="E80" i="2"/>
  <c r="S79" i="2"/>
  <c r="R79" i="2"/>
  <c r="Q79" i="2"/>
  <c r="P79" i="2"/>
  <c r="O79" i="2"/>
  <c r="N79" i="2"/>
  <c r="M79" i="2"/>
  <c r="L79" i="2"/>
  <c r="K79" i="2"/>
  <c r="J79" i="2"/>
  <c r="I79" i="2"/>
  <c r="H79" i="2"/>
  <c r="G79" i="2"/>
  <c r="F79" i="2"/>
  <c r="E79" i="2"/>
  <c r="S78" i="2"/>
  <c r="R78" i="2"/>
  <c r="Q78" i="2"/>
  <c r="P78" i="2"/>
  <c r="O78" i="2"/>
  <c r="N78" i="2"/>
  <c r="M78" i="2"/>
  <c r="L78" i="2"/>
  <c r="K78" i="2"/>
  <c r="J78" i="2"/>
  <c r="I78" i="2"/>
  <c r="H78" i="2"/>
  <c r="G78" i="2"/>
  <c r="F78" i="2"/>
  <c r="E78" i="2"/>
  <c r="S77" i="2"/>
  <c r="R77" i="2"/>
  <c r="Q77" i="2"/>
  <c r="P77" i="2"/>
  <c r="O77" i="2"/>
  <c r="N77" i="2"/>
  <c r="M77" i="2"/>
  <c r="L77" i="2"/>
  <c r="K77" i="2"/>
  <c r="J77" i="2"/>
  <c r="I77" i="2"/>
  <c r="H77" i="2"/>
  <c r="G77" i="2"/>
  <c r="F77" i="2"/>
  <c r="E77" i="2"/>
  <c r="R76" i="2"/>
  <c r="Q76" i="2"/>
  <c r="P76" i="2"/>
  <c r="O76" i="2"/>
  <c r="N76" i="2"/>
  <c r="M76" i="2"/>
  <c r="L76" i="2"/>
  <c r="K76" i="2"/>
  <c r="I76" i="2"/>
  <c r="H76" i="2"/>
  <c r="G76" i="2"/>
  <c r="F76" i="2"/>
  <c r="E76" i="2"/>
  <c r="S75" i="2"/>
  <c r="R75" i="2"/>
  <c r="Q75" i="2"/>
  <c r="P75" i="2"/>
  <c r="O75" i="2"/>
  <c r="N75" i="2"/>
  <c r="M75" i="2"/>
  <c r="L75" i="2"/>
  <c r="K75" i="2"/>
  <c r="J75" i="2"/>
  <c r="I75" i="2"/>
  <c r="H75" i="2"/>
  <c r="G75" i="2"/>
  <c r="F75" i="2"/>
  <c r="E75" i="2"/>
  <c r="R74" i="2"/>
  <c r="Q74" i="2"/>
  <c r="P74" i="2"/>
  <c r="O74" i="2"/>
  <c r="N74" i="2"/>
  <c r="K74" i="2"/>
  <c r="J74" i="2"/>
  <c r="I74" i="2"/>
  <c r="H74" i="2"/>
  <c r="G74" i="2"/>
  <c r="F74" i="2"/>
  <c r="E74" i="2"/>
  <c r="S73" i="2"/>
  <c r="R73" i="2"/>
  <c r="Q73" i="2"/>
  <c r="P73" i="2"/>
  <c r="O73" i="2"/>
  <c r="N73" i="2"/>
  <c r="M73" i="2"/>
  <c r="L73" i="2"/>
  <c r="K73" i="2"/>
  <c r="J73" i="2"/>
  <c r="I73" i="2"/>
  <c r="H73" i="2"/>
  <c r="G73" i="2"/>
  <c r="F73" i="2"/>
  <c r="E73" i="2"/>
  <c r="R72" i="2"/>
  <c r="Q72" i="2"/>
  <c r="P72" i="2"/>
  <c r="O72" i="2"/>
  <c r="N72" i="2"/>
  <c r="K72" i="2"/>
  <c r="I72" i="2"/>
  <c r="H72" i="2"/>
  <c r="G72" i="2"/>
  <c r="F72" i="2"/>
  <c r="E72" i="2"/>
  <c r="S71" i="2"/>
  <c r="R71" i="2"/>
  <c r="Q71" i="2"/>
  <c r="P71" i="2"/>
  <c r="O71" i="2"/>
  <c r="N71" i="2"/>
  <c r="M71" i="2"/>
  <c r="L71" i="2"/>
  <c r="K71" i="2"/>
  <c r="J71" i="2"/>
  <c r="I71" i="2"/>
  <c r="H71" i="2"/>
  <c r="G71" i="2"/>
  <c r="F71" i="2"/>
  <c r="E71" i="2"/>
  <c r="R70" i="2"/>
  <c r="Q70" i="2"/>
  <c r="P70" i="2"/>
  <c r="O70" i="2"/>
  <c r="N70" i="2"/>
  <c r="M70" i="2"/>
  <c r="L70" i="2"/>
  <c r="K70" i="2"/>
  <c r="J70" i="2"/>
  <c r="I70" i="2"/>
  <c r="H70" i="2"/>
  <c r="G70" i="2"/>
  <c r="F70" i="2"/>
  <c r="E70" i="2"/>
  <c r="S69" i="2"/>
  <c r="R69" i="2"/>
  <c r="Q69" i="2"/>
  <c r="P69" i="2"/>
  <c r="O69" i="2"/>
  <c r="N69" i="2"/>
  <c r="M69" i="2"/>
  <c r="L69" i="2"/>
  <c r="K69" i="2"/>
  <c r="J69" i="2"/>
  <c r="I69" i="2"/>
  <c r="H69" i="2"/>
  <c r="G69" i="2"/>
  <c r="F69" i="2"/>
  <c r="E69" i="2"/>
  <c r="R68" i="2"/>
  <c r="Q68" i="2"/>
  <c r="P68" i="2"/>
  <c r="O68" i="2"/>
  <c r="N68" i="2"/>
  <c r="K68" i="2"/>
  <c r="J68" i="2"/>
  <c r="I68" i="2"/>
  <c r="H68" i="2"/>
  <c r="G68" i="2"/>
  <c r="F68" i="2"/>
  <c r="E68" i="2"/>
  <c r="S67" i="2"/>
  <c r="R67" i="2"/>
  <c r="Q67" i="2"/>
  <c r="P67" i="2"/>
  <c r="O67" i="2"/>
  <c r="N67" i="2"/>
  <c r="M67" i="2"/>
  <c r="L67" i="2"/>
  <c r="K67" i="2"/>
  <c r="J67" i="2"/>
  <c r="I67" i="2"/>
  <c r="H67" i="2"/>
  <c r="G67" i="2"/>
  <c r="F67" i="2"/>
  <c r="E67" i="2"/>
  <c r="S66" i="2"/>
  <c r="R66" i="2"/>
  <c r="Q66" i="2"/>
  <c r="P66" i="2"/>
  <c r="O66" i="2"/>
  <c r="N66" i="2"/>
  <c r="M66" i="2"/>
  <c r="L66" i="2"/>
  <c r="K66" i="2"/>
  <c r="I66" i="2"/>
  <c r="H66" i="2"/>
  <c r="G66" i="2"/>
  <c r="F66" i="2"/>
  <c r="E66" i="2"/>
  <c r="R65" i="2"/>
  <c r="Q65" i="2"/>
  <c r="P65" i="2"/>
  <c r="O65" i="2"/>
  <c r="N65" i="2"/>
  <c r="M65" i="2"/>
  <c r="L65" i="2"/>
  <c r="K65" i="2"/>
  <c r="I65" i="2"/>
  <c r="H65" i="2"/>
  <c r="G65" i="2"/>
  <c r="F65" i="2"/>
  <c r="E65" i="2"/>
  <c r="R64" i="2"/>
  <c r="Q64" i="2"/>
  <c r="P64" i="2"/>
  <c r="O64" i="2"/>
  <c r="N64" i="2"/>
  <c r="M64" i="2"/>
  <c r="L64" i="2"/>
  <c r="K64" i="2"/>
  <c r="I64" i="2"/>
  <c r="H64" i="2"/>
  <c r="G64" i="2"/>
  <c r="F64" i="2"/>
  <c r="E64" i="2"/>
  <c r="S63" i="2"/>
  <c r="R63" i="2"/>
  <c r="Q63" i="2"/>
  <c r="P63" i="2"/>
  <c r="O63" i="2"/>
  <c r="N63" i="2"/>
  <c r="M63" i="2"/>
  <c r="L63" i="2"/>
  <c r="K63" i="2"/>
  <c r="I63" i="2"/>
  <c r="H63" i="2"/>
  <c r="G63" i="2"/>
  <c r="F63" i="2"/>
  <c r="E63" i="2"/>
  <c r="S62" i="2"/>
  <c r="R62" i="2"/>
  <c r="Q62" i="2"/>
  <c r="P62" i="2"/>
  <c r="O62" i="2"/>
  <c r="N62" i="2"/>
  <c r="M62" i="2"/>
  <c r="L62" i="2"/>
  <c r="K62" i="2"/>
  <c r="J62" i="2"/>
  <c r="I62" i="2"/>
  <c r="H62" i="2"/>
  <c r="G62" i="2"/>
  <c r="F62" i="2"/>
  <c r="E62" i="2"/>
  <c r="S61" i="2"/>
  <c r="R61" i="2"/>
  <c r="Q61" i="2"/>
  <c r="P61" i="2"/>
  <c r="O61" i="2"/>
  <c r="N61" i="2"/>
  <c r="M61" i="2"/>
  <c r="L61" i="2"/>
  <c r="K61" i="2"/>
  <c r="I61" i="2"/>
  <c r="H61" i="2"/>
  <c r="G61" i="2"/>
  <c r="F61" i="2"/>
  <c r="E61" i="2"/>
  <c r="R60" i="2"/>
  <c r="Q60" i="2"/>
  <c r="P60" i="2"/>
  <c r="O60" i="2"/>
  <c r="N60" i="2"/>
  <c r="L60" i="2"/>
  <c r="K60" i="2"/>
  <c r="I60" i="2"/>
  <c r="H60" i="2"/>
  <c r="G60" i="2"/>
  <c r="F60" i="2"/>
  <c r="E60" i="2"/>
  <c r="R59" i="2"/>
  <c r="Q59" i="2"/>
  <c r="P59" i="2"/>
  <c r="O59" i="2"/>
  <c r="N59" i="2"/>
  <c r="M59" i="2"/>
  <c r="L59" i="2"/>
  <c r="K59" i="2"/>
  <c r="I59" i="2"/>
  <c r="H59" i="2"/>
  <c r="G59" i="2"/>
  <c r="F59" i="2"/>
  <c r="E59" i="2"/>
  <c r="S58" i="2"/>
  <c r="R58" i="2"/>
  <c r="Q58" i="2"/>
  <c r="P58" i="2"/>
  <c r="O58" i="2"/>
  <c r="N58" i="2"/>
  <c r="M58" i="2"/>
  <c r="L58" i="2"/>
  <c r="K58" i="2"/>
  <c r="J58" i="2"/>
  <c r="I58" i="2"/>
  <c r="H58" i="2"/>
  <c r="G58" i="2"/>
  <c r="F58" i="2"/>
  <c r="E58" i="2"/>
  <c r="S57" i="2"/>
  <c r="R57" i="2"/>
  <c r="Q57" i="2"/>
  <c r="P57" i="2"/>
  <c r="O57" i="2"/>
  <c r="N57" i="2"/>
  <c r="M57" i="2"/>
  <c r="L57" i="2"/>
  <c r="K57" i="2"/>
  <c r="I57" i="2"/>
  <c r="H57" i="2"/>
  <c r="G57" i="2"/>
  <c r="F57" i="2"/>
  <c r="E57" i="2"/>
  <c r="R56" i="2"/>
  <c r="Q56" i="2"/>
  <c r="P56" i="2"/>
  <c r="O56" i="2"/>
  <c r="N56" i="2"/>
  <c r="M56" i="2"/>
  <c r="L56" i="2"/>
  <c r="K56" i="2"/>
  <c r="I56" i="2"/>
  <c r="H56" i="2"/>
  <c r="G56" i="2"/>
  <c r="F56" i="2"/>
  <c r="E56" i="2"/>
  <c r="R55" i="2"/>
  <c r="Q55" i="2"/>
  <c r="P55" i="2"/>
  <c r="O55" i="2"/>
  <c r="N55" i="2"/>
  <c r="M55" i="2"/>
  <c r="L55" i="2"/>
  <c r="K55" i="2"/>
  <c r="J55" i="2"/>
  <c r="I55" i="2"/>
  <c r="H55" i="2"/>
  <c r="G55" i="2"/>
  <c r="F55" i="2"/>
  <c r="E55" i="2"/>
  <c r="S54" i="2"/>
  <c r="R54" i="2"/>
  <c r="Q54" i="2"/>
  <c r="P54" i="2"/>
  <c r="O54" i="2"/>
  <c r="N54" i="2"/>
  <c r="M54" i="2"/>
  <c r="L54" i="2"/>
  <c r="K54" i="2"/>
  <c r="I54" i="2"/>
  <c r="H54" i="2"/>
  <c r="G54" i="2"/>
  <c r="F54" i="2"/>
  <c r="E54" i="2"/>
  <c r="R53" i="2"/>
  <c r="Q53" i="2"/>
  <c r="P53" i="2"/>
  <c r="O53" i="2"/>
  <c r="N53" i="2"/>
  <c r="M53" i="2"/>
  <c r="L53" i="2"/>
  <c r="K53" i="2"/>
  <c r="I53" i="2"/>
  <c r="H53" i="2"/>
  <c r="G53" i="2"/>
  <c r="F53" i="2"/>
  <c r="E53" i="2"/>
  <c r="S52" i="2"/>
  <c r="R52" i="2"/>
  <c r="Q52" i="2"/>
  <c r="P52" i="2"/>
  <c r="O52" i="2"/>
  <c r="N52" i="2"/>
  <c r="M52" i="2"/>
  <c r="L52" i="2"/>
  <c r="K52" i="2"/>
  <c r="I52" i="2"/>
  <c r="H52" i="2"/>
  <c r="G52" i="2"/>
  <c r="F52" i="2"/>
  <c r="E52" i="2"/>
  <c r="R51" i="2"/>
  <c r="Q51" i="2"/>
  <c r="P51" i="2"/>
  <c r="O51" i="2"/>
  <c r="N51" i="2"/>
  <c r="K51" i="2"/>
  <c r="J51" i="2"/>
  <c r="I51" i="2"/>
  <c r="H51" i="2"/>
  <c r="G51" i="2"/>
  <c r="F51" i="2"/>
  <c r="E51" i="2"/>
  <c r="R50" i="2"/>
  <c r="Q50" i="2"/>
  <c r="P50" i="2"/>
  <c r="O50" i="2"/>
  <c r="N50" i="2"/>
  <c r="L50" i="2"/>
  <c r="K50" i="2"/>
  <c r="J50" i="2"/>
  <c r="I50" i="2"/>
  <c r="H50" i="2"/>
  <c r="G50" i="2"/>
  <c r="F50" i="2"/>
  <c r="E50" i="2"/>
  <c r="R49" i="2"/>
  <c r="Q49" i="2"/>
  <c r="P49" i="2"/>
  <c r="O49" i="2"/>
  <c r="N49" i="2"/>
  <c r="M49" i="2"/>
  <c r="L49" i="2"/>
  <c r="K49" i="2"/>
  <c r="I49" i="2"/>
  <c r="H49" i="2"/>
  <c r="G49" i="2"/>
  <c r="F49" i="2"/>
  <c r="E49" i="2"/>
  <c r="R48" i="2"/>
  <c r="Q48" i="2"/>
  <c r="P48" i="2"/>
  <c r="O48" i="2"/>
  <c r="N48" i="2"/>
  <c r="M48" i="2"/>
  <c r="L48" i="2"/>
  <c r="K48" i="2"/>
  <c r="J48" i="2"/>
  <c r="I48" i="2"/>
  <c r="H48" i="2"/>
  <c r="G48" i="2"/>
  <c r="F48" i="2"/>
  <c r="E48" i="2"/>
  <c r="R47" i="2"/>
  <c r="Q47" i="2"/>
  <c r="P47" i="2"/>
  <c r="O47" i="2"/>
  <c r="N47" i="2"/>
  <c r="K47" i="2"/>
  <c r="J47" i="2"/>
  <c r="I47" i="2"/>
  <c r="H47" i="2"/>
  <c r="G47" i="2"/>
  <c r="F47" i="2"/>
  <c r="E47" i="2"/>
  <c r="R46" i="2"/>
  <c r="Q46" i="2"/>
  <c r="P46" i="2"/>
  <c r="O46" i="2"/>
  <c r="N46" i="2"/>
  <c r="K46" i="2"/>
  <c r="I46" i="2"/>
  <c r="H46" i="2"/>
  <c r="G46" i="2"/>
  <c r="F46" i="2"/>
  <c r="E46" i="2"/>
  <c r="R45" i="2"/>
  <c r="Q45" i="2"/>
  <c r="P45" i="2"/>
  <c r="O45" i="2"/>
  <c r="N45" i="2"/>
  <c r="M45" i="2"/>
  <c r="L45" i="2"/>
  <c r="K45" i="2"/>
  <c r="J45" i="2"/>
  <c r="I45" i="2"/>
  <c r="H45" i="2"/>
  <c r="G45" i="2"/>
  <c r="F45" i="2"/>
  <c r="E45" i="2"/>
  <c r="S44" i="2"/>
  <c r="R44" i="2"/>
  <c r="Q44" i="2"/>
  <c r="P44" i="2"/>
  <c r="O44" i="2"/>
  <c r="N44" i="2"/>
  <c r="M44" i="2"/>
  <c r="L44" i="2"/>
  <c r="K44" i="2"/>
  <c r="J44" i="2"/>
  <c r="I44" i="2"/>
  <c r="H44" i="2"/>
  <c r="G44" i="2"/>
  <c r="F44" i="2"/>
  <c r="E44" i="2"/>
  <c r="R43" i="2"/>
  <c r="Q43" i="2"/>
  <c r="P43" i="2"/>
  <c r="O43" i="2"/>
  <c r="N43" i="2"/>
  <c r="K43" i="2"/>
  <c r="I43" i="2"/>
  <c r="H43" i="2"/>
  <c r="G43" i="2"/>
  <c r="F43" i="2"/>
  <c r="E43" i="2"/>
  <c r="R42" i="2"/>
  <c r="Q42" i="2"/>
  <c r="P42" i="2"/>
  <c r="O42" i="2"/>
  <c r="N42" i="2"/>
  <c r="K42" i="2"/>
  <c r="J42" i="2"/>
  <c r="I42" i="2"/>
  <c r="H42" i="2"/>
  <c r="G42" i="2"/>
  <c r="F42" i="2"/>
  <c r="E42" i="2"/>
  <c r="R41" i="2"/>
  <c r="Q41" i="2"/>
  <c r="P41" i="2"/>
  <c r="O41" i="2"/>
  <c r="N41" i="2"/>
  <c r="K41" i="2"/>
  <c r="J41" i="2"/>
  <c r="I41" i="2"/>
  <c r="H41" i="2"/>
  <c r="G41" i="2"/>
  <c r="F41" i="2"/>
  <c r="E41" i="2"/>
  <c r="R40" i="2"/>
  <c r="Q40" i="2"/>
  <c r="P40" i="2"/>
  <c r="O40" i="2"/>
  <c r="N40" i="2"/>
  <c r="K40" i="2"/>
  <c r="J40" i="2"/>
  <c r="I40" i="2"/>
  <c r="H40" i="2"/>
  <c r="G40" i="2"/>
  <c r="F40" i="2"/>
  <c r="E40" i="2"/>
  <c r="R39" i="2"/>
  <c r="Q39" i="2"/>
  <c r="P39" i="2"/>
  <c r="O39" i="2"/>
  <c r="N39" i="2"/>
  <c r="L39" i="2"/>
  <c r="K39" i="2"/>
  <c r="J39" i="2"/>
  <c r="I39" i="2"/>
  <c r="H39" i="2"/>
  <c r="G39" i="2"/>
  <c r="F39" i="2"/>
  <c r="E39" i="2"/>
  <c r="R38" i="2"/>
  <c r="Q38" i="2"/>
  <c r="P38" i="2"/>
  <c r="O38" i="2"/>
  <c r="N38" i="2"/>
  <c r="K38" i="2"/>
  <c r="I38" i="2"/>
  <c r="H38" i="2"/>
  <c r="G38" i="2"/>
  <c r="F38" i="2"/>
  <c r="E38" i="2"/>
  <c r="S37" i="2"/>
  <c r="R37" i="2"/>
  <c r="Q37" i="2"/>
  <c r="P37" i="2"/>
  <c r="O37" i="2"/>
  <c r="N37" i="2"/>
  <c r="M37" i="2"/>
  <c r="L37" i="2"/>
  <c r="K37" i="2"/>
  <c r="I37" i="2"/>
  <c r="H37" i="2"/>
  <c r="G37" i="2"/>
  <c r="F37" i="2"/>
  <c r="E37" i="2"/>
  <c r="R36" i="2"/>
  <c r="Q36" i="2"/>
  <c r="P36" i="2"/>
  <c r="O36" i="2"/>
  <c r="N36" i="2"/>
  <c r="M36" i="2"/>
  <c r="L36" i="2"/>
  <c r="K36" i="2"/>
  <c r="I36" i="2"/>
  <c r="H36" i="2"/>
  <c r="G36" i="2"/>
  <c r="F36" i="2"/>
  <c r="E36" i="2"/>
  <c r="S35" i="2"/>
  <c r="R35" i="2"/>
  <c r="Q35" i="2"/>
  <c r="P35" i="2"/>
  <c r="O35" i="2"/>
  <c r="N35" i="2"/>
  <c r="M35" i="2"/>
  <c r="L35" i="2"/>
  <c r="K35" i="2"/>
  <c r="J35" i="2"/>
  <c r="I35" i="2"/>
  <c r="H35" i="2"/>
  <c r="G35" i="2"/>
  <c r="F35" i="2"/>
  <c r="E35" i="2"/>
  <c r="S34" i="2"/>
  <c r="R34" i="2"/>
  <c r="Q34" i="2"/>
  <c r="P34" i="2"/>
  <c r="O34" i="2"/>
  <c r="N34" i="2"/>
  <c r="M34" i="2"/>
  <c r="L34" i="2"/>
  <c r="K34" i="2"/>
  <c r="I34" i="2"/>
  <c r="H34" i="2"/>
  <c r="G34" i="2"/>
  <c r="F34" i="2"/>
  <c r="E34" i="2"/>
  <c r="R33" i="2"/>
  <c r="Q33" i="2"/>
  <c r="P33" i="2"/>
  <c r="O33" i="2"/>
  <c r="N33" i="2"/>
  <c r="M33" i="2"/>
  <c r="L33" i="2"/>
  <c r="K33" i="2"/>
  <c r="J33" i="2"/>
  <c r="I33" i="2"/>
  <c r="H33" i="2"/>
  <c r="G33" i="2"/>
  <c r="F33" i="2"/>
  <c r="E33" i="2"/>
  <c r="R32" i="2"/>
  <c r="Q32" i="2"/>
  <c r="P32" i="2"/>
  <c r="O32" i="2"/>
  <c r="N32" i="2"/>
  <c r="M32" i="2"/>
  <c r="L32" i="2"/>
  <c r="K32" i="2"/>
  <c r="J32" i="2"/>
  <c r="I32" i="2"/>
  <c r="H32" i="2"/>
  <c r="G32" i="2"/>
  <c r="F32" i="2"/>
  <c r="E32" i="2"/>
  <c r="R31" i="2"/>
  <c r="Q31" i="2"/>
  <c r="P31" i="2"/>
  <c r="O31" i="2"/>
  <c r="N31" i="2"/>
  <c r="K31" i="2"/>
  <c r="I31" i="2"/>
  <c r="H31" i="2"/>
  <c r="G31" i="2"/>
  <c r="F31" i="2"/>
  <c r="E31" i="2"/>
  <c r="R30" i="2"/>
  <c r="Q30" i="2"/>
  <c r="P30" i="2"/>
  <c r="O30" i="2"/>
  <c r="N30" i="2"/>
  <c r="K30" i="2"/>
  <c r="J30" i="2"/>
  <c r="I30" i="2"/>
  <c r="H30" i="2"/>
  <c r="G30" i="2"/>
  <c r="F30" i="2"/>
  <c r="E30" i="2"/>
  <c r="R29" i="2"/>
  <c r="Q29" i="2"/>
  <c r="P29" i="2"/>
  <c r="O29" i="2"/>
  <c r="N29" i="2"/>
  <c r="K29" i="2"/>
  <c r="I29" i="2"/>
  <c r="H29" i="2"/>
  <c r="G29" i="2"/>
  <c r="F29" i="2"/>
  <c r="E29" i="2"/>
  <c r="R28" i="2"/>
  <c r="Q28" i="2"/>
  <c r="P28" i="2"/>
  <c r="O28" i="2"/>
  <c r="N28" i="2"/>
  <c r="K28" i="2"/>
  <c r="I28" i="2"/>
  <c r="H28" i="2"/>
  <c r="G28" i="2"/>
  <c r="F28" i="2"/>
  <c r="E28" i="2"/>
  <c r="S27" i="2"/>
  <c r="R27" i="2"/>
  <c r="Q27" i="2"/>
  <c r="P27" i="2"/>
  <c r="O27" i="2"/>
  <c r="N27" i="2"/>
  <c r="M27" i="2"/>
  <c r="L27" i="2"/>
  <c r="K27" i="2"/>
  <c r="I27" i="2"/>
  <c r="H27" i="2"/>
  <c r="G27" i="2"/>
  <c r="F27" i="2"/>
  <c r="E27" i="2"/>
  <c r="R26" i="2"/>
  <c r="Q26" i="2"/>
  <c r="P26" i="2"/>
  <c r="O26" i="2"/>
  <c r="N26" i="2"/>
  <c r="M26" i="2"/>
  <c r="L26" i="2"/>
  <c r="K26" i="2"/>
  <c r="J26" i="2"/>
  <c r="I26" i="2"/>
  <c r="H26" i="2"/>
  <c r="G26" i="2"/>
  <c r="F26" i="2"/>
  <c r="E26" i="2"/>
  <c r="R25" i="2"/>
  <c r="Q25" i="2"/>
  <c r="P25" i="2"/>
  <c r="O25" i="2"/>
  <c r="N25" i="2"/>
  <c r="K25" i="2"/>
  <c r="I25" i="2"/>
  <c r="H25" i="2"/>
  <c r="G25" i="2"/>
  <c r="F25" i="2"/>
  <c r="E25" i="2"/>
  <c r="S24" i="2"/>
  <c r="R24" i="2"/>
  <c r="Q24" i="2"/>
  <c r="P24" i="2"/>
  <c r="O24" i="2"/>
  <c r="N24" i="2"/>
  <c r="M24" i="2"/>
  <c r="L24" i="2"/>
  <c r="K24" i="2"/>
  <c r="J24" i="2"/>
  <c r="I24" i="2"/>
  <c r="H24" i="2"/>
  <c r="G24" i="2"/>
  <c r="F24" i="2"/>
  <c r="E24" i="2"/>
  <c r="S23" i="2"/>
  <c r="R23" i="2"/>
  <c r="Q23" i="2"/>
  <c r="P23" i="2"/>
  <c r="O23" i="2"/>
  <c r="N23" i="2"/>
  <c r="M23" i="2"/>
  <c r="L23" i="2"/>
  <c r="K23" i="2"/>
  <c r="I23" i="2"/>
  <c r="H23" i="2"/>
  <c r="G23" i="2"/>
  <c r="F23" i="2"/>
  <c r="E23" i="2"/>
  <c r="S22" i="2"/>
  <c r="R22" i="2"/>
  <c r="Q22" i="2"/>
  <c r="P22" i="2"/>
  <c r="O22" i="2"/>
  <c r="N22" i="2"/>
  <c r="M22" i="2"/>
  <c r="L22" i="2"/>
  <c r="K22" i="2"/>
  <c r="J22" i="2"/>
  <c r="I22" i="2"/>
  <c r="H22" i="2"/>
  <c r="G22" i="2"/>
  <c r="F22" i="2"/>
  <c r="E22" i="2"/>
  <c r="R21" i="2"/>
  <c r="Q21" i="2"/>
  <c r="P21" i="2"/>
  <c r="O21" i="2"/>
  <c r="N21" i="2"/>
  <c r="K21" i="2"/>
  <c r="I21" i="2"/>
  <c r="H21" i="2"/>
  <c r="G21" i="2"/>
  <c r="F21" i="2"/>
  <c r="E21" i="2"/>
  <c r="R20" i="2"/>
  <c r="Q20" i="2"/>
  <c r="P20" i="2"/>
  <c r="O20" i="2"/>
  <c r="N20" i="2"/>
  <c r="K20" i="2"/>
  <c r="I20" i="2"/>
  <c r="H20" i="2"/>
  <c r="G20" i="2"/>
  <c r="F20" i="2"/>
  <c r="E20" i="2"/>
  <c r="S19" i="2"/>
  <c r="R19" i="2"/>
  <c r="Q19" i="2"/>
  <c r="P19" i="2"/>
  <c r="O19" i="2"/>
  <c r="N19" i="2"/>
  <c r="M19" i="2"/>
  <c r="L19" i="2"/>
  <c r="K19" i="2"/>
  <c r="I19" i="2"/>
  <c r="H19" i="2"/>
  <c r="G19" i="2"/>
  <c r="F19" i="2"/>
  <c r="E19" i="2"/>
  <c r="R18" i="2"/>
  <c r="Q18" i="2"/>
  <c r="P18" i="2"/>
  <c r="O18" i="2"/>
  <c r="N18" i="2"/>
  <c r="K18" i="2"/>
  <c r="J18" i="2"/>
  <c r="I18" i="2"/>
  <c r="H18" i="2"/>
  <c r="G18" i="2"/>
  <c r="F18" i="2"/>
  <c r="E18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S16" i="2"/>
  <c r="R16" i="2"/>
  <c r="Q16" i="2"/>
  <c r="P16" i="2"/>
  <c r="O16" i="2"/>
  <c r="N16" i="2"/>
  <c r="M16" i="2"/>
  <c r="L16" i="2"/>
  <c r="K16" i="2"/>
  <c r="I16" i="2"/>
  <c r="H16" i="2"/>
  <c r="G16" i="2"/>
  <c r="F16" i="2"/>
  <c r="E16" i="2"/>
  <c r="S15" i="2"/>
  <c r="R15" i="2"/>
  <c r="Q15" i="2"/>
  <c r="P15" i="2"/>
  <c r="O15" i="2"/>
  <c r="N15" i="2"/>
  <c r="M15" i="2"/>
  <c r="L15" i="2"/>
  <c r="K15" i="2"/>
  <c r="J15" i="2"/>
  <c r="I15" i="2"/>
  <c r="H15" i="2"/>
  <c r="G15" i="2"/>
  <c r="F15" i="2"/>
  <c r="E15" i="2"/>
  <c r="S14" i="2"/>
  <c r="R14" i="2"/>
  <c r="Q14" i="2"/>
  <c r="P14" i="2"/>
  <c r="O14" i="2"/>
  <c r="N14" i="2"/>
  <c r="M14" i="2"/>
  <c r="L14" i="2"/>
  <c r="K14" i="2"/>
  <c r="J14" i="2"/>
  <c r="I14" i="2"/>
  <c r="H14" i="2"/>
  <c r="G14" i="2"/>
  <c r="F14" i="2"/>
  <c r="E14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R10" i="2"/>
  <c r="Q10" i="2"/>
  <c r="P10" i="2"/>
  <c r="O10" i="2"/>
  <c r="N10" i="2"/>
  <c r="M10" i="2"/>
  <c r="L10" i="2"/>
  <c r="K10" i="2"/>
  <c r="I10" i="2"/>
  <c r="H10" i="2"/>
  <c r="G10" i="2"/>
  <c r="F10" i="2"/>
  <c r="E10" i="2"/>
  <c r="R9" i="2"/>
  <c r="Q9" i="2"/>
  <c r="P9" i="2"/>
  <c r="O9" i="2"/>
  <c r="N9" i="2"/>
  <c r="L9" i="2"/>
  <c r="K9" i="2"/>
  <c r="I9" i="2"/>
  <c r="H9" i="2"/>
  <c r="G9" i="2"/>
  <c r="F9" i="2"/>
  <c r="E9" i="2"/>
  <c r="S8" i="2"/>
  <c r="R8" i="2"/>
  <c r="Q8" i="2"/>
  <c r="P8" i="2"/>
  <c r="O8" i="2"/>
  <c r="N8" i="2"/>
  <c r="M8" i="2"/>
  <c r="L8" i="2"/>
  <c r="K8" i="2"/>
  <c r="J8" i="2"/>
  <c r="I8" i="2"/>
  <c r="H8" i="2"/>
  <c r="G8" i="2"/>
  <c r="F8" i="2"/>
  <c r="E8" i="2"/>
  <c r="R7" i="2"/>
  <c r="Q7" i="2"/>
  <c r="P7" i="2"/>
  <c r="O7" i="2"/>
  <c r="N7" i="2"/>
  <c r="K7" i="2"/>
  <c r="J7" i="2"/>
  <c r="I7" i="2"/>
  <c r="H7" i="2"/>
  <c r="G7" i="2"/>
  <c r="F7" i="2"/>
  <c r="E7" i="2"/>
  <c r="R6" i="2"/>
  <c r="Q6" i="2"/>
  <c r="P6" i="2"/>
  <c r="O6" i="2"/>
  <c r="N6" i="2"/>
  <c r="M6" i="2"/>
  <c r="L6" i="2"/>
  <c r="K6" i="2"/>
  <c r="J6" i="2"/>
  <c r="I6" i="2"/>
  <c r="H6" i="2"/>
  <c r="G6" i="2"/>
  <c r="F6" i="2"/>
  <c r="E6" i="2"/>
  <c r="C42" i="2" s="1"/>
  <c r="R5" i="2"/>
  <c r="Q5" i="2"/>
  <c r="P5" i="2"/>
  <c r="O5" i="2"/>
  <c r="N5" i="2"/>
  <c r="K5" i="2"/>
  <c r="J5" i="2"/>
  <c r="I5" i="2"/>
  <c r="H5" i="2"/>
  <c r="G5" i="2"/>
  <c r="F5" i="2"/>
  <c r="E5" i="2"/>
  <c r="S4" i="2"/>
  <c r="R4" i="2"/>
  <c r="Q4" i="2"/>
  <c r="P4" i="2"/>
  <c r="O4" i="2"/>
  <c r="N4" i="2"/>
  <c r="M4" i="2"/>
  <c r="L4" i="2"/>
  <c r="K4" i="2"/>
  <c r="J4" i="2"/>
  <c r="I4" i="2"/>
  <c r="H4" i="2"/>
  <c r="G4" i="2"/>
  <c r="F4" i="2"/>
  <c r="E4" i="2"/>
  <c r="S3" i="2"/>
  <c r="R3" i="2"/>
  <c r="Q3" i="2"/>
  <c r="P3" i="2"/>
  <c r="O3" i="2"/>
  <c r="N3" i="2"/>
  <c r="M3" i="2"/>
  <c r="L3" i="2"/>
  <c r="K3" i="2"/>
  <c r="J3" i="2"/>
  <c r="I3" i="2"/>
  <c r="H3" i="2"/>
  <c r="G3" i="2"/>
  <c r="F3" i="2"/>
  <c r="E3" i="2"/>
  <c r="S2" i="2"/>
  <c r="R2" i="2"/>
  <c r="Q2" i="2"/>
  <c r="P2" i="2"/>
  <c r="O2" i="2"/>
  <c r="N2" i="2"/>
  <c r="M2" i="2"/>
  <c r="L2" i="2"/>
  <c r="K2" i="2"/>
  <c r="J2" i="2"/>
  <c r="I2" i="2"/>
  <c r="H2" i="2"/>
  <c r="G2" i="2"/>
  <c r="F2" i="2"/>
  <c r="E2" i="2"/>
  <c r="C50" i="1"/>
  <c r="B50" i="1"/>
  <c r="A50" i="1"/>
  <c r="C49" i="1"/>
  <c r="B49" i="1"/>
  <c r="A49" i="1"/>
  <c r="C48" i="1"/>
  <c r="B48" i="1"/>
  <c r="A48" i="1"/>
  <c r="C47" i="1"/>
  <c r="B47" i="1"/>
  <c r="A47" i="1"/>
  <c r="C46" i="1"/>
  <c r="B46" i="1"/>
  <c r="A46" i="1"/>
  <c r="C45" i="1"/>
  <c r="B45" i="1"/>
  <c r="A45" i="1"/>
  <c r="C44" i="1"/>
  <c r="B44" i="1"/>
  <c r="A44" i="1"/>
  <c r="C43" i="1"/>
  <c r="B43" i="1"/>
  <c r="A43" i="1"/>
  <c r="C42" i="1"/>
  <c r="B42" i="1"/>
  <c r="A42" i="1"/>
  <c r="C41" i="1"/>
  <c r="B41" i="1"/>
  <c r="A41" i="1"/>
  <c r="C40" i="1"/>
  <c r="B40" i="1"/>
  <c r="A40" i="1"/>
  <c r="C39" i="1"/>
  <c r="B39" i="1"/>
  <c r="A39" i="1"/>
  <c r="C38" i="1"/>
  <c r="B38" i="1"/>
  <c r="A38" i="1"/>
  <c r="C37" i="1"/>
  <c r="B37" i="1"/>
  <c r="A37" i="1"/>
  <c r="C36" i="1"/>
  <c r="B36" i="1"/>
  <c r="A36" i="1"/>
  <c r="C35" i="1"/>
  <c r="B35" i="1"/>
  <c r="A35" i="1"/>
  <c r="C34" i="1"/>
  <c r="B34" i="1"/>
  <c r="A34" i="1"/>
  <c r="C33" i="1"/>
  <c r="B33" i="1"/>
  <c r="A33" i="1"/>
  <c r="C32" i="1"/>
  <c r="B32" i="1"/>
  <c r="A32" i="1"/>
  <c r="C31" i="1"/>
  <c r="B31" i="1"/>
  <c r="A31" i="1"/>
  <c r="C30" i="1"/>
  <c r="B30" i="1"/>
  <c r="A30" i="1"/>
  <c r="C29" i="1"/>
  <c r="B29" i="1"/>
  <c r="A29" i="1"/>
  <c r="C28" i="1"/>
  <c r="B28" i="1"/>
  <c r="A28" i="1"/>
  <c r="C27" i="1"/>
  <c r="B27" i="1"/>
  <c r="A27" i="1"/>
  <c r="C26" i="1"/>
  <c r="B26" i="1"/>
  <c r="A26" i="1"/>
  <c r="C25" i="1"/>
  <c r="B25" i="1"/>
  <c r="A25" i="1"/>
  <c r="C24" i="1"/>
  <c r="B24" i="1"/>
  <c r="A24" i="1"/>
  <c r="C23" i="1"/>
  <c r="B23" i="1"/>
  <c r="A23" i="1"/>
  <c r="C22" i="1"/>
  <c r="B22" i="1"/>
  <c r="A22" i="1"/>
  <c r="C21" i="1"/>
  <c r="B21" i="1"/>
  <c r="A21" i="1"/>
  <c r="C20" i="1"/>
  <c r="B20" i="1"/>
  <c r="A20" i="1"/>
  <c r="C19" i="1"/>
  <c r="B19" i="1"/>
  <c r="A19" i="1"/>
  <c r="C18" i="1"/>
  <c r="B18" i="1"/>
  <c r="A18" i="1"/>
  <c r="C17" i="1"/>
  <c r="B17" i="1"/>
  <c r="A17" i="1"/>
  <c r="C16" i="1"/>
  <c r="B16" i="1"/>
  <c r="A16" i="1"/>
  <c r="B12" i="1"/>
  <c r="A12" i="1"/>
  <c r="C11" i="1"/>
  <c r="B11" i="1"/>
  <c r="A11" i="1"/>
  <c r="C10" i="1"/>
  <c r="B10" i="1"/>
  <c r="A10" i="1"/>
  <c r="C9" i="1"/>
  <c r="B9" i="1"/>
  <c r="A9" i="1"/>
  <c r="C8" i="1"/>
  <c r="B8" i="1"/>
  <c r="A8" i="1"/>
  <c r="C7" i="1"/>
  <c r="B7" i="1"/>
  <c r="A7" i="1"/>
  <c r="C6" i="1"/>
  <c r="B6" i="1"/>
  <c r="A6" i="1"/>
  <c r="C5" i="1"/>
  <c r="B5" i="1"/>
  <c r="A5" i="1"/>
  <c r="C4" i="1"/>
  <c r="B4" i="1"/>
  <c r="A4" i="1"/>
  <c r="C3" i="1"/>
  <c r="B3" i="1"/>
  <c r="A3" i="1"/>
  <c r="C2" i="1"/>
  <c r="B2" i="1"/>
  <c r="A2" i="1"/>
  <c r="C52" i="1" l="1"/>
  <c r="C47" i="2"/>
  <c r="C24" i="2"/>
  <c r="C19" i="2"/>
  <c r="C34" i="2"/>
  <c r="C30" i="2"/>
  <c r="B10" i="2"/>
  <c r="C10" i="2" s="1"/>
  <c r="B10" i="8"/>
  <c r="B11" i="6"/>
  <c r="B10" i="10"/>
  <c r="B15" i="7"/>
  <c r="B9" i="5"/>
  <c r="B10" i="5"/>
  <c r="B10" i="12"/>
  <c r="B9" i="8"/>
  <c r="B11" i="12"/>
  <c r="C25" i="2"/>
  <c r="C20" i="2"/>
  <c r="C39" i="2"/>
  <c r="B9" i="2"/>
  <c r="C9" i="2" s="1"/>
  <c r="C16" i="2"/>
  <c r="C29" i="2"/>
  <c r="C37" i="2"/>
  <c r="C43" i="2"/>
  <c r="B11" i="2"/>
  <c r="C11" i="2" s="1"/>
  <c r="B12" i="2"/>
  <c r="C12" i="2" s="1"/>
  <c r="C31" i="2"/>
  <c r="C40" i="2"/>
  <c r="C50" i="2"/>
  <c r="C46" i="2"/>
  <c r="C49" i="2"/>
  <c r="C33" i="2"/>
  <c r="C44" i="2"/>
  <c r="C45" i="2"/>
  <c r="C48" i="2"/>
  <c r="C36" i="2"/>
  <c r="C23" i="2"/>
  <c r="C28" i="2"/>
  <c r="B3" i="2"/>
  <c r="B6" i="2"/>
  <c r="C6" i="2" s="1"/>
  <c r="B7" i="2"/>
  <c r="C7" i="2" s="1"/>
  <c r="C27" i="2"/>
  <c r="C32" i="2"/>
  <c r="C35" i="2"/>
  <c r="B8" i="2"/>
  <c r="C8" i="2" s="1"/>
  <c r="C22" i="2"/>
  <c r="B4" i="2"/>
  <c r="C4" i="2" s="1"/>
  <c r="C26" i="2"/>
  <c r="C41" i="2"/>
  <c r="B5" i="2"/>
  <c r="C5" i="2" s="1"/>
  <c r="C17" i="2"/>
  <c r="C18" i="2"/>
  <c r="C21" i="2"/>
  <c r="C38" i="2"/>
  <c r="C3" i="2" l="1"/>
  <c r="B13" i="2"/>
  <c r="C51" i="2"/>
</calcChain>
</file>

<file path=xl/sharedStrings.xml><?xml version="1.0" encoding="utf-8"?>
<sst xmlns="http://schemas.openxmlformats.org/spreadsheetml/2006/main" count="2877" uniqueCount="413">
  <si>
    <t>School</t>
  </si>
  <si>
    <t>Total Spots</t>
  </si>
  <si>
    <t>% Proficient</t>
  </si>
  <si>
    <t>Admin</t>
  </si>
  <si>
    <t>Form</t>
  </si>
  <si>
    <t>Teacher Name</t>
  </si>
  <si>
    <t>Evaluator Name</t>
  </si>
  <si>
    <t>Date</t>
  </si>
  <si>
    <t>Spot Signed</t>
  </si>
  <si>
    <t>Time of Day</t>
  </si>
  <si>
    <t>Grade</t>
  </si>
  <si>
    <t>Subject</t>
  </si>
  <si>
    <t>Score</t>
  </si>
  <si>
    <t>Rating</t>
  </si>
  <si>
    <t>LO &amp; DOL</t>
  </si>
  <si>
    <t>Purposeful Instruction</t>
  </si>
  <si>
    <t>Engagement</t>
  </si>
  <si>
    <t>LSAE Model</t>
  </si>
  <si>
    <t>Virtual Instruction</t>
  </si>
  <si>
    <t>AAL</t>
  </si>
  <si>
    <t>COPERNI</t>
  </si>
  <si>
    <t>SAM</t>
  </si>
  <si>
    <t>LAMAR</t>
  </si>
  <si>
    <t>ECTOR</t>
  </si>
  <si>
    <t>FEHL-PRICE</t>
  </si>
  <si>
    <t>JONES-CLARK</t>
  </si>
  <si>
    <t>SMITH</t>
  </si>
  <si>
    <t>MENDEZ</t>
  </si>
  <si>
    <t>PRESCOTT</t>
  </si>
  <si>
    <t>Total</t>
  </si>
  <si>
    <t>DiFabio</t>
  </si>
  <si>
    <t>Belcik</t>
  </si>
  <si>
    <t>Hellman</t>
  </si>
  <si>
    <t>Langner</t>
  </si>
  <si>
    <t>McClendon</t>
  </si>
  <si>
    <t>Coperni</t>
  </si>
  <si>
    <t>Mercado</t>
  </si>
  <si>
    <t>Edwards</t>
  </si>
  <si>
    <t>Sam Houston</t>
  </si>
  <si>
    <t>Blaylock</t>
  </si>
  <si>
    <t>Hinojosa</t>
  </si>
  <si>
    <t>Olivas</t>
  </si>
  <si>
    <t>Lamar</t>
  </si>
  <si>
    <t>Johnson</t>
  </si>
  <si>
    <t>Williams</t>
  </si>
  <si>
    <t>Ector</t>
  </si>
  <si>
    <t>Albaugh</t>
  </si>
  <si>
    <t>Avery</t>
  </si>
  <si>
    <t>Chavarria</t>
  </si>
  <si>
    <t>Coulter</t>
  </si>
  <si>
    <t>Garza</t>
  </si>
  <si>
    <t>Porras</t>
  </si>
  <si>
    <t>Valles</t>
  </si>
  <si>
    <t>Fehl-Price</t>
  </si>
  <si>
    <t>Gobert</t>
  </si>
  <si>
    <t>Thibedeaux</t>
  </si>
  <si>
    <t>Vandiver</t>
  </si>
  <si>
    <t>Wilson</t>
  </si>
  <si>
    <t>Jones-Clark</t>
  </si>
  <si>
    <t>Hatcher</t>
  </si>
  <si>
    <t>Bridges</t>
  </si>
  <si>
    <t>Isom-Drake</t>
  </si>
  <si>
    <t>Smith Middle</t>
  </si>
  <si>
    <t>Mack</t>
  </si>
  <si>
    <t>Flores</t>
  </si>
  <si>
    <t>Guidry</t>
  </si>
  <si>
    <t>Kemajou</t>
  </si>
  <si>
    <t>Mendez</t>
  </si>
  <si>
    <t>Miranda</t>
  </si>
  <si>
    <t>Willis</t>
  </si>
  <si>
    <t>Prescott</t>
  </si>
  <si>
    <t>Johnigan</t>
  </si>
  <si>
    <t>Pewee</t>
  </si>
  <si>
    <t>Wishom</t>
  </si>
  <si>
    <t>LSAE Model / K-1 Instruction</t>
  </si>
  <si>
    <t>Core Subject With LSAE</t>
  </si>
  <si>
    <t>Lucas Caloun</t>
  </si>
  <si>
    <t>Damon DiFabio</t>
  </si>
  <si>
    <t>PM</t>
  </si>
  <si>
    <t>5th Grade</t>
  </si>
  <si>
    <t>Math</t>
  </si>
  <si>
    <t>Progressing</t>
  </si>
  <si>
    <t xml:space="preserve">DiFabio </t>
  </si>
  <si>
    <t>K-1</t>
  </si>
  <si>
    <t>Shirley Sydow</t>
  </si>
  <si>
    <t>AM</t>
  </si>
  <si>
    <t>1st Grade</t>
  </si>
  <si>
    <t>Andrew Meza</t>
  </si>
  <si>
    <t>3rd Grade</t>
  </si>
  <si>
    <t>Learning Coach</t>
  </si>
  <si>
    <t>Linda Doss</t>
  </si>
  <si>
    <t>Proficient II</t>
  </si>
  <si>
    <t>Core Subject No LSAE</t>
  </si>
  <si>
    <t>Adelyn Craddock</t>
  </si>
  <si>
    <t>2nd Grade</t>
  </si>
  <si>
    <t>ELA</t>
  </si>
  <si>
    <t>Stephanie Protsman</t>
  </si>
  <si>
    <t>Proficient I</t>
  </si>
  <si>
    <t>Jordan Delbaugh</t>
  </si>
  <si>
    <t>4th Grade</t>
  </si>
  <si>
    <t>ELL/SPED</t>
  </si>
  <si>
    <t>Paola Correa Nava</t>
  </si>
  <si>
    <t>Kara Butzke</t>
  </si>
  <si>
    <t>Noah Belcik</t>
  </si>
  <si>
    <t xml:space="preserve">Percent </t>
  </si>
  <si>
    <t>Number</t>
  </si>
  <si>
    <t>Joshua Smith</t>
  </si>
  <si>
    <t>8th Grade</t>
  </si>
  <si>
    <t>Science</t>
  </si>
  <si>
    <t>Proficient</t>
  </si>
  <si>
    <t>Andrew Yeni</t>
  </si>
  <si>
    <t>Not Proficient</t>
  </si>
  <si>
    <t>Eric Mott</t>
  </si>
  <si>
    <t>7th Grade</t>
  </si>
  <si>
    <t>Madison Goyeau</t>
  </si>
  <si>
    <t>6th Grade</t>
  </si>
  <si>
    <t>Wyatt Walther</t>
  </si>
  <si>
    <t>Art of Thinking</t>
  </si>
  <si>
    <t>Damian Walz</t>
  </si>
  <si>
    <t>Social Studies</t>
  </si>
  <si>
    <t>Victoria Cipriani</t>
  </si>
  <si>
    <t>McKenna Foley</t>
  </si>
  <si>
    <t>Erika Stovall</t>
  </si>
  <si>
    <t>Unsatisfactory</t>
  </si>
  <si>
    <t>Sven Gaskin</t>
  </si>
  <si>
    <t>Janae Deas</t>
  </si>
  <si>
    <t>Kristen Gaddy</t>
  </si>
  <si>
    <t>Patrick Hellman</t>
  </si>
  <si>
    <t>Kacey Ceder</t>
  </si>
  <si>
    <t>Exemplary</t>
  </si>
  <si>
    <t>Joe Barron</t>
  </si>
  <si>
    <t>Susan Steinke</t>
  </si>
  <si>
    <t>Thomas Yeh</t>
  </si>
  <si>
    <t>Cam Stevens</t>
  </si>
  <si>
    <t>Sean Langner</t>
  </si>
  <si>
    <t>Julie Morelock</t>
  </si>
  <si>
    <t>Brittney Engel</t>
  </si>
  <si>
    <t>Keri Weisheit</t>
  </si>
  <si>
    <t>Kindergarten</t>
  </si>
  <si>
    <t>MJ Chimes</t>
  </si>
  <si>
    <t>Stephanie McClendon</t>
  </si>
  <si>
    <t>Alexis Mares</t>
  </si>
  <si>
    <t>Teacher Apprentice</t>
  </si>
  <si>
    <t>Dwan Cribbs</t>
  </si>
  <si>
    <t>Steve Seitz</t>
  </si>
  <si>
    <t>Skylar Smith</t>
  </si>
  <si>
    <t>Heather Bowen</t>
  </si>
  <si>
    <t>Noel Mercado</t>
  </si>
  <si>
    <t>Dana Greek</t>
  </si>
  <si>
    <t>Elizabeth Kelly</t>
  </si>
  <si>
    <t>Ceresa Freehling</t>
  </si>
  <si>
    <t>Shelby West</t>
  </si>
  <si>
    <t>Fatima Mercado</t>
  </si>
  <si>
    <t>Hailey Mills</t>
  </si>
  <si>
    <t>Hannah Torres</t>
  </si>
  <si>
    <t>Wendy Edwards</t>
  </si>
  <si>
    <t>Laycee Rexroth</t>
  </si>
  <si>
    <t>Aldin Hernandez</t>
  </si>
  <si>
    <t>Jennifer Morales</t>
  </si>
  <si>
    <t>Brittany Johnson</t>
  </si>
  <si>
    <t>Emily Florio</t>
  </si>
  <si>
    <t>Tasha Whitaker</t>
  </si>
  <si>
    <t>Elizabeth Williams</t>
  </si>
  <si>
    <t>Rebeca Ponce</t>
  </si>
  <si>
    <t>Kennedi Allen</t>
  </si>
  <si>
    <t>Ivy Hicks</t>
  </si>
  <si>
    <t>Meg Green</t>
  </si>
  <si>
    <t>Unique Lister</t>
  </si>
  <si>
    <t>Jasmine McMiller</t>
  </si>
  <si>
    <t>Danielle Miller</t>
  </si>
  <si>
    <t>Zarick Cervantes</t>
  </si>
  <si>
    <t>Jeffery Williams</t>
  </si>
  <si>
    <t>Taylor Anderson</t>
  </si>
  <si>
    <t>Shameka Johnson</t>
  </si>
  <si>
    <t>Rebekah Cervantes</t>
  </si>
  <si>
    <t>Ashley McCann</t>
  </si>
  <si>
    <t>Ron Santos</t>
  </si>
  <si>
    <t>Haley Kitzman</t>
  </si>
  <si>
    <t>Sumayah Saadoon</t>
  </si>
  <si>
    <t>Cashena Mathis</t>
  </si>
  <si>
    <t>Arthur Wilson</t>
  </si>
  <si>
    <t>Kari Maldonado</t>
  </si>
  <si>
    <t>Devet Brown</t>
  </si>
  <si>
    <t>Jessica Garcia</t>
  </si>
  <si>
    <t>Ashley Anaya</t>
  </si>
  <si>
    <t>Beena Farrell</t>
  </si>
  <si>
    <t>Keena Olivas</t>
  </si>
  <si>
    <t>Kelly Miller</t>
  </si>
  <si>
    <t>Cristina Flores</t>
  </si>
  <si>
    <t>Jaqueline Bonilla</t>
  </si>
  <si>
    <t>Helene Reznikov</t>
  </si>
  <si>
    <t>Rosalinda Happ</t>
  </si>
  <si>
    <t>Melissa Essien</t>
  </si>
  <si>
    <t>Monica Nettles</t>
  </si>
  <si>
    <t>Amanda Cooper</t>
  </si>
  <si>
    <t>Christopher Allcorn</t>
  </si>
  <si>
    <t>Kelcie McCain</t>
  </si>
  <si>
    <t>Myrna Hinojosa</t>
  </si>
  <si>
    <t>Malakhi Macareno</t>
  </si>
  <si>
    <t>Ashley Jones</t>
  </si>
  <si>
    <t>Dana Ntim</t>
  </si>
  <si>
    <t>Megan Bailey</t>
  </si>
  <si>
    <t>Priscilla Rodriguez</t>
  </si>
  <si>
    <t>Kelly Moore</t>
  </si>
  <si>
    <t>Erin Hicks</t>
  </si>
  <si>
    <t>Calli Hinton</t>
  </si>
  <si>
    <t>Taylor Hall</t>
  </si>
  <si>
    <t>Welton Blaylock</t>
  </si>
  <si>
    <t>Elva Aguliar</t>
  </si>
  <si>
    <t>Learning Coach -- Sub</t>
  </si>
  <si>
    <t>Electives</t>
  </si>
  <si>
    <t>Kelli Greenwood</t>
  </si>
  <si>
    <t>Jose Porras</t>
  </si>
  <si>
    <t>P.E.</t>
  </si>
  <si>
    <t>Marcos Aguilar</t>
  </si>
  <si>
    <t>Sandra Navarrete</t>
  </si>
  <si>
    <t>Reading Intervention</t>
  </si>
  <si>
    <t>Barbara Hirst</t>
  </si>
  <si>
    <t>Linda Jackson</t>
  </si>
  <si>
    <t>Jennifer Rodriguez</t>
  </si>
  <si>
    <t>Jordyn Brozovich</t>
  </si>
  <si>
    <t xml:space="preserve">Valles </t>
  </si>
  <si>
    <t>Silquanette Johnson</t>
  </si>
  <si>
    <t>Music</t>
  </si>
  <si>
    <t>Chassity Baumstimler</t>
  </si>
  <si>
    <t>Leticia Flores</t>
  </si>
  <si>
    <t>Gabriela Orona</t>
  </si>
  <si>
    <t>JOSE VALLES JR.</t>
  </si>
  <si>
    <t>Cinda Brown</t>
  </si>
  <si>
    <t>Charlesetta Prann</t>
  </si>
  <si>
    <t>Caroline Cerda</t>
  </si>
  <si>
    <t>Alyssa Teijeiro-Ficht</t>
  </si>
  <si>
    <t>Angel Matta</t>
  </si>
  <si>
    <t>Tiffany Woodard</t>
  </si>
  <si>
    <t>Karissa Rocha</t>
  </si>
  <si>
    <t>Mariela Valenzuela</t>
  </si>
  <si>
    <t>Brittany Stevens</t>
  </si>
  <si>
    <t>September Garrett</t>
  </si>
  <si>
    <t>Katherine Coulter</t>
  </si>
  <si>
    <t>Stephanie McCoy</t>
  </si>
  <si>
    <t>Bobby Dancer</t>
  </si>
  <si>
    <t>SSN/Life Skills</t>
  </si>
  <si>
    <t>De'Anza Cole</t>
  </si>
  <si>
    <t>Rose McGuire</t>
  </si>
  <si>
    <t>Shenidra Luate</t>
  </si>
  <si>
    <t>Oceana Ridge</t>
  </si>
  <si>
    <t>Kristin Albaugh</t>
  </si>
  <si>
    <t>Stephanie Estrada</t>
  </si>
  <si>
    <t>Jodie Brownd</t>
  </si>
  <si>
    <t>Zaida Rodriguez</t>
  </si>
  <si>
    <t>Destiny Vargas</t>
  </si>
  <si>
    <t>Dru Taylor</t>
  </si>
  <si>
    <t>Michael White</t>
  </si>
  <si>
    <t>Melissa Sanders</t>
  </si>
  <si>
    <t>Cristina Gonzalez</t>
  </si>
  <si>
    <t>Michael Garza</t>
  </si>
  <si>
    <t>Alexis McLeod</t>
  </si>
  <si>
    <t>Taylor McCall</t>
  </si>
  <si>
    <t>Juan Ibarra</t>
  </si>
  <si>
    <t>Marilou Duran</t>
  </si>
  <si>
    <t>Elizabeth Rochard</t>
  </si>
  <si>
    <t>Dale Arnold</t>
  </si>
  <si>
    <t>Morgan Bivins</t>
  </si>
  <si>
    <t>Ronald Livingston</t>
  </si>
  <si>
    <t>Natalie Chavarria</t>
  </si>
  <si>
    <t>Karla Mojica</t>
  </si>
  <si>
    <t>Rochelle Schiele</t>
  </si>
  <si>
    <t>Vanessa Hermosillo</t>
  </si>
  <si>
    <t>Claudia Garcia</t>
  </si>
  <si>
    <t>Cecilia Simpson</t>
  </si>
  <si>
    <t>Kaitlyn Hirst</t>
  </si>
  <si>
    <t>Ellis Lane</t>
  </si>
  <si>
    <t>Tracie Garza</t>
  </si>
  <si>
    <t>Tracy Avery</t>
  </si>
  <si>
    <t>Elena Sanchez</t>
  </si>
  <si>
    <t>Pamela Salazar</t>
  </si>
  <si>
    <t>Vanessa Vallejos</t>
  </si>
  <si>
    <t>Sojourner Brown</t>
  </si>
  <si>
    <t>Marlee Gabaldon</t>
  </si>
  <si>
    <t>Pete Garza</t>
  </si>
  <si>
    <t>Brenda Hardin</t>
  </si>
  <si>
    <t>Audrey Johnson</t>
  </si>
  <si>
    <t>William Dominguez</t>
  </si>
  <si>
    <t>Elizabeth Miranda</t>
  </si>
  <si>
    <t>Markievy Johnson</t>
  </si>
  <si>
    <t>Sisten Lipsey</t>
  </si>
  <si>
    <t>Jeremiah Willis</t>
  </si>
  <si>
    <t>Bianca Rocha</t>
  </si>
  <si>
    <t>Timothy Ward</t>
  </si>
  <si>
    <t>Kristina Pervel</t>
  </si>
  <si>
    <t>Payton Cooper</t>
  </si>
  <si>
    <t>Clarissa Wilson</t>
  </si>
  <si>
    <t>Sherrie James</t>
  </si>
  <si>
    <t>Kayla Bevil</t>
  </si>
  <si>
    <t>Raylyn Reynolds</t>
  </si>
  <si>
    <t>Ashley Lavergne</t>
  </si>
  <si>
    <t>Ashlie Holmes</t>
  </si>
  <si>
    <t>Whitney Hudson</t>
  </si>
  <si>
    <t>Anitra Smith</t>
  </si>
  <si>
    <t>Carrie Bryant</t>
  </si>
  <si>
    <t>Art</t>
  </si>
  <si>
    <t>Erica Day</t>
  </si>
  <si>
    <t>Nevada Washington</t>
  </si>
  <si>
    <t>Sarina White</t>
  </si>
  <si>
    <t>D.Thibedeaux</t>
  </si>
  <si>
    <t>Adria Richard</t>
  </si>
  <si>
    <t>Latoya Weary</t>
  </si>
  <si>
    <t>Briana Jones</t>
  </si>
  <si>
    <t>Kristy Esme</t>
  </si>
  <si>
    <t>Connie Hart</t>
  </si>
  <si>
    <t>Whitney Braxter</t>
  </si>
  <si>
    <t>Pamela Chavis</t>
  </si>
  <si>
    <t>Jada Gremillon</t>
  </si>
  <si>
    <t>Kentrella Shelby</t>
  </si>
  <si>
    <t>Mersadez Gobert</t>
  </si>
  <si>
    <t>Aspen Winn</t>
  </si>
  <si>
    <t>Chasity Arledge</t>
  </si>
  <si>
    <t>Juron Smith</t>
  </si>
  <si>
    <t>Carla Finnell</t>
  </si>
  <si>
    <t>Gloria Certa</t>
  </si>
  <si>
    <t>Makenzie Vandiver</t>
  </si>
  <si>
    <t>Fabiola Baca</t>
  </si>
  <si>
    <t>Seirra Solco</t>
  </si>
  <si>
    <t>Sharnee Cobb</t>
  </si>
  <si>
    <t>Daisy Contreras</t>
  </si>
  <si>
    <t>Taylor Parker</t>
  </si>
  <si>
    <t>Krystol Madison</t>
  </si>
  <si>
    <t>Nkenge Chambers-Costley</t>
  </si>
  <si>
    <t>Krystal Motton</t>
  </si>
  <si>
    <t>Jolinda Price-Cargile</t>
  </si>
  <si>
    <t>Da'Lisa Hatcher</t>
  </si>
  <si>
    <t>Osshanique Woods</t>
  </si>
  <si>
    <t>Bianca Broussard</t>
  </si>
  <si>
    <t>Dawn Fults</t>
  </si>
  <si>
    <t>Shannon Trotter</t>
  </si>
  <si>
    <t>Quentina Offord</t>
  </si>
  <si>
    <t>Blanca Gomez</t>
  </si>
  <si>
    <t>Omisha Richardson</t>
  </si>
  <si>
    <t>Tanya Celestine</t>
  </si>
  <si>
    <t>Stephanie Broussard</t>
  </si>
  <si>
    <t>Jessica Mose</t>
  </si>
  <si>
    <t>Dyron Clark</t>
  </si>
  <si>
    <t>Larewa Warren</t>
  </si>
  <si>
    <t>Ashley Lee</t>
  </si>
  <si>
    <t>Desmond Bridges Sr.</t>
  </si>
  <si>
    <t>Shareka Vallier</t>
  </si>
  <si>
    <t>Thaddius Rideau</t>
  </si>
  <si>
    <t>Latoya Young</t>
  </si>
  <si>
    <t>Shandilynne Holley</t>
  </si>
  <si>
    <t>Shaderika Grant</t>
  </si>
  <si>
    <t>Yvette Isom-Drake</t>
  </si>
  <si>
    <t>Diamond Pitre</t>
  </si>
  <si>
    <t>Tomeka Johnson</t>
  </si>
  <si>
    <t>Deana Mitchell</t>
  </si>
  <si>
    <t xml:space="preserve">LSAE Model </t>
  </si>
  <si>
    <t>Jatoria Williams</t>
  </si>
  <si>
    <t>Loretta Mack</t>
  </si>
  <si>
    <t>Julis Cullen</t>
  </si>
  <si>
    <t>Raeven Normand</t>
  </si>
  <si>
    <t>Jamie Mundy Lewis</t>
  </si>
  <si>
    <t>Tiffiney Collins</t>
  </si>
  <si>
    <t>Ashley Samuel</t>
  </si>
  <si>
    <t>Christina Goss</t>
  </si>
  <si>
    <t>Eric Brooks</t>
  </si>
  <si>
    <t>Malena Washington</t>
  </si>
  <si>
    <t>Shamika Fifer</t>
  </si>
  <si>
    <t>Pamela Kemajou</t>
  </si>
  <si>
    <t>Mysheka Bill</t>
  </si>
  <si>
    <t>Amonique Warren</t>
  </si>
  <si>
    <t>Wilford Scypion</t>
  </si>
  <si>
    <t>Tamesa Calloway</t>
  </si>
  <si>
    <t>Jeremy Cooper</t>
  </si>
  <si>
    <t>Jasmine Tucker</t>
  </si>
  <si>
    <t>Nautica Richard</t>
  </si>
  <si>
    <t>Aaron Walker</t>
  </si>
  <si>
    <t>Tonya Fairley</t>
  </si>
  <si>
    <t>Sarah Flores</t>
  </si>
  <si>
    <t>Darlene Oliveras</t>
  </si>
  <si>
    <t>Rene Rodriguez</t>
  </si>
  <si>
    <t>Kenrick Marks</t>
  </si>
  <si>
    <t>Aqua Henry</t>
  </si>
  <si>
    <t>DeLisa Guillory</t>
  </si>
  <si>
    <t>David Turrubiate</t>
  </si>
  <si>
    <t>Velma Guidry</t>
  </si>
  <si>
    <t>Decaqunita Forte</t>
  </si>
  <si>
    <t>Kuriston Tatman</t>
  </si>
  <si>
    <t>Emily McCurley</t>
  </si>
  <si>
    <t>Lola Gatlin</t>
  </si>
  <si>
    <t>Eureka Young</t>
  </si>
  <si>
    <t>Ballah Pewee</t>
  </si>
  <si>
    <t>Cleotha Johnigan</t>
  </si>
  <si>
    <t>Marvin Mercer</t>
  </si>
  <si>
    <t>Cierra Lewis</t>
  </si>
  <si>
    <t>Alexis Washington</t>
  </si>
  <si>
    <t>Cheryl Rami</t>
  </si>
  <si>
    <t>Jamie Rhodes</t>
  </si>
  <si>
    <t>Chataka Clark</t>
  </si>
  <si>
    <t>Darren Taylor</t>
  </si>
  <si>
    <t>Amber Foreman</t>
  </si>
  <si>
    <t>Consuelo Taylor</t>
  </si>
  <si>
    <t>Georgia Ensley</t>
  </si>
  <si>
    <t>Francine Pewee</t>
  </si>
  <si>
    <t>Brandon Washington</t>
  </si>
  <si>
    <t>Ernestine Baskin</t>
  </si>
  <si>
    <t>MarQuita Maxwell</t>
  </si>
  <si>
    <t>Kylon Wishom</t>
  </si>
  <si>
    <t>Jill Adoue</t>
  </si>
  <si>
    <t>Joshua Hamilton</t>
  </si>
  <si>
    <t>Chandelar Chavis</t>
  </si>
  <si>
    <t>Domonique Bell Taylor</t>
  </si>
  <si>
    <t>Jamarcus Smith</t>
  </si>
  <si>
    <t>Bridget Bowman</t>
  </si>
  <si>
    <t>McKenzie 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</si>
</sst>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m/dd/yyyy"/>
  </numFmts>
  <fonts count="8" x14ac:knownFonts="1">
    <font>
      <sz val="10"/>
      <color rgb="FF000000"/>
      <name val="Arial"/>
      <scheme val="minor"/>
    </font>
    <font>
      <b/>
      <sz val="10"/>
      <color theme="1"/>
      <name val="Calibri"/>
    </font>
    <font>
      <sz val="10"/>
      <color theme="1"/>
      <name val="Calibri"/>
    </font>
    <font>
      <sz val="10"/>
      <color theme="1"/>
      <name val="Calibri"/>
    </font>
    <font>
      <sz val="11"/>
      <color theme="1"/>
      <name val="Calibri"/>
    </font>
    <font>
      <sz val="10"/>
      <color theme="1"/>
      <name val="Arial"/>
      <scheme val="minor"/>
    </font>
    <font>
      <b/>
      <sz val="10"/>
      <color theme="1"/>
      <name val="Calibri"/>
    </font>
    <font>
      <sz val="10"/>
      <color theme="1"/>
      <name val="Arial"/>
    </font>
  </fonts>
  <fills count="4">
    <fill>
      <patternFill patternType="none"/>
    </fill>
    <fill>
      <patternFill patternType="gray125"/>
    </fill>
    <fill>
      <patternFill patternType="solid">
        <fgColor rgb="FF9FC5E8"/>
        <bgColor rgb="FF9FC5E8"/>
      </patternFill>
    </fill>
    <fill>
      <patternFill patternType="solid">
        <fgColor rgb="FFFFFF00"/>
        <bgColor rgb="FFFFFF0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7">
    <xf numFmtId="0" fontId="0" fillId="0" borderId="0" xfId="0"/>
    <xf numFmtId="0" fontId="1" fillId="2" borderId="0" xfId="0" applyFont="1" applyFill="1" applyAlignment="1">
      <alignment horizontal="left"/>
    </xf>
    <xf numFmtId="0" fontId="2" fillId="0" borderId="0" xfId="0" applyFont="1" applyAlignment="1">
      <alignment horizontal="left"/>
    </xf>
    <xf numFmtId="9" fontId="2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right"/>
    </xf>
    <xf numFmtId="0" fontId="1" fillId="0" borderId="0" xfId="0" applyFont="1"/>
    <xf numFmtId="0" fontId="1" fillId="2" borderId="0" xfId="0" applyFont="1" applyFill="1"/>
    <xf numFmtId="0" fontId="2" fillId="0" borderId="0" xfId="0" applyFont="1"/>
    <xf numFmtId="14" fontId="2" fillId="0" borderId="0" xfId="0" applyNumberFormat="1" applyFont="1"/>
    <xf numFmtId="9" fontId="2" fillId="0" borderId="0" xfId="0" applyNumberFormat="1" applyFont="1"/>
    <xf numFmtId="16" fontId="2" fillId="0" borderId="0" xfId="0" applyNumberFormat="1" applyFont="1"/>
    <xf numFmtId="14" fontId="3" fillId="0" borderId="0" xfId="0" applyNumberFormat="1" applyFont="1"/>
    <xf numFmtId="0" fontId="4" fillId="0" borderId="0" xfId="0" applyFont="1"/>
    <xf numFmtId="0" fontId="2" fillId="3" borderId="0" xfId="0" applyFont="1" applyFill="1"/>
    <xf numFmtId="164" fontId="2" fillId="0" borderId="0" xfId="0" applyNumberFormat="1" applyFont="1"/>
    <xf numFmtId="14" fontId="2" fillId="0" borderId="0" xfId="0" applyNumberFormat="1" applyFont="1" applyAlignment="1">
      <alignment horizontal="left"/>
    </xf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6" fillId="2" borderId="0" xfId="0" applyFont="1" applyFill="1" applyAlignment="1">
      <alignment horizontal="left"/>
    </xf>
    <xf numFmtId="14" fontId="3" fillId="0" borderId="0" xfId="0" applyNumberFormat="1" applyFont="1" applyAlignment="1">
      <alignment horizontal="left"/>
    </xf>
    <xf numFmtId="9" fontId="3" fillId="0" borderId="0" xfId="0" applyNumberFormat="1" applyFont="1" applyAlignment="1">
      <alignment horizontal="left"/>
    </xf>
    <xf numFmtId="49" fontId="6" fillId="0" borderId="0" xfId="0" applyNumberFormat="1" applyFont="1" applyAlignment="1">
      <alignment horizontal="left"/>
    </xf>
    <xf numFmtId="49" fontId="3" fillId="0" borderId="0" xfId="0" applyNumberFormat="1" applyFont="1" applyAlignment="1">
      <alignment horizontal="left"/>
    </xf>
    <xf numFmtId="14" fontId="7" fillId="0" borderId="0" xfId="0" applyNumberFormat="1" applyFont="1" applyAlignment="1">
      <alignment horizontal="left"/>
    </xf>
    <xf numFmtId="0" fontId="7" fillId="0" borderId="0" xfId="0" applyFont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2400" b="1">
                <a:solidFill>
                  <a:srgbClr val="000000"/>
                </a:solidFill>
                <a:latin typeface="+mn-lt"/>
              </a:defRPr>
            </a:pPr>
            <a:r>
              <a:rPr lang="en-US" sz="2400" b="1">
                <a:solidFill>
                  <a:srgbClr val="000000"/>
                </a:solidFill>
                <a:latin typeface="+mn-lt"/>
              </a:rPr>
              <a:t>AAL Spots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0B5394"/>
              </a:solidFill>
            </c:spPr>
            <c:extLst>
              <c:ext xmlns:c16="http://schemas.microsoft.com/office/drawing/2014/chart" uri="{C3380CC4-5D6E-409C-BE32-E72D297353CC}">
                <c16:uniqueId val="{00000001-F265-49F7-BFBF-76BC09CE98A7}"/>
              </c:ext>
            </c:extLst>
          </c:dPt>
          <c:dPt>
            <c:idx val="1"/>
            <c:bubble3D val="0"/>
            <c:spPr>
              <a:solidFill>
                <a:srgbClr val="F1C232"/>
              </a:solidFill>
            </c:spPr>
            <c:extLst>
              <c:ext xmlns:c16="http://schemas.microsoft.com/office/drawing/2014/chart" uri="{C3380CC4-5D6E-409C-BE32-E72D297353CC}">
                <c16:uniqueId val="{00000003-F265-49F7-BFBF-76BC09CE98A7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AAL!$A$12:$A$13</c:f>
              <c:strCache>
                <c:ptCount val="2"/>
                <c:pt idx="0">
                  <c:v>Proficient</c:v>
                </c:pt>
                <c:pt idx="1">
                  <c:v>Not Proficient</c:v>
                </c:pt>
              </c:strCache>
            </c:strRef>
          </c:cat>
          <c:val>
            <c:numRef>
              <c:f>AAL!$B$12:$B$13</c:f>
              <c:numCache>
                <c:formatCode>0%</c:formatCode>
                <c:ptCount val="2"/>
                <c:pt idx="0">
                  <c:v>0.78260869565217395</c:v>
                </c:pt>
                <c:pt idx="1">
                  <c:v>0.21739130434782608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265-49F7-BFBF-76BC09CE98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2400" b="1">
                <a:solidFill>
                  <a:srgbClr val="000000"/>
                </a:solidFill>
                <a:latin typeface="+mn-lt"/>
              </a:defRPr>
            </a:pPr>
            <a:r>
              <a:rPr lang="en-US" sz="2400" b="1">
                <a:solidFill>
                  <a:srgbClr val="000000"/>
                </a:solidFill>
                <a:latin typeface="+mn-lt"/>
              </a:rPr>
              <a:t>Smith Spots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0B5394"/>
              </a:solidFill>
            </c:spPr>
            <c:extLst>
              <c:ext xmlns:c16="http://schemas.microsoft.com/office/drawing/2014/chart" uri="{C3380CC4-5D6E-409C-BE32-E72D297353CC}">
                <c16:uniqueId val="{00000001-3792-4B06-92CE-9E8F570BB472}"/>
              </c:ext>
            </c:extLst>
          </c:dPt>
          <c:dPt>
            <c:idx val="1"/>
            <c:bubble3D val="0"/>
            <c:spPr>
              <a:solidFill>
                <a:srgbClr val="F1C232"/>
              </a:solidFill>
            </c:spPr>
            <c:extLst>
              <c:ext xmlns:c16="http://schemas.microsoft.com/office/drawing/2014/chart" uri="{C3380CC4-5D6E-409C-BE32-E72D297353CC}">
                <c16:uniqueId val="{00000003-3792-4B06-92CE-9E8F570BB472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SMITH!$A$11:$A$12</c:f>
              <c:strCache>
                <c:ptCount val="2"/>
                <c:pt idx="0">
                  <c:v>Proficient</c:v>
                </c:pt>
                <c:pt idx="1">
                  <c:v>Not Proficient</c:v>
                </c:pt>
              </c:strCache>
            </c:strRef>
          </c:cat>
          <c:val>
            <c:numRef>
              <c:f>SMITH!$B$11:$B$12</c:f>
              <c:numCache>
                <c:formatCode>0%</c:formatCode>
                <c:ptCount val="2"/>
                <c:pt idx="0">
                  <c:v>0.77500000000000002</c:v>
                </c:pt>
                <c:pt idx="1">
                  <c:v>0.22500000000000001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792-4B06-92CE-9E8F570BB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3000" b="1">
                <a:solidFill>
                  <a:srgbClr val="000000"/>
                </a:solidFill>
                <a:latin typeface="+mn-lt"/>
              </a:defRPr>
            </a:pPr>
            <a:r>
              <a:rPr sz="3000" b="1">
                <a:solidFill>
                  <a:srgbClr val="000000"/>
                </a:solidFill>
                <a:latin typeface="+mn-lt"/>
              </a:rPr>
              <a:t>AAL Spots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0B5394"/>
              </a:solidFill>
            </c:spPr>
            <c:extLst>
              <c:ext xmlns:c16="http://schemas.microsoft.com/office/drawing/2014/chart" uri="{C3380CC4-5D6E-409C-BE32-E72D297353CC}">
                <c16:uniqueId val="{00000001-62C4-43F1-9A88-4F7481527A44}"/>
              </c:ext>
            </c:extLst>
          </c:dPt>
          <c:dPt>
            <c:idx val="1"/>
            <c:bubble3D val="0"/>
            <c:spPr>
              <a:solidFill>
                <a:srgbClr val="F1C232"/>
              </a:solidFill>
            </c:spPr>
            <c:extLst>
              <c:ext xmlns:c16="http://schemas.microsoft.com/office/drawing/2014/chart" uri="{C3380CC4-5D6E-409C-BE32-E72D297353CC}">
                <c16:uniqueId val="{00000003-62C4-43F1-9A88-4F7481527A44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AAL!$A$12:$A$13</c:f>
              <c:strCache>
                <c:ptCount val="2"/>
                <c:pt idx="0">
                  <c:v>Proficient</c:v>
                </c:pt>
                <c:pt idx="1">
                  <c:v>Not Proficient</c:v>
                </c:pt>
              </c:strCache>
            </c:strRef>
          </c:cat>
          <c:val>
            <c:numRef>
              <c:f>AAL!$B$12:$B$13</c:f>
              <c:numCache>
                <c:formatCode>0%</c:formatCode>
                <c:ptCount val="2"/>
                <c:pt idx="0">
                  <c:v>0.78260869565217395</c:v>
                </c:pt>
                <c:pt idx="1">
                  <c:v>0.21739130434782608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C4-43F1-9A88-4F7481527A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3000" b="1">
                <a:solidFill>
                  <a:srgbClr val="000000"/>
                </a:solidFill>
                <a:latin typeface="+mn-lt"/>
              </a:defRPr>
            </a:pPr>
            <a:r>
              <a:rPr sz="3000" b="1">
                <a:solidFill>
                  <a:srgbClr val="000000"/>
                </a:solidFill>
                <a:latin typeface="+mn-lt"/>
              </a:rPr>
              <a:t>Coperni Spots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0B5394"/>
              </a:solidFill>
            </c:spPr>
            <c:extLst>
              <c:ext xmlns:c16="http://schemas.microsoft.com/office/drawing/2014/chart" uri="{C3380CC4-5D6E-409C-BE32-E72D297353CC}">
                <c16:uniqueId val="{00000001-7E4E-43A0-97F7-0F608D30E636}"/>
              </c:ext>
            </c:extLst>
          </c:dPt>
          <c:dPt>
            <c:idx val="1"/>
            <c:bubble3D val="0"/>
            <c:spPr>
              <a:solidFill>
                <a:srgbClr val="F1C232"/>
              </a:solidFill>
            </c:spPr>
            <c:extLst>
              <c:ext xmlns:c16="http://schemas.microsoft.com/office/drawing/2014/chart" uri="{C3380CC4-5D6E-409C-BE32-E72D297353CC}">
                <c16:uniqueId val="{00000003-7E4E-43A0-97F7-0F608D30E636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'C3'!$A$9:$A$10</c:f>
              <c:strCache>
                <c:ptCount val="2"/>
                <c:pt idx="0">
                  <c:v>Proficient</c:v>
                </c:pt>
                <c:pt idx="1">
                  <c:v>Not Proficient</c:v>
                </c:pt>
              </c:strCache>
            </c:strRef>
          </c:cat>
          <c:val>
            <c:numRef>
              <c:f>'C3'!$B$9:$B$10</c:f>
              <c:numCache>
                <c:formatCode>0%</c:formatCode>
                <c:ptCount val="2"/>
                <c:pt idx="0">
                  <c:v>0.76470588235294112</c:v>
                </c:pt>
                <c:pt idx="1">
                  <c:v>0.23529411764705882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E4E-43A0-97F7-0F608D30E6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3000" b="1">
                <a:solidFill>
                  <a:srgbClr val="000000"/>
                </a:solidFill>
                <a:latin typeface="+mn-lt"/>
              </a:defRPr>
            </a:pPr>
            <a:r>
              <a:rPr sz="3000" b="1">
                <a:solidFill>
                  <a:srgbClr val="000000"/>
                </a:solidFill>
                <a:latin typeface="+mn-lt"/>
              </a:rPr>
              <a:t>Lamar Spots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0B5394"/>
              </a:solidFill>
            </c:spPr>
            <c:extLst>
              <c:ext xmlns:c16="http://schemas.microsoft.com/office/drawing/2014/chart" uri="{C3380CC4-5D6E-409C-BE32-E72D297353CC}">
                <c16:uniqueId val="{00000001-8768-418E-BDB9-6C1BFC9D662A}"/>
              </c:ext>
            </c:extLst>
          </c:dPt>
          <c:dPt>
            <c:idx val="1"/>
            <c:bubble3D val="0"/>
            <c:spPr>
              <a:solidFill>
                <a:srgbClr val="F1C232"/>
              </a:solidFill>
            </c:spPr>
            <c:extLst>
              <c:ext xmlns:c16="http://schemas.microsoft.com/office/drawing/2014/chart" uri="{C3380CC4-5D6E-409C-BE32-E72D297353CC}">
                <c16:uniqueId val="{00000003-8768-418E-BDB9-6C1BFC9D662A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LAMAR!$A$9:$A$10</c:f>
              <c:strCache>
                <c:ptCount val="2"/>
                <c:pt idx="0">
                  <c:v>Proficient</c:v>
                </c:pt>
                <c:pt idx="1">
                  <c:v>Not Proficient</c:v>
                </c:pt>
              </c:strCache>
            </c:strRef>
          </c:cat>
          <c:val>
            <c:numRef>
              <c:f>LAMAR!$B$9:$B$10</c:f>
              <c:numCache>
                <c:formatCode>0%</c:formatCode>
                <c:ptCount val="2"/>
                <c:pt idx="0">
                  <c:v>0.72727272727272729</c:v>
                </c:pt>
                <c:pt idx="1">
                  <c:v>0.27272727272727271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768-418E-BDB9-6C1BFC9D66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3000" b="1">
                <a:solidFill>
                  <a:srgbClr val="000000"/>
                </a:solidFill>
                <a:latin typeface="+mn-lt"/>
              </a:defRPr>
            </a:pPr>
            <a:r>
              <a:rPr sz="3000" b="1">
                <a:solidFill>
                  <a:srgbClr val="000000"/>
                </a:solidFill>
                <a:latin typeface="+mn-lt"/>
              </a:rPr>
              <a:t>Sam Spots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0B5394"/>
              </a:solidFill>
            </c:spPr>
            <c:extLst>
              <c:ext xmlns:c16="http://schemas.microsoft.com/office/drawing/2014/chart" uri="{C3380CC4-5D6E-409C-BE32-E72D297353CC}">
                <c16:uniqueId val="{00000001-1F44-44B6-A952-90E16E4A7282}"/>
              </c:ext>
            </c:extLst>
          </c:dPt>
          <c:dPt>
            <c:idx val="1"/>
            <c:bubble3D val="0"/>
            <c:spPr>
              <a:solidFill>
                <a:srgbClr val="F1C232"/>
              </a:solidFill>
            </c:spPr>
            <c:extLst>
              <c:ext xmlns:c16="http://schemas.microsoft.com/office/drawing/2014/chart" uri="{C3380CC4-5D6E-409C-BE32-E72D297353CC}">
                <c16:uniqueId val="{00000003-1F44-44B6-A952-90E16E4A7282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SAM!$A$10:$A$11</c:f>
              <c:strCache>
                <c:ptCount val="2"/>
                <c:pt idx="0">
                  <c:v>Proficient</c:v>
                </c:pt>
                <c:pt idx="1">
                  <c:v>Not Proficient</c:v>
                </c:pt>
              </c:strCache>
            </c:strRef>
          </c:cat>
          <c:val>
            <c:numRef>
              <c:f>SAM!$B$10:$B$11</c:f>
              <c:numCache>
                <c:formatCode>0%</c:formatCode>
                <c:ptCount val="2"/>
                <c:pt idx="0">
                  <c:v>0.93333333333333335</c:v>
                </c:pt>
                <c:pt idx="1">
                  <c:v>6.6666666666666666E-2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44-44B6-A952-90E16E4A72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3000" b="1">
                <a:solidFill>
                  <a:srgbClr val="000000"/>
                </a:solidFill>
                <a:latin typeface="+mn-lt"/>
              </a:defRPr>
            </a:pPr>
            <a:r>
              <a:rPr sz="3000" b="1">
                <a:solidFill>
                  <a:srgbClr val="000000"/>
                </a:solidFill>
                <a:latin typeface="+mn-lt"/>
              </a:rPr>
              <a:t>Ector Spots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0B5394"/>
              </a:solidFill>
            </c:spPr>
            <c:extLst>
              <c:ext xmlns:c16="http://schemas.microsoft.com/office/drawing/2014/chart" uri="{C3380CC4-5D6E-409C-BE32-E72D297353CC}">
                <c16:uniqueId val="{00000001-AE1E-42EA-8C2D-229D2F570E84}"/>
              </c:ext>
            </c:extLst>
          </c:dPt>
          <c:dPt>
            <c:idx val="1"/>
            <c:bubble3D val="0"/>
            <c:spPr>
              <a:solidFill>
                <a:srgbClr val="F1C232"/>
              </a:solidFill>
            </c:spPr>
            <c:extLst>
              <c:ext xmlns:c16="http://schemas.microsoft.com/office/drawing/2014/chart" uri="{C3380CC4-5D6E-409C-BE32-E72D297353CC}">
                <c16:uniqueId val="{00000003-AE1E-42EA-8C2D-229D2F570E84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ECP!$A$14:$A$15</c:f>
              <c:strCache>
                <c:ptCount val="2"/>
                <c:pt idx="0">
                  <c:v>Proficient</c:v>
                </c:pt>
                <c:pt idx="1">
                  <c:v>Not Proficient</c:v>
                </c:pt>
              </c:strCache>
            </c:strRef>
          </c:cat>
          <c:val>
            <c:numRef>
              <c:f>ECP!$B$14:$B$15</c:f>
              <c:numCache>
                <c:formatCode>0%</c:formatCode>
                <c:ptCount val="2"/>
                <c:pt idx="0">
                  <c:v>0.96825396825396826</c:v>
                </c:pt>
                <c:pt idx="1">
                  <c:v>3.1746031746031744E-2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E1E-42EA-8C2D-229D2F570E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3000" b="1">
                <a:solidFill>
                  <a:srgbClr val="000000"/>
                </a:solidFill>
                <a:latin typeface="+mn-lt"/>
              </a:defRPr>
            </a:pPr>
            <a:r>
              <a:rPr sz="3000" b="1">
                <a:solidFill>
                  <a:srgbClr val="000000"/>
                </a:solidFill>
                <a:latin typeface="+mn-lt"/>
              </a:rPr>
              <a:t>Mendez Spots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0B5394"/>
              </a:solidFill>
            </c:spPr>
            <c:extLst>
              <c:ext xmlns:c16="http://schemas.microsoft.com/office/drawing/2014/chart" uri="{C3380CC4-5D6E-409C-BE32-E72D297353CC}">
                <c16:uniqueId val="{00000001-8DCC-4999-A264-672246893B4C}"/>
              </c:ext>
            </c:extLst>
          </c:dPt>
          <c:dPt>
            <c:idx val="1"/>
            <c:bubble3D val="0"/>
            <c:spPr>
              <a:solidFill>
                <a:srgbClr val="F1C232"/>
              </a:solidFill>
            </c:spPr>
            <c:extLst>
              <c:ext xmlns:c16="http://schemas.microsoft.com/office/drawing/2014/chart" uri="{C3380CC4-5D6E-409C-BE32-E72D297353CC}">
                <c16:uniqueId val="{00000003-8DCC-4999-A264-672246893B4C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MMS!$A$9:$A$10</c:f>
              <c:strCache>
                <c:ptCount val="2"/>
                <c:pt idx="0">
                  <c:v>Proficient</c:v>
                </c:pt>
                <c:pt idx="1">
                  <c:v>Not Proficient</c:v>
                </c:pt>
              </c:strCache>
            </c:strRef>
          </c:cat>
          <c:val>
            <c:numRef>
              <c:f>MMS!$B$9:$B$10</c:f>
              <c:numCache>
                <c:formatCode>0%</c:formatCode>
                <c:ptCount val="2"/>
                <c:pt idx="0">
                  <c:v>0.7142857142857143</c:v>
                </c:pt>
                <c:pt idx="1">
                  <c:v>0.2857142857142857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DCC-4999-A264-672246893B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3000" b="1">
                <a:solidFill>
                  <a:srgbClr val="000000"/>
                </a:solidFill>
                <a:latin typeface="+mn-lt"/>
              </a:defRPr>
            </a:pPr>
            <a:r>
              <a:rPr sz="3000" b="1">
                <a:solidFill>
                  <a:srgbClr val="000000"/>
                </a:solidFill>
                <a:latin typeface="+mn-lt"/>
              </a:rPr>
              <a:t>Fehl-Price Spots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0B5394"/>
              </a:solidFill>
            </c:spPr>
            <c:extLst>
              <c:ext xmlns:c16="http://schemas.microsoft.com/office/drawing/2014/chart" uri="{C3380CC4-5D6E-409C-BE32-E72D297353CC}">
                <c16:uniqueId val="{00000001-B4D9-468A-B99E-2DF758E4EAF3}"/>
              </c:ext>
            </c:extLst>
          </c:dPt>
          <c:dPt>
            <c:idx val="1"/>
            <c:bubble3D val="0"/>
            <c:spPr>
              <a:solidFill>
                <a:srgbClr val="F1C232"/>
              </a:solidFill>
            </c:spPr>
            <c:extLst>
              <c:ext xmlns:c16="http://schemas.microsoft.com/office/drawing/2014/chart" uri="{C3380CC4-5D6E-409C-BE32-E72D297353CC}">
                <c16:uniqueId val="{00000003-B4D9-468A-B99E-2DF758E4EAF3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FEHL!$A$11:$A$12</c:f>
              <c:strCache>
                <c:ptCount val="2"/>
                <c:pt idx="0">
                  <c:v>Proficient</c:v>
                </c:pt>
                <c:pt idx="1">
                  <c:v>Not Proficient</c:v>
                </c:pt>
              </c:strCache>
            </c:strRef>
          </c:cat>
          <c:val>
            <c:numRef>
              <c:f>FEHL!$B$11:$B$12</c:f>
              <c:numCache>
                <c:formatCode>0%</c:formatCode>
                <c:ptCount val="2"/>
                <c:pt idx="0">
                  <c:v>0.62222222222222223</c:v>
                </c:pt>
                <c:pt idx="1">
                  <c:v>0.37777777777777777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4D9-468A-B99E-2DF758E4E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3000" b="1">
                <a:solidFill>
                  <a:srgbClr val="000000"/>
                </a:solidFill>
                <a:latin typeface="+mn-lt"/>
              </a:defRPr>
            </a:pPr>
            <a:r>
              <a:rPr sz="3000" b="1">
                <a:solidFill>
                  <a:srgbClr val="000000"/>
                </a:solidFill>
                <a:latin typeface="+mn-lt"/>
              </a:rPr>
              <a:t>Jones-Clark Spots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0B5394"/>
              </a:solidFill>
            </c:spPr>
            <c:extLst>
              <c:ext xmlns:c16="http://schemas.microsoft.com/office/drawing/2014/chart" uri="{C3380CC4-5D6E-409C-BE32-E72D297353CC}">
                <c16:uniqueId val="{00000001-C029-4C54-A28E-35DF7E0603B0}"/>
              </c:ext>
            </c:extLst>
          </c:dPt>
          <c:dPt>
            <c:idx val="1"/>
            <c:bubble3D val="0"/>
            <c:spPr>
              <a:solidFill>
                <a:srgbClr val="F1C232"/>
              </a:solidFill>
            </c:spPr>
            <c:extLst>
              <c:ext xmlns:c16="http://schemas.microsoft.com/office/drawing/2014/chart" uri="{C3380CC4-5D6E-409C-BE32-E72D297353CC}">
                <c16:uniqueId val="{00000003-C029-4C54-A28E-35DF7E0603B0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JONES!$A$10:$A$11</c:f>
              <c:strCache>
                <c:ptCount val="2"/>
                <c:pt idx="0">
                  <c:v>Proficient</c:v>
                </c:pt>
                <c:pt idx="1">
                  <c:v>Not Proficient</c:v>
                </c:pt>
              </c:strCache>
            </c:strRef>
          </c:cat>
          <c:val>
            <c:numRef>
              <c:f>JONES!$B$10:$B$11</c:f>
              <c:numCache>
                <c:formatCode>0%</c:formatCode>
                <c:ptCount val="2"/>
                <c:pt idx="0">
                  <c:v>0.5</c:v>
                </c:pt>
                <c:pt idx="1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029-4C54-A28E-35DF7E0603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3000" b="1">
                <a:solidFill>
                  <a:srgbClr val="000000"/>
                </a:solidFill>
                <a:latin typeface="+mn-lt"/>
              </a:defRPr>
            </a:pPr>
            <a:r>
              <a:rPr sz="3000" b="1">
                <a:solidFill>
                  <a:srgbClr val="000000"/>
                </a:solidFill>
                <a:latin typeface="+mn-lt"/>
              </a:rPr>
              <a:t>Smith Spots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0B5394"/>
              </a:solidFill>
            </c:spPr>
            <c:extLst>
              <c:ext xmlns:c16="http://schemas.microsoft.com/office/drawing/2014/chart" uri="{C3380CC4-5D6E-409C-BE32-E72D297353CC}">
                <c16:uniqueId val="{00000001-86A0-44F0-B12A-EC510820CC36}"/>
              </c:ext>
            </c:extLst>
          </c:dPt>
          <c:dPt>
            <c:idx val="1"/>
            <c:bubble3D val="0"/>
            <c:spPr>
              <a:solidFill>
                <a:srgbClr val="F1C232"/>
              </a:solidFill>
            </c:spPr>
            <c:extLst>
              <c:ext xmlns:c16="http://schemas.microsoft.com/office/drawing/2014/chart" uri="{C3380CC4-5D6E-409C-BE32-E72D297353CC}">
                <c16:uniqueId val="{00000003-86A0-44F0-B12A-EC510820CC36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SMITH!$A$11:$A$12</c:f>
              <c:strCache>
                <c:ptCount val="2"/>
                <c:pt idx="0">
                  <c:v>Proficient</c:v>
                </c:pt>
                <c:pt idx="1">
                  <c:v>Not Proficient</c:v>
                </c:pt>
              </c:strCache>
            </c:strRef>
          </c:cat>
          <c:val>
            <c:numRef>
              <c:f>SMITH!$B$11:$B$12</c:f>
              <c:numCache>
                <c:formatCode>0%</c:formatCode>
                <c:ptCount val="2"/>
                <c:pt idx="0">
                  <c:v>0.77500000000000002</c:v>
                </c:pt>
                <c:pt idx="1">
                  <c:v>0.22500000000000001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6A0-44F0-B12A-EC510820CC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2400" b="1">
                <a:solidFill>
                  <a:srgbClr val="000000"/>
                </a:solidFill>
                <a:latin typeface="+mn-lt"/>
              </a:defRPr>
            </a:pPr>
            <a:r>
              <a:rPr lang="en-US" sz="2400" b="1">
                <a:solidFill>
                  <a:srgbClr val="000000"/>
                </a:solidFill>
                <a:latin typeface="+mn-lt"/>
              </a:rPr>
              <a:t>Coperni Spots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0B5394"/>
              </a:solidFill>
            </c:spPr>
            <c:extLst>
              <c:ext xmlns:c16="http://schemas.microsoft.com/office/drawing/2014/chart" uri="{C3380CC4-5D6E-409C-BE32-E72D297353CC}">
                <c16:uniqueId val="{00000001-852B-41E1-9FE1-938EFB3FAFA6}"/>
              </c:ext>
            </c:extLst>
          </c:dPt>
          <c:dPt>
            <c:idx val="1"/>
            <c:bubble3D val="0"/>
            <c:spPr>
              <a:solidFill>
                <a:srgbClr val="F1C232"/>
              </a:solidFill>
            </c:spPr>
            <c:extLst>
              <c:ext xmlns:c16="http://schemas.microsoft.com/office/drawing/2014/chart" uri="{C3380CC4-5D6E-409C-BE32-E72D297353CC}">
                <c16:uniqueId val="{00000003-852B-41E1-9FE1-938EFB3FAFA6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'C3'!$A$9:$A$10</c:f>
              <c:strCache>
                <c:ptCount val="2"/>
                <c:pt idx="0">
                  <c:v>Proficient</c:v>
                </c:pt>
                <c:pt idx="1">
                  <c:v>Not Proficient</c:v>
                </c:pt>
              </c:strCache>
            </c:strRef>
          </c:cat>
          <c:val>
            <c:numRef>
              <c:f>'C3'!$B$9:$B$10</c:f>
              <c:numCache>
                <c:formatCode>0%</c:formatCode>
                <c:ptCount val="2"/>
                <c:pt idx="0">
                  <c:v>0.76470588235294112</c:v>
                </c:pt>
                <c:pt idx="1">
                  <c:v>0.23529411764705882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52B-41E1-9FE1-938EFB3FAF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3000" b="1">
                <a:solidFill>
                  <a:srgbClr val="000000"/>
                </a:solidFill>
                <a:latin typeface="+mn-lt"/>
              </a:defRPr>
            </a:pPr>
            <a:r>
              <a:rPr sz="3000" b="1">
                <a:solidFill>
                  <a:srgbClr val="000000"/>
                </a:solidFill>
                <a:latin typeface="+mn-lt"/>
              </a:rPr>
              <a:t>Prescott Spots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0B5394"/>
              </a:solidFill>
            </c:spPr>
            <c:extLst>
              <c:ext xmlns:c16="http://schemas.microsoft.com/office/drawing/2014/chart" uri="{C3380CC4-5D6E-409C-BE32-E72D297353CC}">
                <c16:uniqueId val="{00000001-FC8C-4910-8CC2-272B125FAF3A}"/>
              </c:ext>
            </c:extLst>
          </c:dPt>
          <c:dPt>
            <c:idx val="1"/>
            <c:bubble3D val="0"/>
            <c:spPr>
              <a:solidFill>
                <a:srgbClr val="F1C232"/>
              </a:solidFill>
            </c:spPr>
            <c:extLst>
              <c:ext xmlns:c16="http://schemas.microsoft.com/office/drawing/2014/chart" uri="{C3380CC4-5D6E-409C-BE32-E72D297353CC}">
                <c16:uniqueId val="{00000003-FC8C-4910-8CC2-272B125FAF3A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PRESCOTT!$A$10:$A$11</c:f>
              <c:strCache>
                <c:ptCount val="2"/>
                <c:pt idx="0">
                  <c:v>Proficient</c:v>
                </c:pt>
                <c:pt idx="1">
                  <c:v>Not Proficient</c:v>
                </c:pt>
              </c:strCache>
            </c:strRef>
          </c:cat>
          <c:val>
            <c:numRef>
              <c:f>PRESCOTT!$B$10:$B$11</c:f>
              <c:numCache>
                <c:formatCode>0%</c:formatCode>
                <c:ptCount val="2"/>
                <c:pt idx="0">
                  <c:v>0.92307692307692313</c:v>
                </c:pt>
                <c:pt idx="1">
                  <c:v>7.6923076923076927E-2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C8C-4910-8CC2-272B125FAF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2400" b="1">
                <a:solidFill>
                  <a:srgbClr val="000000"/>
                </a:solidFill>
                <a:latin typeface="+mn-lt"/>
              </a:defRPr>
            </a:pPr>
            <a:r>
              <a:rPr lang="en-US" sz="2400" b="1">
                <a:solidFill>
                  <a:srgbClr val="000000"/>
                </a:solidFill>
                <a:latin typeface="+mn-lt"/>
              </a:rPr>
              <a:t>Sam Spots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0B5394"/>
              </a:solidFill>
            </c:spPr>
            <c:extLst>
              <c:ext xmlns:c16="http://schemas.microsoft.com/office/drawing/2014/chart" uri="{C3380CC4-5D6E-409C-BE32-E72D297353CC}">
                <c16:uniqueId val="{00000001-7620-45D1-A689-A506E9AF24D0}"/>
              </c:ext>
            </c:extLst>
          </c:dPt>
          <c:dPt>
            <c:idx val="1"/>
            <c:bubble3D val="0"/>
            <c:spPr>
              <a:solidFill>
                <a:srgbClr val="F1C232"/>
              </a:solidFill>
            </c:spPr>
            <c:extLst>
              <c:ext xmlns:c16="http://schemas.microsoft.com/office/drawing/2014/chart" uri="{C3380CC4-5D6E-409C-BE32-E72D297353CC}">
                <c16:uniqueId val="{00000003-7620-45D1-A689-A506E9AF24D0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SAM!$A$10:$A$11</c:f>
              <c:strCache>
                <c:ptCount val="2"/>
                <c:pt idx="0">
                  <c:v>Proficient</c:v>
                </c:pt>
                <c:pt idx="1">
                  <c:v>Not Proficient</c:v>
                </c:pt>
              </c:strCache>
            </c:strRef>
          </c:cat>
          <c:val>
            <c:numRef>
              <c:f>SAM!$B$10:$B$11</c:f>
              <c:numCache>
                <c:formatCode>0%</c:formatCode>
                <c:ptCount val="2"/>
                <c:pt idx="0">
                  <c:v>0.93333333333333335</c:v>
                </c:pt>
                <c:pt idx="1">
                  <c:v>6.6666666666666666E-2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620-45D1-A689-A506E9AF24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2400" b="1">
                <a:solidFill>
                  <a:srgbClr val="000000"/>
                </a:solidFill>
                <a:latin typeface="+mn-lt"/>
              </a:defRPr>
            </a:pPr>
            <a:r>
              <a:rPr lang="en-US" sz="2400" b="1">
                <a:solidFill>
                  <a:srgbClr val="000000"/>
                </a:solidFill>
                <a:latin typeface="+mn-lt"/>
              </a:rPr>
              <a:t>Lamar Spots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0B5394"/>
              </a:solidFill>
            </c:spPr>
            <c:extLst>
              <c:ext xmlns:c16="http://schemas.microsoft.com/office/drawing/2014/chart" uri="{C3380CC4-5D6E-409C-BE32-E72D297353CC}">
                <c16:uniqueId val="{00000001-99D8-4F05-8253-FD00366C5C18}"/>
              </c:ext>
            </c:extLst>
          </c:dPt>
          <c:dPt>
            <c:idx val="1"/>
            <c:bubble3D val="0"/>
            <c:spPr>
              <a:solidFill>
                <a:srgbClr val="F1C232"/>
              </a:solidFill>
            </c:spPr>
            <c:extLst>
              <c:ext xmlns:c16="http://schemas.microsoft.com/office/drawing/2014/chart" uri="{C3380CC4-5D6E-409C-BE32-E72D297353CC}">
                <c16:uniqueId val="{00000003-99D8-4F05-8253-FD00366C5C18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LAMAR!$A$9:$A$10</c:f>
              <c:strCache>
                <c:ptCount val="2"/>
                <c:pt idx="0">
                  <c:v>Proficient</c:v>
                </c:pt>
                <c:pt idx="1">
                  <c:v>Not Proficient</c:v>
                </c:pt>
              </c:strCache>
            </c:strRef>
          </c:cat>
          <c:val>
            <c:numRef>
              <c:f>LAMAR!$B$9:$B$10</c:f>
              <c:numCache>
                <c:formatCode>0%</c:formatCode>
                <c:ptCount val="2"/>
                <c:pt idx="0">
                  <c:v>0.72727272727272729</c:v>
                </c:pt>
                <c:pt idx="1">
                  <c:v>0.27272727272727271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9D8-4F05-8253-FD00366C5C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2400" b="1">
                <a:solidFill>
                  <a:srgbClr val="000000"/>
                </a:solidFill>
                <a:latin typeface="+mn-lt"/>
              </a:defRPr>
            </a:pPr>
            <a:r>
              <a:rPr lang="en-US" sz="2400" b="1">
                <a:solidFill>
                  <a:srgbClr val="000000"/>
                </a:solidFill>
                <a:latin typeface="+mn-lt"/>
              </a:rPr>
              <a:t>Ector Spots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0B5394"/>
              </a:solidFill>
            </c:spPr>
            <c:extLst>
              <c:ext xmlns:c16="http://schemas.microsoft.com/office/drawing/2014/chart" uri="{C3380CC4-5D6E-409C-BE32-E72D297353CC}">
                <c16:uniqueId val="{00000001-AA6C-4816-B8E7-AE65E16FC43E}"/>
              </c:ext>
            </c:extLst>
          </c:dPt>
          <c:dPt>
            <c:idx val="1"/>
            <c:bubble3D val="0"/>
            <c:spPr>
              <a:solidFill>
                <a:srgbClr val="F1C232"/>
              </a:solidFill>
            </c:spPr>
            <c:extLst>
              <c:ext xmlns:c16="http://schemas.microsoft.com/office/drawing/2014/chart" uri="{C3380CC4-5D6E-409C-BE32-E72D297353CC}">
                <c16:uniqueId val="{00000003-AA6C-4816-B8E7-AE65E16FC43E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ECP!$A$14:$A$15</c:f>
              <c:strCache>
                <c:ptCount val="2"/>
                <c:pt idx="0">
                  <c:v>Proficient</c:v>
                </c:pt>
                <c:pt idx="1">
                  <c:v>Not Proficient</c:v>
                </c:pt>
              </c:strCache>
            </c:strRef>
          </c:cat>
          <c:val>
            <c:numRef>
              <c:f>ECP!$B$14:$B$15</c:f>
              <c:numCache>
                <c:formatCode>0%</c:formatCode>
                <c:ptCount val="2"/>
                <c:pt idx="0">
                  <c:v>0.96825396825396826</c:v>
                </c:pt>
                <c:pt idx="1">
                  <c:v>3.1746031746031744E-2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A6C-4816-B8E7-AE65E16FC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2400" b="1">
                <a:solidFill>
                  <a:srgbClr val="000000"/>
                </a:solidFill>
                <a:latin typeface="+mn-lt"/>
              </a:defRPr>
            </a:pPr>
            <a:r>
              <a:rPr lang="en-US" sz="2400" b="1">
                <a:solidFill>
                  <a:srgbClr val="000000"/>
                </a:solidFill>
                <a:latin typeface="+mn-lt"/>
              </a:rPr>
              <a:t>Mendez Spots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5.005617977528088E-2"/>
          <c:y val="0.27594339622641512"/>
          <c:w val="0.90101123595505617"/>
          <c:h val="0.6007075471698114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0B5394"/>
              </a:solidFill>
            </c:spPr>
            <c:extLst>
              <c:ext xmlns:c16="http://schemas.microsoft.com/office/drawing/2014/chart" uri="{C3380CC4-5D6E-409C-BE32-E72D297353CC}">
                <c16:uniqueId val="{00000001-8949-4741-9076-43A6CFB02C9D}"/>
              </c:ext>
            </c:extLst>
          </c:dPt>
          <c:dPt>
            <c:idx val="1"/>
            <c:bubble3D val="0"/>
            <c:spPr>
              <a:solidFill>
                <a:srgbClr val="F1C232"/>
              </a:solidFill>
            </c:spPr>
            <c:extLst>
              <c:ext xmlns:c16="http://schemas.microsoft.com/office/drawing/2014/chart" uri="{C3380CC4-5D6E-409C-BE32-E72D297353CC}">
                <c16:uniqueId val="{00000003-8949-4741-9076-43A6CFB02C9D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MMS!$A$9:$A$10</c:f>
              <c:strCache>
                <c:ptCount val="2"/>
                <c:pt idx="0">
                  <c:v>Proficient</c:v>
                </c:pt>
                <c:pt idx="1">
                  <c:v>Not Proficient</c:v>
                </c:pt>
              </c:strCache>
            </c:strRef>
          </c:cat>
          <c:val>
            <c:numRef>
              <c:f>MMS!$B$9:$B$10</c:f>
              <c:numCache>
                <c:formatCode>0%</c:formatCode>
                <c:ptCount val="2"/>
                <c:pt idx="0">
                  <c:v>0.7142857142857143</c:v>
                </c:pt>
                <c:pt idx="1">
                  <c:v>0.2857142857142857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949-4741-9076-43A6CFB02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2400" b="1">
                <a:solidFill>
                  <a:srgbClr val="000000"/>
                </a:solidFill>
                <a:latin typeface="+mn-lt"/>
              </a:defRPr>
            </a:pPr>
            <a:r>
              <a:rPr lang="en-US" sz="2400" b="1">
                <a:solidFill>
                  <a:srgbClr val="000000"/>
                </a:solidFill>
                <a:latin typeface="+mn-lt"/>
              </a:rPr>
              <a:t>Prescott Spots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0B5394"/>
              </a:solidFill>
            </c:spPr>
            <c:extLst>
              <c:ext xmlns:c16="http://schemas.microsoft.com/office/drawing/2014/chart" uri="{C3380CC4-5D6E-409C-BE32-E72D297353CC}">
                <c16:uniqueId val="{00000001-B46C-495E-B2DE-AD21FC58929C}"/>
              </c:ext>
            </c:extLst>
          </c:dPt>
          <c:dPt>
            <c:idx val="1"/>
            <c:bubble3D val="0"/>
            <c:spPr>
              <a:solidFill>
                <a:srgbClr val="F1C232"/>
              </a:solidFill>
            </c:spPr>
            <c:extLst>
              <c:ext xmlns:c16="http://schemas.microsoft.com/office/drawing/2014/chart" uri="{C3380CC4-5D6E-409C-BE32-E72D297353CC}">
                <c16:uniqueId val="{00000003-B46C-495E-B2DE-AD21FC58929C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PRESCOTT!$A$10:$A$11</c:f>
              <c:strCache>
                <c:ptCount val="2"/>
                <c:pt idx="0">
                  <c:v>Proficient</c:v>
                </c:pt>
                <c:pt idx="1">
                  <c:v>Not Proficient</c:v>
                </c:pt>
              </c:strCache>
            </c:strRef>
          </c:cat>
          <c:val>
            <c:numRef>
              <c:f>PRESCOTT!$B$10:$B$11</c:f>
              <c:numCache>
                <c:formatCode>0%</c:formatCode>
                <c:ptCount val="2"/>
                <c:pt idx="0">
                  <c:v>0.92307692307692313</c:v>
                </c:pt>
                <c:pt idx="1">
                  <c:v>7.6923076923076927E-2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46C-495E-B2DE-AD21FC5892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2400" b="1">
                <a:solidFill>
                  <a:srgbClr val="000000"/>
                </a:solidFill>
                <a:latin typeface="+mn-lt"/>
              </a:defRPr>
            </a:pPr>
            <a:r>
              <a:rPr lang="en-US" sz="2400" b="1">
                <a:solidFill>
                  <a:srgbClr val="000000"/>
                </a:solidFill>
                <a:latin typeface="+mn-lt"/>
              </a:rPr>
              <a:t>Fehl Spots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0B5394"/>
              </a:solidFill>
            </c:spPr>
            <c:extLst>
              <c:ext xmlns:c16="http://schemas.microsoft.com/office/drawing/2014/chart" uri="{C3380CC4-5D6E-409C-BE32-E72D297353CC}">
                <c16:uniqueId val="{00000001-B896-4815-AF78-562659FA2253}"/>
              </c:ext>
            </c:extLst>
          </c:dPt>
          <c:dPt>
            <c:idx val="1"/>
            <c:bubble3D val="0"/>
            <c:spPr>
              <a:solidFill>
                <a:srgbClr val="F1C232"/>
              </a:solidFill>
            </c:spPr>
            <c:extLst>
              <c:ext xmlns:c16="http://schemas.microsoft.com/office/drawing/2014/chart" uri="{C3380CC4-5D6E-409C-BE32-E72D297353CC}">
                <c16:uniqueId val="{00000003-B896-4815-AF78-562659FA2253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FEHL!$A$11:$A$12</c:f>
              <c:strCache>
                <c:ptCount val="2"/>
                <c:pt idx="0">
                  <c:v>Proficient</c:v>
                </c:pt>
                <c:pt idx="1">
                  <c:v>Not Proficient</c:v>
                </c:pt>
              </c:strCache>
            </c:strRef>
          </c:cat>
          <c:val>
            <c:numRef>
              <c:f>FEHL!$B$11:$B$12</c:f>
              <c:numCache>
                <c:formatCode>0%</c:formatCode>
                <c:ptCount val="2"/>
                <c:pt idx="0">
                  <c:v>0.62222222222222223</c:v>
                </c:pt>
                <c:pt idx="1">
                  <c:v>0.37777777777777777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896-4815-AF78-562659FA2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2400" b="1">
                <a:solidFill>
                  <a:srgbClr val="000000"/>
                </a:solidFill>
                <a:latin typeface="+mn-lt"/>
              </a:defRPr>
            </a:pPr>
            <a:r>
              <a:rPr lang="en-US" sz="2400" b="1">
                <a:solidFill>
                  <a:srgbClr val="000000"/>
                </a:solidFill>
                <a:latin typeface="+mn-lt"/>
              </a:rPr>
              <a:t>Jones Spots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0B5394"/>
              </a:solidFill>
            </c:spPr>
            <c:extLst>
              <c:ext xmlns:c16="http://schemas.microsoft.com/office/drawing/2014/chart" uri="{C3380CC4-5D6E-409C-BE32-E72D297353CC}">
                <c16:uniqueId val="{00000001-321C-4223-AE2D-A652C38C14C4}"/>
              </c:ext>
            </c:extLst>
          </c:dPt>
          <c:dPt>
            <c:idx val="1"/>
            <c:bubble3D val="0"/>
            <c:spPr>
              <a:solidFill>
                <a:srgbClr val="F1C232"/>
              </a:solidFill>
            </c:spPr>
            <c:extLst>
              <c:ext xmlns:c16="http://schemas.microsoft.com/office/drawing/2014/chart" uri="{C3380CC4-5D6E-409C-BE32-E72D297353CC}">
                <c16:uniqueId val="{00000003-321C-4223-AE2D-A652C38C14C4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JONES!$A$10:$A$11</c:f>
              <c:strCache>
                <c:ptCount val="2"/>
                <c:pt idx="0">
                  <c:v>Proficient</c:v>
                </c:pt>
                <c:pt idx="1">
                  <c:v>Not Proficient</c:v>
                </c:pt>
              </c:strCache>
            </c:strRef>
          </c:cat>
          <c:val>
            <c:numRef>
              <c:f>JONES!$B$10:$B$11</c:f>
              <c:numCache>
                <c:formatCode>0%</c:formatCode>
                <c:ptCount val="2"/>
                <c:pt idx="0">
                  <c:v>0.5</c:v>
                </c:pt>
                <c:pt idx="1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1C-4223-AE2D-A652C38C1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19050</xdr:colOff>
      <xdr:row>0</xdr:row>
      <xdr:rowOff>0</xdr:rowOff>
    </xdr:from>
    <xdr:ext cx="1885950" cy="2238375"/>
    <xdr:graphicFrame macro="">
      <xdr:nvGraphicFramePr>
        <xdr:cNvPr id="2" name="Chart 1" title="Chart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4</xdr:col>
      <xdr:colOff>942975</xdr:colOff>
      <xdr:row>0</xdr:row>
      <xdr:rowOff>0</xdr:rowOff>
    </xdr:from>
    <xdr:ext cx="1885950" cy="2238375"/>
    <xdr:graphicFrame macro="">
      <xdr:nvGraphicFramePr>
        <xdr:cNvPr id="3" name="Chart 2" title="Chart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6</xdr:col>
      <xdr:colOff>904875</xdr:colOff>
      <xdr:row>0</xdr:row>
      <xdr:rowOff>0</xdr:rowOff>
    </xdr:from>
    <xdr:ext cx="1885950" cy="2238375"/>
    <xdr:graphicFrame macro="">
      <xdr:nvGraphicFramePr>
        <xdr:cNvPr id="4" name="Chart 3" title="Chart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8</xdr:col>
      <xdr:colOff>866775</xdr:colOff>
      <xdr:row>0</xdr:row>
      <xdr:rowOff>0</xdr:rowOff>
    </xdr:from>
    <xdr:ext cx="1885950" cy="2238375"/>
    <xdr:graphicFrame macro="">
      <xdr:nvGraphicFramePr>
        <xdr:cNvPr id="5" name="Chart 4" title="Chart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10</xdr:col>
      <xdr:colOff>828675</xdr:colOff>
      <xdr:row>0</xdr:row>
      <xdr:rowOff>0</xdr:rowOff>
    </xdr:from>
    <xdr:ext cx="1885950" cy="2238375"/>
    <xdr:graphicFrame macro="">
      <xdr:nvGraphicFramePr>
        <xdr:cNvPr id="6" name="Chart 5" title="Chart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oneCellAnchor>
  <xdr:oneCellAnchor>
    <xdr:from>
      <xdr:col>8</xdr:col>
      <xdr:colOff>866775</xdr:colOff>
      <xdr:row>11</xdr:row>
      <xdr:rowOff>38100</xdr:rowOff>
    </xdr:from>
    <xdr:ext cx="1885950" cy="2238375"/>
    <xdr:graphicFrame macro="">
      <xdr:nvGraphicFramePr>
        <xdr:cNvPr id="7" name="Chart 6" title="Chart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oneCellAnchor>
  <xdr:oneCellAnchor>
    <xdr:from>
      <xdr:col>10</xdr:col>
      <xdr:colOff>828675</xdr:colOff>
      <xdr:row>11</xdr:row>
      <xdr:rowOff>38100</xdr:rowOff>
    </xdr:from>
    <xdr:ext cx="1885950" cy="2238375"/>
    <xdr:graphicFrame macro="">
      <xdr:nvGraphicFramePr>
        <xdr:cNvPr id="8" name="Chart 7" title="Chart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oneCellAnchor>
  <xdr:oneCellAnchor>
    <xdr:from>
      <xdr:col>3</xdr:col>
      <xdr:colOff>9525</xdr:colOff>
      <xdr:row>11</xdr:row>
      <xdr:rowOff>38100</xdr:rowOff>
    </xdr:from>
    <xdr:ext cx="1885950" cy="2238375"/>
    <xdr:graphicFrame macro="">
      <xdr:nvGraphicFramePr>
        <xdr:cNvPr id="9" name="Chart 8" title="Chart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oneCellAnchor>
  <xdr:oneCellAnchor>
    <xdr:from>
      <xdr:col>4</xdr:col>
      <xdr:colOff>933450</xdr:colOff>
      <xdr:row>11</xdr:row>
      <xdr:rowOff>38100</xdr:rowOff>
    </xdr:from>
    <xdr:ext cx="1885950" cy="2238375"/>
    <xdr:graphicFrame macro="">
      <xdr:nvGraphicFramePr>
        <xdr:cNvPr id="10" name="Chart 9" title="Chart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 fLocksWithSheet="0"/>
  </xdr:oneCellAnchor>
  <xdr:oneCellAnchor>
    <xdr:from>
      <xdr:col>6</xdr:col>
      <xdr:colOff>895350</xdr:colOff>
      <xdr:row>11</xdr:row>
      <xdr:rowOff>38100</xdr:rowOff>
    </xdr:from>
    <xdr:ext cx="1885950" cy="2238375"/>
    <xdr:graphicFrame macro="">
      <xdr:nvGraphicFramePr>
        <xdr:cNvPr id="11" name="Chart 10" title="Chart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13</xdr:row>
      <xdr:rowOff>0</xdr:rowOff>
    </xdr:from>
    <xdr:ext cx="2847975" cy="3371850"/>
    <xdr:graphicFrame macro="">
      <xdr:nvGraphicFramePr>
        <xdr:cNvPr id="19" name="Chart 19" title="Chart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11</xdr:row>
      <xdr:rowOff>161925</xdr:rowOff>
    </xdr:from>
    <xdr:ext cx="2847975" cy="3371850"/>
    <xdr:graphicFrame macro="">
      <xdr:nvGraphicFramePr>
        <xdr:cNvPr id="20" name="Chart 20" title="Chart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13</xdr:row>
      <xdr:rowOff>171450</xdr:rowOff>
    </xdr:from>
    <xdr:ext cx="2847975" cy="3371850"/>
    <xdr:graphicFrame macro="">
      <xdr:nvGraphicFramePr>
        <xdr:cNvPr id="11" name="Chart 11" title="Chart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10</xdr:row>
      <xdr:rowOff>190500</xdr:rowOff>
    </xdr:from>
    <xdr:ext cx="2847975" cy="3371850"/>
    <xdr:graphicFrame macro="">
      <xdr:nvGraphicFramePr>
        <xdr:cNvPr id="12" name="Chart 12" title="Chart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12</xdr:row>
      <xdr:rowOff>9525</xdr:rowOff>
    </xdr:from>
    <xdr:ext cx="2847975" cy="3371850"/>
    <xdr:graphicFrame macro="">
      <xdr:nvGraphicFramePr>
        <xdr:cNvPr id="13" name="Chart 13" title="Chart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11</xdr:row>
      <xdr:rowOff>190500</xdr:rowOff>
    </xdr:from>
    <xdr:ext cx="2847975" cy="3371850"/>
    <xdr:graphicFrame macro="">
      <xdr:nvGraphicFramePr>
        <xdr:cNvPr id="14" name="Chart 14" title="Chart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16</xdr:row>
      <xdr:rowOff>0</xdr:rowOff>
    </xdr:from>
    <xdr:ext cx="2847975" cy="3371850"/>
    <xdr:graphicFrame macro="">
      <xdr:nvGraphicFramePr>
        <xdr:cNvPr id="15" name="Chart 15" title="Chart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10</xdr:row>
      <xdr:rowOff>180975</xdr:rowOff>
    </xdr:from>
    <xdr:ext cx="2847975" cy="3371850"/>
    <xdr:graphicFrame macro="">
      <xdr:nvGraphicFramePr>
        <xdr:cNvPr id="16" name="Chart 16" title="Chart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13</xdr:row>
      <xdr:rowOff>161925</xdr:rowOff>
    </xdr:from>
    <xdr:ext cx="2847975" cy="3371850"/>
    <xdr:graphicFrame macro="">
      <xdr:nvGraphicFramePr>
        <xdr:cNvPr id="17" name="Chart 17" title="Chart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12</xdr:row>
      <xdr:rowOff>9525</xdr:rowOff>
    </xdr:from>
    <xdr:ext cx="2847975" cy="3371850"/>
    <xdr:graphicFrame macro="">
      <xdr:nvGraphicFramePr>
        <xdr:cNvPr id="18" name="Chart 18" title="Chart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Z1000"/>
  <sheetViews>
    <sheetView tabSelected="1" workbookViewId="0"/>
  </sheetViews>
  <sheetFormatPr defaultColWidth="12.59765625" defaultRowHeight="15.75" customHeight="1" x14ac:dyDescent="0.35"/>
  <sheetData>
    <row r="1" spans="1:26" ht="15.75" customHeight="1" x14ac:dyDescent="0.4">
      <c r="A1" s="1" t="s">
        <v>0</v>
      </c>
      <c r="B1" s="1" t="s">
        <v>1</v>
      </c>
      <c r="C1" s="1" t="s">
        <v>2</v>
      </c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4">
      <c r="A2" s="2" t="str">
        <f ca="1">IFERROR(__xludf.DUMMYFUNCTION("QUERY({TFS!A1:C13},""Select * where Col2 is not null"",0)"),"AAL")</f>
        <v>AAL</v>
      </c>
      <c r="B2" s="2">
        <f ca="1">IFERROR(__xludf.DUMMYFUNCTION("""COMPUTED_VALUE"""),46)</f>
        <v>46</v>
      </c>
      <c r="C2" s="3">
        <f ca="1">IFERROR(__xludf.DUMMYFUNCTION("""COMPUTED_VALUE"""),0.782608695652174)</f>
        <v>0.78260869565217395</v>
      </c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4">
      <c r="A3" s="2" t="str">
        <f ca="1">IFERROR(__xludf.DUMMYFUNCTION("""COMPUTED_VALUE"""),"COPERNI")</f>
        <v>COPERNI</v>
      </c>
      <c r="B3" s="2">
        <f ca="1">IFERROR(__xludf.DUMMYFUNCTION("""COMPUTED_VALUE"""),17)</f>
        <v>17</v>
      </c>
      <c r="C3" s="3">
        <f ca="1">IFERROR(__xludf.DUMMYFUNCTION("""COMPUTED_VALUE"""),0.764705882352941)</f>
        <v>0.76470588235294101</v>
      </c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.75" customHeight="1" x14ac:dyDescent="0.4">
      <c r="A4" s="2" t="str">
        <f ca="1">IFERROR(__xludf.DUMMYFUNCTION("""COMPUTED_VALUE"""),"SAM")</f>
        <v>SAM</v>
      </c>
      <c r="B4" s="2">
        <f ca="1">IFERROR(__xludf.DUMMYFUNCTION("""COMPUTED_VALUE"""),30)</f>
        <v>30</v>
      </c>
      <c r="C4" s="3">
        <f ca="1">IFERROR(__xludf.DUMMYFUNCTION("""COMPUTED_VALUE"""),0.933333333333333)</f>
        <v>0.93333333333333302</v>
      </c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.75" customHeight="1" x14ac:dyDescent="0.4">
      <c r="A5" s="2" t="str">
        <f ca="1">IFERROR(__xludf.DUMMYFUNCTION("""COMPUTED_VALUE"""),"LAMAR")</f>
        <v>LAMAR</v>
      </c>
      <c r="B5" s="2">
        <f ca="1">IFERROR(__xludf.DUMMYFUNCTION("""COMPUTED_VALUE"""),22)</f>
        <v>22</v>
      </c>
      <c r="C5" s="3">
        <f ca="1">IFERROR(__xludf.DUMMYFUNCTION("""COMPUTED_VALUE"""),0.727272727272727)</f>
        <v>0.72727272727272696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.75" customHeight="1" x14ac:dyDescent="0.4">
      <c r="A6" s="2" t="str">
        <f ca="1">IFERROR(__xludf.DUMMYFUNCTION("""COMPUTED_VALUE"""),"ECTOR")</f>
        <v>ECTOR</v>
      </c>
      <c r="B6" s="2">
        <f ca="1">IFERROR(__xludf.DUMMYFUNCTION("""COMPUTED_VALUE"""),63)</f>
        <v>63</v>
      </c>
      <c r="C6" s="3">
        <f ca="1">IFERROR(__xludf.DUMMYFUNCTION("""COMPUTED_VALUE"""),0.968253968253968)</f>
        <v>0.96825396825396803</v>
      </c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x14ac:dyDescent="0.4">
      <c r="A7" s="2" t="str">
        <f ca="1">IFERROR(__xludf.DUMMYFUNCTION("""COMPUTED_VALUE"""),"FEHL-PRICE")</f>
        <v>FEHL-PRICE</v>
      </c>
      <c r="B7" s="2">
        <f ca="1">IFERROR(__xludf.DUMMYFUNCTION("""COMPUTED_VALUE"""),45)</f>
        <v>45</v>
      </c>
      <c r="C7" s="3">
        <f ca="1">IFERROR(__xludf.DUMMYFUNCTION("""COMPUTED_VALUE"""),0.622222222222222)</f>
        <v>0.62222222222222201</v>
      </c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.75" customHeight="1" x14ac:dyDescent="0.4">
      <c r="A8" s="2" t="str">
        <f ca="1">IFERROR(__xludf.DUMMYFUNCTION("""COMPUTED_VALUE"""),"JONES-CLARK")</f>
        <v>JONES-CLARK</v>
      </c>
      <c r="B8" s="2">
        <f ca="1">IFERROR(__xludf.DUMMYFUNCTION("""COMPUTED_VALUE"""),30)</f>
        <v>30</v>
      </c>
      <c r="C8" s="3">
        <f ca="1">IFERROR(__xludf.DUMMYFUNCTION("""COMPUTED_VALUE"""),0.5)</f>
        <v>0.5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4">
      <c r="A9" s="2" t="str">
        <f ca="1">IFERROR(__xludf.DUMMYFUNCTION("""COMPUTED_VALUE"""),"SMITH")</f>
        <v>SMITH</v>
      </c>
      <c r="B9" s="2">
        <f ca="1">IFERROR(__xludf.DUMMYFUNCTION("""COMPUTED_VALUE"""),40)</f>
        <v>40</v>
      </c>
      <c r="C9" s="3">
        <f ca="1">IFERROR(__xludf.DUMMYFUNCTION("""COMPUTED_VALUE"""),0.775)</f>
        <v>0.77500000000000002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4">
      <c r="A10" s="2" t="str">
        <f ca="1">IFERROR(__xludf.DUMMYFUNCTION("""COMPUTED_VALUE"""),"MENDEZ")</f>
        <v>MENDEZ</v>
      </c>
      <c r="B10" s="2">
        <f ca="1">IFERROR(__xludf.DUMMYFUNCTION("""COMPUTED_VALUE"""),7)</f>
        <v>7</v>
      </c>
      <c r="C10" s="3">
        <f ca="1">IFERROR(__xludf.DUMMYFUNCTION("""COMPUTED_VALUE"""),0.714285714285714)</f>
        <v>0.71428571428571397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.75" customHeight="1" x14ac:dyDescent="0.4">
      <c r="A11" s="2" t="str">
        <f ca="1">IFERROR(__xludf.DUMMYFUNCTION("""COMPUTED_VALUE"""),"PRESCOTT")</f>
        <v>PRESCOTT</v>
      </c>
      <c r="B11" s="2">
        <f ca="1">IFERROR(__xludf.DUMMYFUNCTION("""COMPUTED_VALUE"""),26)</f>
        <v>26</v>
      </c>
      <c r="C11" s="3">
        <f ca="1">IFERROR(__xludf.DUMMYFUNCTION("""COMPUTED_VALUE"""),0.923076923076923)</f>
        <v>0.92307692307692302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.75" customHeight="1" x14ac:dyDescent="0.4">
      <c r="A12" s="4" t="str">
        <f ca="1">IFERROR(__xludf.DUMMYFUNCTION("""COMPUTED_VALUE"""),"Total")</f>
        <v>Total</v>
      </c>
      <c r="B12" s="4">
        <f ca="1">IFERROR(__xludf.DUMMYFUNCTION("""COMPUTED_VALUE"""),326)</f>
        <v>326</v>
      </c>
      <c r="C12" s="3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.75" customHeight="1" x14ac:dyDescent="0.4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.75" customHeight="1" x14ac:dyDescent="0.4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.75" customHeight="1" x14ac:dyDescent="0.4">
      <c r="A15" s="1" t="s">
        <v>0</v>
      </c>
      <c r="B15" s="1" t="s">
        <v>3</v>
      </c>
      <c r="C15" s="1" t="s">
        <v>1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.75" customHeight="1" x14ac:dyDescent="0.4">
      <c r="A16" s="2" t="str">
        <f ca="1">IFERROR(__xludf.DUMMYFUNCTION("QUERY({TFS!A16:C1000},""Select * where Col1 is not null"",0)"),"AAL")</f>
        <v>AAL</v>
      </c>
      <c r="B16" s="2" t="str">
        <f ca="1">IFERROR(__xludf.DUMMYFUNCTION("""COMPUTED_VALUE"""),"DiFabio")</f>
        <v>DiFabio</v>
      </c>
      <c r="C16" s="2">
        <f ca="1">IFERROR(__xludf.DUMMYFUNCTION("""COMPUTED_VALUE"""),8)</f>
        <v>8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.75" customHeight="1" x14ac:dyDescent="0.4">
      <c r="A17" s="2" t="str">
        <f ca="1">IFERROR(__xludf.DUMMYFUNCTION("""COMPUTED_VALUE"""),"AAL")</f>
        <v>AAL</v>
      </c>
      <c r="B17" s="2" t="str">
        <f ca="1">IFERROR(__xludf.DUMMYFUNCTION("""COMPUTED_VALUE"""),"Belcik")</f>
        <v>Belcik</v>
      </c>
      <c r="C17" s="2">
        <f ca="1">IFERROR(__xludf.DUMMYFUNCTION("""COMPUTED_VALUE"""),12)</f>
        <v>12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.75" customHeight="1" x14ac:dyDescent="0.4">
      <c r="A18" s="2" t="str">
        <f ca="1">IFERROR(__xludf.DUMMYFUNCTION("""COMPUTED_VALUE"""),"AAL")</f>
        <v>AAL</v>
      </c>
      <c r="B18" s="2" t="str">
        <f ca="1">IFERROR(__xludf.DUMMYFUNCTION("""COMPUTED_VALUE"""),"Hellman")</f>
        <v>Hellman</v>
      </c>
      <c r="C18" s="2">
        <f ca="1">IFERROR(__xludf.DUMMYFUNCTION("""COMPUTED_VALUE"""),9)</f>
        <v>9</v>
      </c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.75" customHeight="1" x14ac:dyDescent="0.4">
      <c r="A19" s="2" t="str">
        <f ca="1">IFERROR(__xludf.DUMMYFUNCTION("""COMPUTED_VALUE"""),"AAL")</f>
        <v>AAL</v>
      </c>
      <c r="B19" s="2" t="str">
        <f ca="1">IFERROR(__xludf.DUMMYFUNCTION("""COMPUTED_VALUE"""),"Langner")</f>
        <v>Langner</v>
      </c>
      <c r="C19" s="2">
        <f ca="1">IFERROR(__xludf.DUMMYFUNCTION("""COMPUTED_VALUE"""),8)</f>
        <v>8</v>
      </c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.75" customHeight="1" x14ac:dyDescent="0.4">
      <c r="A20" s="2" t="str">
        <f ca="1">IFERROR(__xludf.DUMMYFUNCTION("""COMPUTED_VALUE"""),"AAL")</f>
        <v>AAL</v>
      </c>
      <c r="B20" s="2" t="str">
        <f ca="1">IFERROR(__xludf.DUMMYFUNCTION("""COMPUTED_VALUE"""),"McClendon")</f>
        <v>McClendon</v>
      </c>
      <c r="C20" s="2">
        <f ca="1">IFERROR(__xludf.DUMMYFUNCTION("""COMPUTED_VALUE"""),9)</f>
        <v>9</v>
      </c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4">
      <c r="A21" s="2" t="str">
        <f ca="1">IFERROR(__xludf.DUMMYFUNCTION("""COMPUTED_VALUE"""),"Coperni")</f>
        <v>Coperni</v>
      </c>
      <c r="B21" s="2" t="str">
        <f ca="1">IFERROR(__xludf.DUMMYFUNCTION("""COMPUTED_VALUE"""),"Mercado")</f>
        <v>Mercado</v>
      </c>
      <c r="C21" s="2">
        <f ca="1">IFERROR(__xludf.DUMMYFUNCTION("""COMPUTED_VALUE"""),7)</f>
        <v>7</v>
      </c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4">
      <c r="A22" s="2" t="str">
        <f ca="1">IFERROR(__xludf.DUMMYFUNCTION("""COMPUTED_VALUE"""),"Coperni")</f>
        <v>Coperni</v>
      </c>
      <c r="B22" s="2" t="str">
        <f ca="1">IFERROR(__xludf.DUMMYFUNCTION("""COMPUTED_VALUE"""),"Edwards")</f>
        <v>Edwards</v>
      </c>
      <c r="C22" s="2">
        <f ca="1">IFERROR(__xludf.DUMMYFUNCTION("""COMPUTED_VALUE"""),10)</f>
        <v>10</v>
      </c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4">
      <c r="A23" s="2" t="str">
        <f ca="1">IFERROR(__xludf.DUMMYFUNCTION("""COMPUTED_VALUE"""),"Sam Houston")</f>
        <v>Sam Houston</v>
      </c>
      <c r="B23" s="2" t="str">
        <f ca="1">IFERROR(__xludf.DUMMYFUNCTION("""COMPUTED_VALUE"""),"Blaylock")</f>
        <v>Blaylock</v>
      </c>
      <c r="C23" s="2">
        <f ca="1">IFERROR(__xludf.DUMMYFUNCTION("""COMPUTED_VALUE"""),10)</f>
        <v>10</v>
      </c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4">
      <c r="A24" s="2" t="str">
        <f ca="1">IFERROR(__xludf.DUMMYFUNCTION("""COMPUTED_VALUE"""),"Sam Houston")</f>
        <v>Sam Houston</v>
      </c>
      <c r="B24" s="2" t="str">
        <f ca="1">IFERROR(__xludf.DUMMYFUNCTION("""COMPUTED_VALUE"""),"Hinojosa")</f>
        <v>Hinojosa</v>
      </c>
      <c r="C24" s="2">
        <f ca="1">IFERROR(__xludf.DUMMYFUNCTION("""COMPUTED_VALUE"""),10)</f>
        <v>10</v>
      </c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4">
      <c r="A25" s="2" t="str">
        <f ca="1">IFERROR(__xludf.DUMMYFUNCTION("""COMPUTED_VALUE"""),"Sam Houston")</f>
        <v>Sam Houston</v>
      </c>
      <c r="B25" s="2" t="str">
        <f ca="1">IFERROR(__xludf.DUMMYFUNCTION("""COMPUTED_VALUE"""),"Olivas")</f>
        <v>Olivas</v>
      </c>
      <c r="C25" s="2">
        <f ca="1">IFERROR(__xludf.DUMMYFUNCTION("""COMPUTED_VALUE"""),10)</f>
        <v>10</v>
      </c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 x14ac:dyDescent="0.4">
      <c r="A26" s="2" t="str">
        <f ca="1">IFERROR(__xludf.DUMMYFUNCTION("""COMPUTED_VALUE"""),"Lamar")</f>
        <v>Lamar</v>
      </c>
      <c r="B26" s="2" t="str">
        <f ca="1">IFERROR(__xludf.DUMMYFUNCTION("""COMPUTED_VALUE"""),"Johnson")</f>
        <v>Johnson</v>
      </c>
      <c r="C26" s="2">
        <f ca="1">IFERROR(__xludf.DUMMYFUNCTION("""COMPUTED_VALUE"""),12)</f>
        <v>12</v>
      </c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4">
      <c r="A27" s="2" t="str">
        <f ca="1">IFERROR(__xludf.DUMMYFUNCTION("""COMPUTED_VALUE"""),"Lamar")</f>
        <v>Lamar</v>
      </c>
      <c r="B27" s="2" t="str">
        <f ca="1">IFERROR(__xludf.DUMMYFUNCTION("""COMPUTED_VALUE"""),"Williams")</f>
        <v>Williams</v>
      </c>
      <c r="C27" s="2">
        <f ca="1">IFERROR(__xludf.DUMMYFUNCTION("""COMPUTED_VALUE"""),10)</f>
        <v>10</v>
      </c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4">
      <c r="A28" s="2" t="str">
        <f ca="1">IFERROR(__xludf.DUMMYFUNCTION("""COMPUTED_VALUE"""),"Ector")</f>
        <v>Ector</v>
      </c>
      <c r="B28" s="2" t="str">
        <f ca="1">IFERROR(__xludf.DUMMYFUNCTION("""COMPUTED_VALUE"""),"Albaugh")</f>
        <v>Albaugh</v>
      </c>
      <c r="C28" s="2">
        <f ca="1">IFERROR(__xludf.DUMMYFUNCTION("""COMPUTED_VALUE"""),9)</f>
        <v>9</v>
      </c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4">
      <c r="A29" s="2" t="str">
        <f ca="1">IFERROR(__xludf.DUMMYFUNCTION("""COMPUTED_VALUE"""),"Ector")</f>
        <v>Ector</v>
      </c>
      <c r="B29" s="2" t="str">
        <f ca="1">IFERROR(__xludf.DUMMYFUNCTION("""COMPUTED_VALUE"""),"Avery")</f>
        <v>Avery</v>
      </c>
      <c r="C29" s="2">
        <f ca="1">IFERROR(__xludf.DUMMYFUNCTION("""COMPUTED_VALUE"""),10)</f>
        <v>10</v>
      </c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4">
      <c r="A30" s="2" t="str">
        <f ca="1">IFERROR(__xludf.DUMMYFUNCTION("""COMPUTED_VALUE"""),"Ector")</f>
        <v>Ector</v>
      </c>
      <c r="B30" s="2" t="str">
        <f ca="1">IFERROR(__xludf.DUMMYFUNCTION("""COMPUTED_VALUE"""),"Chavarria")</f>
        <v>Chavarria</v>
      </c>
      <c r="C30" s="2">
        <f ca="1">IFERROR(__xludf.DUMMYFUNCTION("""COMPUTED_VALUE"""),8)</f>
        <v>8</v>
      </c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 x14ac:dyDescent="0.4">
      <c r="A31" s="2" t="str">
        <f ca="1">IFERROR(__xludf.DUMMYFUNCTION("""COMPUTED_VALUE"""),"Ector")</f>
        <v>Ector</v>
      </c>
      <c r="B31" s="2" t="str">
        <f ca="1">IFERROR(__xludf.DUMMYFUNCTION("""COMPUTED_VALUE"""),"Coulter")</f>
        <v>Coulter</v>
      </c>
      <c r="C31" s="2">
        <f ca="1">IFERROR(__xludf.DUMMYFUNCTION("""COMPUTED_VALUE"""),8)</f>
        <v>8</v>
      </c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 x14ac:dyDescent="0.4">
      <c r="A32" s="2" t="str">
        <f ca="1">IFERROR(__xludf.DUMMYFUNCTION("""COMPUTED_VALUE"""),"Ector")</f>
        <v>Ector</v>
      </c>
      <c r="B32" s="2" t="str">
        <f ca="1">IFERROR(__xludf.DUMMYFUNCTION("""COMPUTED_VALUE"""),"Garza")</f>
        <v>Garza</v>
      </c>
      <c r="C32" s="2">
        <f ca="1">IFERROR(__xludf.DUMMYFUNCTION("""COMPUTED_VALUE"""),8)</f>
        <v>8</v>
      </c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3.15" x14ac:dyDescent="0.4">
      <c r="A33" s="2" t="str">
        <f ca="1">IFERROR(__xludf.DUMMYFUNCTION("""COMPUTED_VALUE"""),"Ector")</f>
        <v>Ector</v>
      </c>
      <c r="B33" s="2" t="str">
        <f ca="1">IFERROR(__xludf.DUMMYFUNCTION("""COMPUTED_VALUE"""),"Porras")</f>
        <v>Porras</v>
      </c>
      <c r="C33" s="2">
        <f ca="1">IFERROR(__xludf.DUMMYFUNCTION("""COMPUTED_VALUE"""),10)</f>
        <v>10</v>
      </c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3.15" x14ac:dyDescent="0.4">
      <c r="A34" s="2" t="str">
        <f ca="1">IFERROR(__xludf.DUMMYFUNCTION("""COMPUTED_VALUE"""),"Ector")</f>
        <v>Ector</v>
      </c>
      <c r="B34" s="2" t="str">
        <f ca="1">IFERROR(__xludf.DUMMYFUNCTION("""COMPUTED_VALUE"""),"Valles")</f>
        <v>Valles</v>
      </c>
      <c r="C34" s="2">
        <f ca="1">IFERROR(__xludf.DUMMYFUNCTION("""COMPUTED_VALUE"""),10)</f>
        <v>10</v>
      </c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3.15" x14ac:dyDescent="0.4">
      <c r="A35" s="2" t="str">
        <f ca="1">IFERROR(__xludf.DUMMYFUNCTION("""COMPUTED_VALUE"""),"Fehl-Price")</f>
        <v>Fehl-Price</v>
      </c>
      <c r="B35" s="2" t="str">
        <f ca="1">IFERROR(__xludf.DUMMYFUNCTION("""COMPUTED_VALUE"""),"Gobert")</f>
        <v>Gobert</v>
      </c>
      <c r="C35" s="2">
        <f ca="1">IFERROR(__xludf.DUMMYFUNCTION("""COMPUTED_VALUE"""),10)</f>
        <v>10</v>
      </c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3.15" x14ac:dyDescent="0.4">
      <c r="A36" s="2" t="str">
        <f ca="1">IFERROR(__xludf.DUMMYFUNCTION("""COMPUTED_VALUE"""),"Fehl-Price")</f>
        <v>Fehl-Price</v>
      </c>
      <c r="B36" s="2" t="str">
        <f ca="1">IFERROR(__xludf.DUMMYFUNCTION("""COMPUTED_VALUE"""),"Thibedeaux")</f>
        <v>Thibedeaux</v>
      </c>
      <c r="C36" s="2">
        <f ca="1">IFERROR(__xludf.DUMMYFUNCTION("""COMPUTED_VALUE"""),12)</f>
        <v>12</v>
      </c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3.15" x14ac:dyDescent="0.4">
      <c r="A37" s="2" t="str">
        <f ca="1">IFERROR(__xludf.DUMMYFUNCTION("""COMPUTED_VALUE"""),"Fehl-Price")</f>
        <v>Fehl-Price</v>
      </c>
      <c r="B37" s="2" t="str">
        <f ca="1">IFERROR(__xludf.DUMMYFUNCTION("""COMPUTED_VALUE"""),"Vandiver")</f>
        <v>Vandiver</v>
      </c>
      <c r="C37" s="2">
        <f ca="1">IFERROR(__xludf.DUMMYFUNCTION("""COMPUTED_VALUE"""),12)</f>
        <v>12</v>
      </c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3.15" x14ac:dyDescent="0.4">
      <c r="A38" s="2" t="str">
        <f ca="1">IFERROR(__xludf.DUMMYFUNCTION("""COMPUTED_VALUE"""),"Fehl-Price")</f>
        <v>Fehl-Price</v>
      </c>
      <c r="B38" s="2" t="str">
        <f ca="1">IFERROR(__xludf.DUMMYFUNCTION("""COMPUTED_VALUE"""),"Wilson")</f>
        <v>Wilson</v>
      </c>
      <c r="C38" s="2">
        <f ca="1">IFERROR(__xludf.DUMMYFUNCTION("""COMPUTED_VALUE"""),11)</f>
        <v>11</v>
      </c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3.15" x14ac:dyDescent="0.4">
      <c r="A39" s="2" t="str">
        <f ca="1">IFERROR(__xludf.DUMMYFUNCTION("""COMPUTED_VALUE"""),"Jones-Clark")</f>
        <v>Jones-Clark</v>
      </c>
      <c r="B39" s="2" t="str">
        <f ca="1">IFERROR(__xludf.DUMMYFUNCTION("""COMPUTED_VALUE"""),"Hatcher")</f>
        <v>Hatcher</v>
      </c>
      <c r="C39" s="2">
        <f ca="1">IFERROR(__xludf.DUMMYFUNCTION("""COMPUTED_VALUE"""),13)</f>
        <v>13</v>
      </c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3.15" x14ac:dyDescent="0.4">
      <c r="A40" s="2" t="str">
        <f ca="1">IFERROR(__xludf.DUMMYFUNCTION("""COMPUTED_VALUE"""),"Jones-Clark")</f>
        <v>Jones-Clark</v>
      </c>
      <c r="B40" s="2" t="str">
        <f ca="1">IFERROR(__xludf.DUMMYFUNCTION("""COMPUTED_VALUE"""),"Bridges")</f>
        <v>Bridges</v>
      </c>
      <c r="C40" s="2">
        <f ca="1">IFERROR(__xludf.DUMMYFUNCTION("""COMPUTED_VALUE"""),11)</f>
        <v>11</v>
      </c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3.15" x14ac:dyDescent="0.4">
      <c r="A41" s="2" t="str">
        <f ca="1">IFERROR(__xludf.DUMMYFUNCTION("""COMPUTED_VALUE"""),"Jones-Clark")</f>
        <v>Jones-Clark</v>
      </c>
      <c r="B41" s="2" t="str">
        <f ca="1">IFERROR(__xludf.DUMMYFUNCTION("""COMPUTED_VALUE"""),"Isom-Drake")</f>
        <v>Isom-Drake</v>
      </c>
      <c r="C41" s="2">
        <f ca="1">IFERROR(__xludf.DUMMYFUNCTION("""COMPUTED_VALUE"""),6)</f>
        <v>6</v>
      </c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3.15" x14ac:dyDescent="0.4">
      <c r="A42" s="2" t="str">
        <f ca="1">IFERROR(__xludf.DUMMYFUNCTION("""COMPUTED_VALUE"""),"Smith Middle")</f>
        <v>Smith Middle</v>
      </c>
      <c r="B42" s="2" t="str">
        <f ca="1">IFERROR(__xludf.DUMMYFUNCTION("""COMPUTED_VALUE"""),"Mack")</f>
        <v>Mack</v>
      </c>
      <c r="C42" s="2">
        <f ca="1">IFERROR(__xludf.DUMMYFUNCTION("""COMPUTED_VALUE"""),10)</f>
        <v>10</v>
      </c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3.15" x14ac:dyDescent="0.4">
      <c r="A43" s="2" t="str">
        <f ca="1">IFERROR(__xludf.DUMMYFUNCTION("""COMPUTED_VALUE"""),"Smith Middle")</f>
        <v>Smith Middle</v>
      </c>
      <c r="B43" s="2" t="str">
        <f ca="1">IFERROR(__xludf.DUMMYFUNCTION("""COMPUTED_VALUE"""),"Flores")</f>
        <v>Flores</v>
      </c>
      <c r="C43" s="2">
        <f ca="1">IFERROR(__xludf.DUMMYFUNCTION("""COMPUTED_VALUE"""),10)</f>
        <v>10</v>
      </c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3.15" x14ac:dyDescent="0.4">
      <c r="A44" s="2" t="str">
        <f ca="1">IFERROR(__xludf.DUMMYFUNCTION("""COMPUTED_VALUE"""),"Smith Middle")</f>
        <v>Smith Middle</v>
      </c>
      <c r="B44" s="2" t="str">
        <f ca="1">IFERROR(__xludf.DUMMYFUNCTION("""COMPUTED_VALUE"""),"Guidry")</f>
        <v>Guidry</v>
      </c>
      <c r="C44" s="2">
        <f ca="1">IFERROR(__xludf.DUMMYFUNCTION("""COMPUTED_VALUE"""),10)</f>
        <v>10</v>
      </c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3.15" x14ac:dyDescent="0.4">
      <c r="A45" s="2" t="str">
        <f ca="1">IFERROR(__xludf.DUMMYFUNCTION("""COMPUTED_VALUE"""),"Smith Middle")</f>
        <v>Smith Middle</v>
      </c>
      <c r="B45" s="2" t="str">
        <f ca="1">IFERROR(__xludf.DUMMYFUNCTION("""COMPUTED_VALUE"""),"Kemajou")</f>
        <v>Kemajou</v>
      </c>
      <c r="C45" s="2">
        <f ca="1">IFERROR(__xludf.DUMMYFUNCTION("""COMPUTED_VALUE"""),10)</f>
        <v>10</v>
      </c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3.15" x14ac:dyDescent="0.4">
      <c r="A46" s="2" t="str">
        <f ca="1">IFERROR(__xludf.DUMMYFUNCTION("""COMPUTED_VALUE"""),"Mendez")</f>
        <v>Mendez</v>
      </c>
      <c r="B46" s="2" t="str">
        <f ca="1">IFERROR(__xludf.DUMMYFUNCTION("""COMPUTED_VALUE"""),"Miranda")</f>
        <v>Miranda</v>
      </c>
      <c r="C46" s="2">
        <f ca="1">IFERROR(__xludf.DUMMYFUNCTION("""COMPUTED_VALUE"""),2)</f>
        <v>2</v>
      </c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3.15" x14ac:dyDescent="0.4">
      <c r="A47" s="2" t="str">
        <f ca="1">IFERROR(__xludf.DUMMYFUNCTION("""COMPUTED_VALUE"""),"Mendez")</f>
        <v>Mendez</v>
      </c>
      <c r="B47" s="2" t="str">
        <f ca="1">IFERROR(__xludf.DUMMYFUNCTION("""COMPUTED_VALUE"""),"Willis")</f>
        <v>Willis</v>
      </c>
      <c r="C47" s="2">
        <f ca="1">IFERROR(__xludf.DUMMYFUNCTION("""COMPUTED_VALUE"""),5)</f>
        <v>5</v>
      </c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3.15" x14ac:dyDescent="0.4">
      <c r="A48" s="2" t="str">
        <f ca="1">IFERROR(__xludf.DUMMYFUNCTION("""COMPUTED_VALUE"""),"Prescott")</f>
        <v>Prescott</v>
      </c>
      <c r="B48" s="2" t="str">
        <f ca="1">IFERROR(__xludf.DUMMYFUNCTION("""COMPUTED_VALUE"""),"Johnigan")</f>
        <v>Johnigan</v>
      </c>
      <c r="C48" s="2">
        <f ca="1">IFERROR(__xludf.DUMMYFUNCTION("""COMPUTED_VALUE"""),11)</f>
        <v>11</v>
      </c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3.15" x14ac:dyDescent="0.4">
      <c r="A49" s="2" t="str">
        <f ca="1">IFERROR(__xludf.DUMMYFUNCTION("""COMPUTED_VALUE"""),"Prescott")</f>
        <v>Prescott</v>
      </c>
      <c r="B49" s="2" t="str">
        <f ca="1">IFERROR(__xludf.DUMMYFUNCTION("""COMPUTED_VALUE"""),"Pewee")</f>
        <v>Pewee</v>
      </c>
      <c r="C49" s="2">
        <f ca="1">IFERROR(__xludf.DUMMYFUNCTION("""COMPUTED_VALUE"""),5)</f>
        <v>5</v>
      </c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3.15" x14ac:dyDescent="0.4">
      <c r="A50" s="2" t="str">
        <f ca="1">IFERROR(__xludf.DUMMYFUNCTION("""COMPUTED_VALUE"""),"Prescott")</f>
        <v>Prescott</v>
      </c>
      <c r="B50" s="2" t="str">
        <f ca="1">IFERROR(__xludf.DUMMYFUNCTION("""COMPUTED_VALUE"""),"Wishom")</f>
        <v>Wishom</v>
      </c>
      <c r="C50" s="2">
        <f ca="1">IFERROR(__xludf.DUMMYFUNCTION("""COMPUTED_VALUE"""),10)</f>
        <v>10</v>
      </c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3.15" x14ac:dyDescent="0.4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3.15" x14ac:dyDescent="0.4">
      <c r="A52" s="2"/>
      <c r="B52" s="2"/>
      <c r="C52" s="5">
        <f ca="1">SUM(C16:C51)</f>
        <v>326</v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3.15" x14ac:dyDescent="0.4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3.15" x14ac:dyDescent="0.4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3.15" x14ac:dyDescent="0.4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3.15" x14ac:dyDescent="0.4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3.15" x14ac:dyDescent="0.4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3.15" x14ac:dyDescent="0.4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3.15" x14ac:dyDescent="0.4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3.15" x14ac:dyDescent="0.4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3.15" x14ac:dyDescent="0.4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3.15" x14ac:dyDescent="0.4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3.15" x14ac:dyDescent="0.4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3.15" x14ac:dyDescent="0.4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3.15" x14ac:dyDescent="0.4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3.15" x14ac:dyDescent="0.4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3.15" x14ac:dyDescent="0.4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3.15" x14ac:dyDescent="0.4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3.15" x14ac:dyDescent="0.4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3.15" x14ac:dyDescent="0.4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3.15" x14ac:dyDescent="0.4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3.15" x14ac:dyDescent="0.4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3.15" x14ac:dyDescent="0.4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3.15" x14ac:dyDescent="0.4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3.15" x14ac:dyDescent="0.4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3.15" x14ac:dyDescent="0.4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3.15" x14ac:dyDescent="0.4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3.15" x14ac:dyDescent="0.4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3.15" x14ac:dyDescent="0.4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3.15" x14ac:dyDescent="0.4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3.15" x14ac:dyDescent="0.4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3.15" x14ac:dyDescent="0.4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3.15" x14ac:dyDescent="0.4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3.15" x14ac:dyDescent="0.4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3.15" x14ac:dyDescent="0.4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3.15" x14ac:dyDescent="0.4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3.15" x14ac:dyDescent="0.4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3.15" x14ac:dyDescent="0.4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3.15" x14ac:dyDescent="0.4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3.15" x14ac:dyDescent="0.4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3.15" x14ac:dyDescent="0.4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3.15" x14ac:dyDescent="0.4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3.15" x14ac:dyDescent="0.4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3.15" x14ac:dyDescent="0.4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3.15" x14ac:dyDescent="0.4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3.15" x14ac:dyDescent="0.4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3.15" x14ac:dyDescent="0.4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3.15" x14ac:dyDescent="0.4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3.15" x14ac:dyDescent="0.4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3.15" x14ac:dyDescent="0.4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3.15" x14ac:dyDescent="0.4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3.15" x14ac:dyDescent="0.4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3.15" x14ac:dyDescent="0.4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3.15" x14ac:dyDescent="0.4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3.15" x14ac:dyDescent="0.4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3.15" x14ac:dyDescent="0.4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3.15" x14ac:dyDescent="0.4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3.15" x14ac:dyDescent="0.4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3.15" x14ac:dyDescent="0.4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3.15" x14ac:dyDescent="0.4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3.15" x14ac:dyDescent="0.4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3.15" x14ac:dyDescent="0.4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3.15" x14ac:dyDescent="0.4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3.15" x14ac:dyDescent="0.4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3.15" x14ac:dyDescent="0.4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3.15" x14ac:dyDescent="0.4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3.15" x14ac:dyDescent="0.4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3.15" x14ac:dyDescent="0.4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3.15" x14ac:dyDescent="0.4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3.15" x14ac:dyDescent="0.4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3.15" x14ac:dyDescent="0.4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3.15" x14ac:dyDescent="0.4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3.15" x14ac:dyDescent="0.4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3.15" x14ac:dyDescent="0.4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3.15" x14ac:dyDescent="0.4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3.15" x14ac:dyDescent="0.4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3.15" x14ac:dyDescent="0.4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3.15" x14ac:dyDescent="0.4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3.15" x14ac:dyDescent="0.4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3.15" x14ac:dyDescent="0.4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3.15" x14ac:dyDescent="0.4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3.15" x14ac:dyDescent="0.4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3.15" x14ac:dyDescent="0.4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3.15" x14ac:dyDescent="0.4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3.15" x14ac:dyDescent="0.4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3.15" x14ac:dyDescent="0.4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3.15" x14ac:dyDescent="0.4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3.15" x14ac:dyDescent="0.4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3.15" x14ac:dyDescent="0.4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3.15" x14ac:dyDescent="0.4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3.15" x14ac:dyDescent="0.4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3.15" x14ac:dyDescent="0.4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3.15" x14ac:dyDescent="0.4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3.15" x14ac:dyDescent="0.4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3.15" x14ac:dyDescent="0.4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3.15" x14ac:dyDescent="0.4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3.15" x14ac:dyDescent="0.4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3.15" x14ac:dyDescent="0.4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3.15" x14ac:dyDescent="0.4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3.15" x14ac:dyDescent="0.4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3.15" x14ac:dyDescent="0.4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3.15" x14ac:dyDescent="0.4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3.15" x14ac:dyDescent="0.4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3.15" x14ac:dyDescent="0.4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3.15" x14ac:dyDescent="0.4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3.15" x14ac:dyDescent="0.4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3.15" x14ac:dyDescent="0.4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3.15" x14ac:dyDescent="0.4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3.15" x14ac:dyDescent="0.4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3.15" x14ac:dyDescent="0.4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3.15" x14ac:dyDescent="0.4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3.15" x14ac:dyDescent="0.4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3.15" x14ac:dyDescent="0.4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3.15" x14ac:dyDescent="0.4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3.15" x14ac:dyDescent="0.4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3.15" x14ac:dyDescent="0.4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3.15" x14ac:dyDescent="0.4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3.15" x14ac:dyDescent="0.4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3.15" x14ac:dyDescent="0.4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3.15" x14ac:dyDescent="0.4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3.15" x14ac:dyDescent="0.4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3.15" x14ac:dyDescent="0.4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3.15" x14ac:dyDescent="0.4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3.15" x14ac:dyDescent="0.4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3.15" x14ac:dyDescent="0.4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3.15" x14ac:dyDescent="0.4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3.15" x14ac:dyDescent="0.4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3.15" x14ac:dyDescent="0.4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3.15" x14ac:dyDescent="0.4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3.15" x14ac:dyDescent="0.4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3.15" x14ac:dyDescent="0.4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3.15" x14ac:dyDescent="0.4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3.15" x14ac:dyDescent="0.4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3.15" x14ac:dyDescent="0.4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3.15" x14ac:dyDescent="0.4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3.15" x14ac:dyDescent="0.4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3.15" x14ac:dyDescent="0.4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3.15" x14ac:dyDescent="0.4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3.15" x14ac:dyDescent="0.4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3.15" x14ac:dyDescent="0.4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3.15" x14ac:dyDescent="0.4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3.15" x14ac:dyDescent="0.4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3.15" x14ac:dyDescent="0.4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3.15" x14ac:dyDescent="0.4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3.15" x14ac:dyDescent="0.4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3.15" x14ac:dyDescent="0.4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3.15" x14ac:dyDescent="0.4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3.15" x14ac:dyDescent="0.4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3.15" x14ac:dyDescent="0.4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3.15" x14ac:dyDescent="0.4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3.15" x14ac:dyDescent="0.4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3.15" x14ac:dyDescent="0.4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3.15" x14ac:dyDescent="0.4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3.15" x14ac:dyDescent="0.4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3.15" x14ac:dyDescent="0.4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3.15" x14ac:dyDescent="0.4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3.15" x14ac:dyDescent="0.4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3.15" x14ac:dyDescent="0.4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3.15" x14ac:dyDescent="0.4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3.15" x14ac:dyDescent="0.4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3.15" x14ac:dyDescent="0.4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3.15" x14ac:dyDescent="0.4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3.15" x14ac:dyDescent="0.4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3.15" x14ac:dyDescent="0.4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3.15" x14ac:dyDescent="0.4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3.15" x14ac:dyDescent="0.4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3.15" x14ac:dyDescent="0.4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3.15" x14ac:dyDescent="0.4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3.15" x14ac:dyDescent="0.4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3.15" x14ac:dyDescent="0.4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3.15" x14ac:dyDescent="0.4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3.15" x14ac:dyDescent="0.4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3.15" x14ac:dyDescent="0.4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3.15" x14ac:dyDescent="0.4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3.15" x14ac:dyDescent="0.4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3.15" x14ac:dyDescent="0.4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3.15" x14ac:dyDescent="0.4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3.15" x14ac:dyDescent="0.4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3.15" x14ac:dyDescent="0.4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3.15" x14ac:dyDescent="0.4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3.15" x14ac:dyDescent="0.4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3.15" x14ac:dyDescent="0.4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3.15" x14ac:dyDescent="0.4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3.15" x14ac:dyDescent="0.4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3.15" x14ac:dyDescent="0.4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3.15" x14ac:dyDescent="0.4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3.15" x14ac:dyDescent="0.4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3.15" x14ac:dyDescent="0.4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3.15" x14ac:dyDescent="0.4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3.15" x14ac:dyDescent="0.4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3.15" x14ac:dyDescent="0.4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3.15" x14ac:dyDescent="0.4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3.15" x14ac:dyDescent="0.4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3.15" x14ac:dyDescent="0.4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3.15" x14ac:dyDescent="0.4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3.15" x14ac:dyDescent="0.4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3.15" x14ac:dyDescent="0.4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3.15" x14ac:dyDescent="0.4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3.15" x14ac:dyDescent="0.4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3.15" x14ac:dyDescent="0.4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3.15" x14ac:dyDescent="0.4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3.15" x14ac:dyDescent="0.4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3.15" x14ac:dyDescent="0.4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3.15" x14ac:dyDescent="0.4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3.15" x14ac:dyDescent="0.4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3.15" x14ac:dyDescent="0.4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3.15" x14ac:dyDescent="0.4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3.15" x14ac:dyDescent="0.4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3.15" x14ac:dyDescent="0.4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3.15" x14ac:dyDescent="0.4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3.15" x14ac:dyDescent="0.4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3.15" x14ac:dyDescent="0.4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3.15" x14ac:dyDescent="0.4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3.15" x14ac:dyDescent="0.4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3.15" x14ac:dyDescent="0.4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3.15" x14ac:dyDescent="0.4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3.15" x14ac:dyDescent="0.4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3.15" x14ac:dyDescent="0.4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3.15" x14ac:dyDescent="0.4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3.15" x14ac:dyDescent="0.4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3.15" x14ac:dyDescent="0.4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3.15" x14ac:dyDescent="0.4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3.15" x14ac:dyDescent="0.4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3.15" x14ac:dyDescent="0.4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3.15" x14ac:dyDescent="0.4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3.15" x14ac:dyDescent="0.4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3.15" x14ac:dyDescent="0.4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3.15" x14ac:dyDescent="0.4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3.15" x14ac:dyDescent="0.4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3.15" x14ac:dyDescent="0.4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3.15" x14ac:dyDescent="0.4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3.15" x14ac:dyDescent="0.4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3.15" x14ac:dyDescent="0.4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3.15" x14ac:dyDescent="0.4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3.15" x14ac:dyDescent="0.4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3.15" x14ac:dyDescent="0.4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3.15" x14ac:dyDescent="0.4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3.15" x14ac:dyDescent="0.4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3.15" x14ac:dyDescent="0.4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3.15" x14ac:dyDescent="0.4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3.15" x14ac:dyDescent="0.4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3.15" x14ac:dyDescent="0.4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3.15" x14ac:dyDescent="0.4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3.15" x14ac:dyDescent="0.4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3.15" x14ac:dyDescent="0.4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3.15" x14ac:dyDescent="0.4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3.15" x14ac:dyDescent="0.4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3.15" x14ac:dyDescent="0.4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3.15" x14ac:dyDescent="0.4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3.15" x14ac:dyDescent="0.4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3.15" x14ac:dyDescent="0.4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3.15" x14ac:dyDescent="0.4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3.15" x14ac:dyDescent="0.4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3.15" x14ac:dyDescent="0.4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3.15" x14ac:dyDescent="0.4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3.15" x14ac:dyDescent="0.4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3.15" x14ac:dyDescent="0.4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3.15" x14ac:dyDescent="0.4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3.15" x14ac:dyDescent="0.4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3.15" x14ac:dyDescent="0.4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3.15" x14ac:dyDescent="0.4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3.15" x14ac:dyDescent="0.4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3.15" x14ac:dyDescent="0.4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3.15" x14ac:dyDescent="0.4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3.15" x14ac:dyDescent="0.4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3.15" x14ac:dyDescent="0.4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3.15" x14ac:dyDescent="0.4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3.15" x14ac:dyDescent="0.4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3.15" x14ac:dyDescent="0.4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3.15" x14ac:dyDescent="0.4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3.15" x14ac:dyDescent="0.4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3.15" x14ac:dyDescent="0.4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3.15" x14ac:dyDescent="0.4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3.15" x14ac:dyDescent="0.4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3.15" x14ac:dyDescent="0.4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3.15" x14ac:dyDescent="0.4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3.15" x14ac:dyDescent="0.4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3.15" x14ac:dyDescent="0.4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3.15" x14ac:dyDescent="0.4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3.15" x14ac:dyDescent="0.4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3.15" x14ac:dyDescent="0.4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3.15" x14ac:dyDescent="0.4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3.15" x14ac:dyDescent="0.4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3.15" x14ac:dyDescent="0.4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3.15" x14ac:dyDescent="0.4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3.15" x14ac:dyDescent="0.4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3.15" x14ac:dyDescent="0.4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3.15" x14ac:dyDescent="0.4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3.15" x14ac:dyDescent="0.4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3.15" x14ac:dyDescent="0.4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3.15" x14ac:dyDescent="0.4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3.15" x14ac:dyDescent="0.4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3.15" x14ac:dyDescent="0.4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3.15" x14ac:dyDescent="0.4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3.15" x14ac:dyDescent="0.4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3.15" x14ac:dyDescent="0.4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3.15" x14ac:dyDescent="0.4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3.15" x14ac:dyDescent="0.4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3.15" x14ac:dyDescent="0.4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3.15" x14ac:dyDescent="0.4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3.15" x14ac:dyDescent="0.4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3.15" x14ac:dyDescent="0.4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3.15" x14ac:dyDescent="0.4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3.15" x14ac:dyDescent="0.4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3.15" x14ac:dyDescent="0.4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3.15" x14ac:dyDescent="0.4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3.15" x14ac:dyDescent="0.4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3.15" x14ac:dyDescent="0.4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3.15" x14ac:dyDescent="0.4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3.15" x14ac:dyDescent="0.4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3.15" x14ac:dyDescent="0.4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3.15" x14ac:dyDescent="0.4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3.15" x14ac:dyDescent="0.4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3.15" x14ac:dyDescent="0.4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3.15" x14ac:dyDescent="0.4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3.15" x14ac:dyDescent="0.4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3.15" x14ac:dyDescent="0.4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3.15" x14ac:dyDescent="0.4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3.15" x14ac:dyDescent="0.4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3.15" x14ac:dyDescent="0.4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3.15" x14ac:dyDescent="0.4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3.15" x14ac:dyDescent="0.4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3.15" x14ac:dyDescent="0.4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3.15" x14ac:dyDescent="0.4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3.15" x14ac:dyDescent="0.4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3.15" x14ac:dyDescent="0.4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3.15" x14ac:dyDescent="0.4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3.15" x14ac:dyDescent="0.4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3.15" x14ac:dyDescent="0.4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3.15" x14ac:dyDescent="0.4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3.15" x14ac:dyDescent="0.4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3.15" x14ac:dyDescent="0.4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3.15" x14ac:dyDescent="0.4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3.15" x14ac:dyDescent="0.4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3.15" x14ac:dyDescent="0.4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3.15" x14ac:dyDescent="0.4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3.15" x14ac:dyDescent="0.4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3.15" x14ac:dyDescent="0.4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3.15" x14ac:dyDescent="0.4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3.15" x14ac:dyDescent="0.4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3.15" x14ac:dyDescent="0.4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3.15" x14ac:dyDescent="0.4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3.15" x14ac:dyDescent="0.4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3.15" x14ac:dyDescent="0.4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3.15" x14ac:dyDescent="0.4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3.15" x14ac:dyDescent="0.4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3.15" x14ac:dyDescent="0.4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3.15" x14ac:dyDescent="0.4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3.15" x14ac:dyDescent="0.4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3.15" x14ac:dyDescent="0.4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3.15" x14ac:dyDescent="0.4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3.15" x14ac:dyDescent="0.4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3.15" x14ac:dyDescent="0.4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3.15" x14ac:dyDescent="0.4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3.15" x14ac:dyDescent="0.4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3.15" x14ac:dyDescent="0.4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3.15" x14ac:dyDescent="0.4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3.15" x14ac:dyDescent="0.4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3.15" x14ac:dyDescent="0.4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3.15" x14ac:dyDescent="0.4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3.15" x14ac:dyDescent="0.4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3.15" x14ac:dyDescent="0.4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3.15" x14ac:dyDescent="0.4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3.15" x14ac:dyDescent="0.4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3.15" x14ac:dyDescent="0.4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3.15" x14ac:dyDescent="0.4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3.15" x14ac:dyDescent="0.4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3.15" x14ac:dyDescent="0.4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3.15" x14ac:dyDescent="0.4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3.15" x14ac:dyDescent="0.4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3.15" x14ac:dyDescent="0.4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3.15" x14ac:dyDescent="0.4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3.15" x14ac:dyDescent="0.4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3.15" x14ac:dyDescent="0.4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3.15" x14ac:dyDescent="0.4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3.15" x14ac:dyDescent="0.4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3.15" x14ac:dyDescent="0.4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3.15" x14ac:dyDescent="0.4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3.15" x14ac:dyDescent="0.4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3.15" x14ac:dyDescent="0.4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3.15" x14ac:dyDescent="0.4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3.15" x14ac:dyDescent="0.4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3.15" x14ac:dyDescent="0.4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3.15" x14ac:dyDescent="0.4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3.15" x14ac:dyDescent="0.4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3.15" x14ac:dyDescent="0.4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3.15" x14ac:dyDescent="0.4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3.15" x14ac:dyDescent="0.4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3.15" x14ac:dyDescent="0.4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3.15" x14ac:dyDescent="0.4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3.15" x14ac:dyDescent="0.4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3.15" x14ac:dyDescent="0.4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3.15" x14ac:dyDescent="0.4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3.15" x14ac:dyDescent="0.4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3.15" x14ac:dyDescent="0.4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3.15" x14ac:dyDescent="0.4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3.15" x14ac:dyDescent="0.4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3.15" x14ac:dyDescent="0.4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3.15" x14ac:dyDescent="0.4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3.15" x14ac:dyDescent="0.4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3.15" x14ac:dyDescent="0.4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3.15" x14ac:dyDescent="0.4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3.15" x14ac:dyDescent="0.4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3.15" x14ac:dyDescent="0.4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3.15" x14ac:dyDescent="0.4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3.15" x14ac:dyDescent="0.4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3.15" x14ac:dyDescent="0.4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3.15" x14ac:dyDescent="0.4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3.15" x14ac:dyDescent="0.4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3.15" x14ac:dyDescent="0.4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3.15" x14ac:dyDescent="0.4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3.15" x14ac:dyDescent="0.4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3.15" x14ac:dyDescent="0.4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3.15" x14ac:dyDescent="0.4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3.15" x14ac:dyDescent="0.4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3.15" x14ac:dyDescent="0.4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3.15" x14ac:dyDescent="0.4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3.15" x14ac:dyDescent="0.4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3.15" x14ac:dyDescent="0.4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3.15" x14ac:dyDescent="0.4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3.15" x14ac:dyDescent="0.4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3.15" x14ac:dyDescent="0.4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3.15" x14ac:dyDescent="0.4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3.15" x14ac:dyDescent="0.4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3.15" x14ac:dyDescent="0.4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3.15" x14ac:dyDescent="0.4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3.15" x14ac:dyDescent="0.4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3.15" x14ac:dyDescent="0.4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3.15" x14ac:dyDescent="0.4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3.15" x14ac:dyDescent="0.4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3.15" x14ac:dyDescent="0.4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3.15" x14ac:dyDescent="0.4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3.15" x14ac:dyDescent="0.4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3.15" x14ac:dyDescent="0.4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3.15" x14ac:dyDescent="0.4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3.15" x14ac:dyDescent="0.4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3.15" x14ac:dyDescent="0.4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3.15" x14ac:dyDescent="0.4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3.15" x14ac:dyDescent="0.4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3.15" x14ac:dyDescent="0.4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3.15" x14ac:dyDescent="0.4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3.15" x14ac:dyDescent="0.4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3.15" x14ac:dyDescent="0.4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3.15" x14ac:dyDescent="0.4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3.15" x14ac:dyDescent="0.4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3.15" x14ac:dyDescent="0.4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3.15" x14ac:dyDescent="0.4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3.15" x14ac:dyDescent="0.4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3.15" x14ac:dyDescent="0.4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3.15" x14ac:dyDescent="0.4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3.15" x14ac:dyDescent="0.4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3.15" x14ac:dyDescent="0.4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3.15" x14ac:dyDescent="0.4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3.15" x14ac:dyDescent="0.4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3.15" x14ac:dyDescent="0.4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3.15" x14ac:dyDescent="0.4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3.15" x14ac:dyDescent="0.4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3.15" x14ac:dyDescent="0.4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3.15" x14ac:dyDescent="0.4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3.15" x14ac:dyDescent="0.4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3.15" x14ac:dyDescent="0.4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3.15" x14ac:dyDescent="0.4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3.15" x14ac:dyDescent="0.4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3.15" x14ac:dyDescent="0.4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3.15" x14ac:dyDescent="0.4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3.15" x14ac:dyDescent="0.4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3.15" x14ac:dyDescent="0.4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3.15" x14ac:dyDescent="0.4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3.15" x14ac:dyDescent="0.4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3.15" x14ac:dyDescent="0.4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3.15" x14ac:dyDescent="0.4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3.15" x14ac:dyDescent="0.4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3.15" x14ac:dyDescent="0.4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3.15" x14ac:dyDescent="0.4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3.15" x14ac:dyDescent="0.4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3.15" x14ac:dyDescent="0.4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3.15" x14ac:dyDescent="0.4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3.15" x14ac:dyDescent="0.4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3.15" x14ac:dyDescent="0.4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3.15" x14ac:dyDescent="0.4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3.15" x14ac:dyDescent="0.4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3.15" x14ac:dyDescent="0.4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3.15" x14ac:dyDescent="0.4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3.15" x14ac:dyDescent="0.4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3.15" x14ac:dyDescent="0.4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3.15" x14ac:dyDescent="0.4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3.15" x14ac:dyDescent="0.4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3.15" x14ac:dyDescent="0.4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3.15" x14ac:dyDescent="0.4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3.15" x14ac:dyDescent="0.4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3.15" x14ac:dyDescent="0.4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3.15" x14ac:dyDescent="0.4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3.15" x14ac:dyDescent="0.4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3.15" x14ac:dyDescent="0.4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3.15" x14ac:dyDescent="0.4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3.15" x14ac:dyDescent="0.4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3.15" x14ac:dyDescent="0.4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3.15" x14ac:dyDescent="0.4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3.15" x14ac:dyDescent="0.4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3.15" x14ac:dyDescent="0.4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3.15" x14ac:dyDescent="0.4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3.15" x14ac:dyDescent="0.4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3.15" x14ac:dyDescent="0.4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3.15" x14ac:dyDescent="0.4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3.15" x14ac:dyDescent="0.4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3.15" x14ac:dyDescent="0.4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3.15" x14ac:dyDescent="0.4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3.15" x14ac:dyDescent="0.4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3.15" x14ac:dyDescent="0.4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3.15" x14ac:dyDescent="0.4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3.15" x14ac:dyDescent="0.4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3.15" x14ac:dyDescent="0.4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3.15" x14ac:dyDescent="0.4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3.15" x14ac:dyDescent="0.4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3.15" x14ac:dyDescent="0.4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3.15" x14ac:dyDescent="0.4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3.15" x14ac:dyDescent="0.4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3.15" x14ac:dyDescent="0.4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3.15" x14ac:dyDescent="0.4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3.15" x14ac:dyDescent="0.4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3.15" x14ac:dyDescent="0.4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3.15" x14ac:dyDescent="0.4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3.15" x14ac:dyDescent="0.4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3.15" x14ac:dyDescent="0.4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3.15" x14ac:dyDescent="0.4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3.15" x14ac:dyDescent="0.4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3.15" x14ac:dyDescent="0.4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3.15" x14ac:dyDescent="0.4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3.15" x14ac:dyDescent="0.4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3.15" x14ac:dyDescent="0.4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3.15" x14ac:dyDescent="0.4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3.15" x14ac:dyDescent="0.4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3.15" x14ac:dyDescent="0.4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3.15" x14ac:dyDescent="0.4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3.15" x14ac:dyDescent="0.4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3.15" x14ac:dyDescent="0.4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3.15" x14ac:dyDescent="0.4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3.15" x14ac:dyDescent="0.4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3.15" x14ac:dyDescent="0.4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3.15" x14ac:dyDescent="0.4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3.15" x14ac:dyDescent="0.4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3.15" x14ac:dyDescent="0.4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3.15" x14ac:dyDescent="0.4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3.15" x14ac:dyDescent="0.4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3.15" x14ac:dyDescent="0.4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3.15" x14ac:dyDescent="0.4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3.15" x14ac:dyDescent="0.4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3.15" x14ac:dyDescent="0.4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3.15" x14ac:dyDescent="0.4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3.15" x14ac:dyDescent="0.4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3.15" x14ac:dyDescent="0.4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3.15" x14ac:dyDescent="0.4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3.15" x14ac:dyDescent="0.4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3.15" x14ac:dyDescent="0.4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3.15" x14ac:dyDescent="0.4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3.15" x14ac:dyDescent="0.4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3.15" x14ac:dyDescent="0.4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3.15" x14ac:dyDescent="0.4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3.15" x14ac:dyDescent="0.4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3.15" x14ac:dyDescent="0.4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3.15" x14ac:dyDescent="0.4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3.15" x14ac:dyDescent="0.4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3.15" x14ac:dyDescent="0.4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3.15" x14ac:dyDescent="0.4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3.15" x14ac:dyDescent="0.4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3.15" x14ac:dyDescent="0.4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3.15" x14ac:dyDescent="0.4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3.15" x14ac:dyDescent="0.4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3.15" x14ac:dyDescent="0.4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3.15" x14ac:dyDescent="0.4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3.15" x14ac:dyDescent="0.4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3.15" x14ac:dyDescent="0.4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3.15" x14ac:dyDescent="0.4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3.15" x14ac:dyDescent="0.4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3.15" x14ac:dyDescent="0.4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3.15" x14ac:dyDescent="0.4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3.15" x14ac:dyDescent="0.4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3.15" x14ac:dyDescent="0.4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3.15" x14ac:dyDescent="0.4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3.15" x14ac:dyDescent="0.4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3.15" x14ac:dyDescent="0.4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3.15" x14ac:dyDescent="0.4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3.15" x14ac:dyDescent="0.4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3.15" x14ac:dyDescent="0.4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3.15" x14ac:dyDescent="0.4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3.15" x14ac:dyDescent="0.4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3.15" x14ac:dyDescent="0.4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3.15" x14ac:dyDescent="0.4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3.15" x14ac:dyDescent="0.4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3.15" x14ac:dyDescent="0.4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3.15" x14ac:dyDescent="0.4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3.15" x14ac:dyDescent="0.4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3.15" x14ac:dyDescent="0.4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3.15" x14ac:dyDescent="0.4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3.15" x14ac:dyDescent="0.4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3.15" x14ac:dyDescent="0.4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3.15" x14ac:dyDescent="0.4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3.15" x14ac:dyDescent="0.4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3.15" x14ac:dyDescent="0.4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3.15" x14ac:dyDescent="0.4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3.15" x14ac:dyDescent="0.4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3.15" x14ac:dyDescent="0.4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3.15" x14ac:dyDescent="0.4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3.15" x14ac:dyDescent="0.4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3.15" x14ac:dyDescent="0.4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3.15" x14ac:dyDescent="0.4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3.15" x14ac:dyDescent="0.4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3.15" x14ac:dyDescent="0.4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3.15" x14ac:dyDescent="0.4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3.15" x14ac:dyDescent="0.4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3.15" x14ac:dyDescent="0.4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3.15" x14ac:dyDescent="0.4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3.15" x14ac:dyDescent="0.4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3.15" x14ac:dyDescent="0.4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3.15" x14ac:dyDescent="0.4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3.15" x14ac:dyDescent="0.4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3.15" x14ac:dyDescent="0.4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3.15" x14ac:dyDescent="0.4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3.15" x14ac:dyDescent="0.4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3.15" x14ac:dyDescent="0.4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3.15" x14ac:dyDescent="0.4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3.15" x14ac:dyDescent="0.4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3.15" x14ac:dyDescent="0.4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3.15" x14ac:dyDescent="0.4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3.15" x14ac:dyDescent="0.4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3.15" x14ac:dyDescent="0.4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3.15" x14ac:dyDescent="0.4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3.15" x14ac:dyDescent="0.4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3.15" x14ac:dyDescent="0.4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3.15" x14ac:dyDescent="0.4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3.15" x14ac:dyDescent="0.4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3.15" x14ac:dyDescent="0.4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3.15" x14ac:dyDescent="0.4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3.15" x14ac:dyDescent="0.4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3.15" x14ac:dyDescent="0.4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3.15" x14ac:dyDescent="0.4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3.15" x14ac:dyDescent="0.4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3.15" x14ac:dyDescent="0.4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3.15" x14ac:dyDescent="0.4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3.15" x14ac:dyDescent="0.4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3.15" x14ac:dyDescent="0.4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3.15" x14ac:dyDescent="0.4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3.15" x14ac:dyDescent="0.4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3.15" x14ac:dyDescent="0.4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3.15" x14ac:dyDescent="0.4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3.15" x14ac:dyDescent="0.4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3.15" x14ac:dyDescent="0.4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3.15" x14ac:dyDescent="0.4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3.15" x14ac:dyDescent="0.4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3.15" x14ac:dyDescent="0.4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3.15" x14ac:dyDescent="0.4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3.15" x14ac:dyDescent="0.4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3.15" x14ac:dyDescent="0.4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3.15" x14ac:dyDescent="0.4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3.15" x14ac:dyDescent="0.4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3.15" x14ac:dyDescent="0.4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3.15" x14ac:dyDescent="0.4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3.15" x14ac:dyDescent="0.4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3.15" x14ac:dyDescent="0.4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3.15" x14ac:dyDescent="0.4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3.15" x14ac:dyDescent="0.4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3.15" x14ac:dyDescent="0.4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3.15" x14ac:dyDescent="0.4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3.15" x14ac:dyDescent="0.4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3.15" x14ac:dyDescent="0.4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3.15" x14ac:dyDescent="0.4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3.15" x14ac:dyDescent="0.4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3.15" x14ac:dyDescent="0.4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3.15" x14ac:dyDescent="0.4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3.15" x14ac:dyDescent="0.4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3.15" x14ac:dyDescent="0.4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3.15" x14ac:dyDescent="0.4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3.15" x14ac:dyDescent="0.4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3.15" x14ac:dyDescent="0.4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3.15" x14ac:dyDescent="0.4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3.15" x14ac:dyDescent="0.4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3.15" x14ac:dyDescent="0.4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3.15" x14ac:dyDescent="0.4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3.15" x14ac:dyDescent="0.4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3.15" x14ac:dyDescent="0.4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3.15" x14ac:dyDescent="0.4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3.15" x14ac:dyDescent="0.4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3.15" x14ac:dyDescent="0.4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3.15" x14ac:dyDescent="0.4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3.15" x14ac:dyDescent="0.4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3.15" x14ac:dyDescent="0.4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3.15" x14ac:dyDescent="0.4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3.15" x14ac:dyDescent="0.4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3.15" x14ac:dyDescent="0.4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3.15" x14ac:dyDescent="0.4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3.15" x14ac:dyDescent="0.4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3.15" x14ac:dyDescent="0.4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3.15" x14ac:dyDescent="0.4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3.15" x14ac:dyDescent="0.4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3.15" x14ac:dyDescent="0.4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3.15" x14ac:dyDescent="0.4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3.15" x14ac:dyDescent="0.4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3.15" x14ac:dyDescent="0.4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3.15" x14ac:dyDescent="0.4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3.15" x14ac:dyDescent="0.4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3.15" x14ac:dyDescent="0.4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3.15" x14ac:dyDescent="0.4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3.15" x14ac:dyDescent="0.4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3.15" x14ac:dyDescent="0.4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3.15" x14ac:dyDescent="0.4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3.15" x14ac:dyDescent="0.4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3.15" x14ac:dyDescent="0.4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3.15" x14ac:dyDescent="0.4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3.15" x14ac:dyDescent="0.4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3.15" x14ac:dyDescent="0.4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3.15" x14ac:dyDescent="0.4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3.15" x14ac:dyDescent="0.4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3.15" x14ac:dyDescent="0.4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3.15" x14ac:dyDescent="0.4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3.15" x14ac:dyDescent="0.4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3.15" x14ac:dyDescent="0.4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3.15" x14ac:dyDescent="0.4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3.15" x14ac:dyDescent="0.4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3.15" x14ac:dyDescent="0.4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3.15" x14ac:dyDescent="0.4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3.15" x14ac:dyDescent="0.4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3.15" x14ac:dyDescent="0.4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3.15" x14ac:dyDescent="0.4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3.15" x14ac:dyDescent="0.4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3.15" x14ac:dyDescent="0.4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3.15" x14ac:dyDescent="0.4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3.15" x14ac:dyDescent="0.4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3.15" x14ac:dyDescent="0.4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3.15" x14ac:dyDescent="0.4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3.15" x14ac:dyDescent="0.4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3.15" x14ac:dyDescent="0.4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3.15" x14ac:dyDescent="0.4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3.15" x14ac:dyDescent="0.4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3.15" x14ac:dyDescent="0.4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3.15" x14ac:dyDescent="0.4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3.15" x14ac:dyDescent="0.4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3.15" x14ac:dyDescent="0.4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3.15" x14ac:dyDescent="0.4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3.15" x14ac:dyDescent="0.4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3.15" x14ac:dyDescent="0.4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3.15" x14ac:dyDescent="0.4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3.15" x14ac:dyDescent="0.4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3.15" x14ac:dyDescent="0.4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3.15" x14ac:dyDescent="0.4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3.15" x14ac:dyDescent="0.4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3.15" x14ac:dyDescent="0.4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3.15" x14ac:dyDescent="0.4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3.15" x14ac:dyDescent="0.4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3.15" x14ac:dyDescent="0.4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3.15" x14ac:dyDescent="0.4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3.15" x14ac:dyDescent="0.4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3.15" x14ac:dyDescent="0.4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3.15" x14ac:dyDescent="0.4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3.15" x14ac:dyDescent="0.4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3.15" x14ac:dyDescent="0.4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3.15" x14ac:dyDescent="0.4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3.15" x14ac:dyDescent="0.4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3.15" x14ac:dyDescent="0.4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3.15" x14ac:dyDescent="0.4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3.15" x14ac:dyDescent="0.4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3.15" x14ac:dyDescent="0.4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3.15" x14ac:dyDescent="0.4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3.15" x14ac:dyDescent="0.4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3.15" x14ac:dyDescent="0.4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3.15" x14ac:dyDescent="0.4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3.15" x14ac:dyDescent="0.4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3.15" x14ac:dyDescent="0.4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3.15" x14ac:dyDescent="0.4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3.15" x14ac:dyDescent="0.4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3.15" x14ac:dyDescent="0.4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3.15" x14ac:dyDescent="0.4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3.15" x14ac:dyDescent="0.4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3.15" x14ac:dyDescent="0.4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3.15" x14ac:dyDescent="0.4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3.15" x14ac:dyDescent="0.4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3.15" x14ac:dyDescent="0.4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3.15" x14ac:dyDescent="0.4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3.15" x14ac:dyDescent="0.4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3.15" x14ac:dyDescent="0.4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3.15" x14ac:dyDescent="0.4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3.15" x14ac:dyDescent="0.4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3.15" x14ac:dyDescent="0.4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3.15" x14ac:dyDescent="0.4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3.15" x14ac:dyDescent="0.4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3.15" x14ac:dyDescent="0.4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3.15" x14ac:dyDescent="0.4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3.15" x14ac:dyDescent="0.4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3.15" x14ac:dyDescent="0.4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3.15" x14ac:dyDescent="0.4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3.15" x14ac:dyDescent="0.4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3.15" x14ac:dyDescent="0.4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3.15" x14ac:dyDescent="0.4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3.15" x14ac:dyDescent="0.4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3.15" x14ac:dyDescent="0.4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3.15" x14ac:dyDescent="0.4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3.15" x14ac:dyDescent="0.4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3.15" x14ac:dyDescent="0.4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3.15" x14ac:dyDescent="0.4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3.15" x14ac:dyDescent="0.4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3.15" x14ac:dyDescent="0.4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3.15" x14ac:dyDescent="0.4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3.15" x14ac:dyDescent="0.4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3.15" x14ac:dyDescent="0.4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3.15" x14ac:dyDescent="0.4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3.15" x14ac:dyDescent="0.4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3.15" x14ac:dyDescent="0.4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3.15" x14ac:dyDescent="0.4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3.15" x14ac:dyDescent="0.4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3.15" x14ac:dyDescent="0.4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3.15" x14ac:dyDescent="0.4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3.15" x14ac:dyDescent="0.4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3.15" x14ac:dyDescent="0.4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3.15" x14ac:dyDescent="0.4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3.15" x14ac:dyDescent="0.4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3.15" x14ac:dyDescent="0.4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3.15" x14ac:dyDescent="0.4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3.15" x14ac:dyDescent="0.4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3.15" x14ac:dyDescent="0.4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3.15" x14ac:dyDescent="0.4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3.15" x14ac:dyDescent="0.4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3.15" x14ac:dyDescent="0.4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3.15" x14ac:dyDescent="0.4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3.15" x14ac:dyDescent="0.4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3.15" x14ac:dyDescent="0.4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3.15" x14ac:dyDescent="0.4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3.15" x14ac:dyDescent="0.4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3.15" x14ac:dyDescent="0.4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3.15" x14ac:dyDescent="0.4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3.15" x14ac:dyDescent="0.4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3.15" x14ac:dyDescent="0.4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3.15" x14ac:dyDescent="0.4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3.15" x14ac:dyDescent="0.4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3.15" x14ac:dyDescent="0.4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3.15" x14ac:dyDescent="0.4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3.15" x14ac:dyDescent="0.4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3.15" x14ac:dyDescent="0.4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3.15" x14ac:dyDescent="0.4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3.15" x14ac:dyDescent="0.4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3.15" x14ac:dyDescent="0.4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3.15" x14ac:dyDescent="0.4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3.15" x14ac:dyDescent="0.4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3.15" x14ac:dyDescent="0.4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3.15" x14ac:dyDescent="0.4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3.15" x14ac:dyDescent="0.4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3.15" x14ac:dyDescent="0.4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3.15" x14ac:dyDescent="0.4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3.15" x14ac:dyDescent="0.4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3.15" x14ac:dyDescent="0.4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3.15" x14ac:dyDescent="0.4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3.15" x14ac:dyDescent="0.4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3.15" x14ac:dyDescent="0.4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3.15" x14ac:dyDescent="0.4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3.15" x14ac:dyDescent="0.4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3.15" x14ac:dyDescent="0.4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3.15" x14ac:dyDescent="0.4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3.15" x14ac:dyDescent="0.4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3.15" x14ac:dyDescent="0.4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3.15" x14ac:dyDescent="0.4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3.15" x14ac:dyDescent="0.4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3.15" x14ac:dyDescent="0.4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3.15" x14ac:dyDescent="0.4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3.15" x14ac:dyDescent="0.4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3.15" x14ac:dyDescent="0.4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3.15" x14ac:dyDescent="0.4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3.15" x14ac:dyDescent="0.4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3.15" x14ac:dyDescent="0.4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3.15" x14ac:dyDescent="0.4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3.15" x14ac:dyDescent="0.4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3.15" x14ac:dyDescent="0.4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3.15" x14ac:dyDescent="0.4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3.15" x14ac:dyDescent="0.4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3.15" x14ac:dyDescent="0.4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3.15" x14ac:dyDescent="0.4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3.15" x14ac:dyDescent="0.4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3.15" x14ac:dyDescent="0.4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3.15" x14ac:dyDescent="0.4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3.15" x14ac:dyDescent="0.4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3.15" x14ac:dyDescent="0.4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3.15" x14ac:dyDescent="0.4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3.15" x14ac:dyDescent="0.4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3.15" x14ac:dyDescent="0.4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3.15" x14ac:dyDescent="0.4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3.15" x14ac:dyDescent="0.4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3.15" x14ac:dyDescent="0.4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3.15" x14ac:dyDescent="0.4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3.15" x14ac:dyDescent="0.4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3.15" x14ac:dyDescent="0.4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3.15" x14ac:dyDescent="0.4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3.15" x14ac:dyDescent="0.4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3.15" x14ac:dyDescent="0.4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3.15" x14ac:dyDescent="0.4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3.15" x14ac:dyDescent="0.4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3.15" x14ac:dyDescent="0.4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3.15" x14ac:dyDescent="0.4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3.15" x14ac:dyDescent="0.4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3.15" x14ac:dyDescent="0.4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3.15" x14ac:dyDescent="0.4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3.15" x14ac:dyDescent="0.4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3.15" x14ac:dyDescent="0.4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3.15" x14ac:dyDescent="0.4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3.15" x14ac:dyDescent="0.4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3.15" x14ac:dyDescent="0.4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3.15" x14ac:dyDescent="0.4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3.15" x14ac:dyDescent="0.4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3.15" x14ac:dyDescent="0.4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3.15" x14ac:dyDescent="0.4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3.15" x14ac:dyDescent="0.4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3.15" x14ac:dyDescent="0.4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3.15" x14ac:dyDescent="0.4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3.15" x14ac:dyDescent="0.4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3.15" x14ac:dyDescent="0.4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3.15" x14ac:dyDescent="0.4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3.15" x14ac:dyDescent="0.4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3.15" x14ac:dyDescent="0.4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3.15" x14ac:dyDescent="0.4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3.15" x14ac:dyDescent="0.4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3.15" x14ac:dyDescent="0.4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3.15" x14ac:dyDescent="0.4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3.15" x14ac:dyDescent="0.4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3.15" x14ac:dyDescent="0.4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3.15" x14ac:dyDescent="0.4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3.15" x14ac:dyDescent="0.4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3.15" x14ac:dyDescent="0.4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3.15" x14ac:dyDescent="0.4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3.15" x14ac:dyDescent="0.4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3.15" x14ac:dyDescent="0.4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3.15" x14ac:dyDescent="0.4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3.15" x14ac:dyDescent="0.4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3.15" x14ac:dyDescent="0.4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3.15" x14ac:dyDescent="0.4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3.15" x14ac:dyDescent="0.4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3.15" x14ac:dyDescent="0.4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3.15" x14ac:dyDescent="0.4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3.15" x14ac:dyDescent="0.4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3.15" x14ac:dyDescent="0.4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3.15" x14ac:dyDescent="0.4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3.15" x14ac:dyDescent="0.4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3.15" x14ac:dyDescent="0.4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3.15" x14ac:dyDescent="0.4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3.15" x14ac:dyDescent="0.4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3.15" x14ac:dyDescent="0.4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3.15" x14ac:dyDescent="0.4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3.15" x14ac:dyDescent="0.4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3.15" x14ac:dyDescent="0.4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3.15" x14ac:dyDescent="0.4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3.15" x14ac:dyDescent="0.4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3.15" x14ac:dyDescent="0.4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3.15" x14ac:dyDescent="0.4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3.15" x14ac:dyDescent="0.4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3.15" x14ac:dyDescent="0.4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AF1001"/>
  <sheetViews>
    <sheetView workbookViewId="0">
      <pane ySplit="1" topLeftCell="A2" activePane="bottomLeft" state="frozen"/>
      <selection pane="bottomLeft" activeCell="B3" sqref="B3"/>
    </sheetView>
  </sheetViews>
  <sheetFormatPr defaultColWidth="12.59765625" defaultRowHeight="15.75" customHeight="1" x14ac:dyDescent="0.35"/>
  <cols>
    <col min="1" max="5" width="14.1328125" customWidth="1"/>
    <col min="6" max="6" width="17.59765625" customWidth="1"/>
    <col min="7" max="7" width="14.86328125" customWidth="1"/>
    <col min="8" max="8" width="16.3984375" customWidth="1"/>
  </cols>
  <sheetData>
    <row r="1" spans="1:32" ht="15.75" customHeight="1" x14ac:dyDescent="0.4">
      <c r="A1" s="4"/>
      <c r="B1" s="4"/>
      <c r="C1" s="4"/>
      <c r="D1" s="4"/>
      <c r="E1" s="4" t="s">
        <v>0</v>
      </c>
      <c r="F1" s="4" t="s">
        <v>4</v>
      </c>
      <c r="G1" s="4" t="s">
        <v>5</v>
      </c>
      <c r="H1" s="4" t="s">
        <v>6</v>
      </c>
      <c r="I1" s="4" t="s">
        <v>7</v>
      </c>
      <c r="J1" s="4" t="s">
        <v>8</v>
      </c>
      <c r="K1" s="4" t="s">
        <v>9</v>
      </c>
      <c r="L1" s="4" t="s">
        <v>10</v>
      </c>
      <c r="M1" s="4" t="s">
        <v>11</v>
      </c>
      <c r="N1" s="4" t="s">
        <v>12</v>
      </c>
      <c r="O1" s="4" t="s">
        <v>13</v>
      </c>
      <c r="P1" s="4" t="s">
        <v>14</v>
      </c>
      <c r="Q1" s="4" t="s">
        <v>15</v>
      </c>
      <c r="R1" s="4" t="s">
        <v>16</v>
      </c>
      <c r="S1" s="4" t="s">
        <v>74</v>
      </c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</row>
    <row r="2" spans="1:32" ht="15.75" customHeight="1" x14ac:dyDescent="0.4">
      <c r="A2" s="1" t="s">
        <v>3</v>
      </c>
      <c r="B2" s="1" t="s">
        <v>1</v>
      </c>
      <c r="C2" s="2"/>
      <c r="D2" s="2"/>
      <c r="E2" s="2" t="s">
        <v>25</v>
      </c>
      <c r="F2" s="2" t="s">
        <v>75</v>
      </c>
      <c r="G2" s="2" t="s">
        <v>329</v>
      </c>
      <c r="H2" s="2" t="s">
        <v>330</v>
      </c>
      <c r="I2" s="16">
        <v>45355</v>
      </c>
      <c r="J2" s="16"/>
      <c r="K2" s="2" t="s">
        <v>85</v>
      </c>
      <c r="L2" s="2" t="s">
        <v>88</v>
      </c>
      <c r="M2" s="2" t="s">
        <v>80</v>
      </c>
      <c r="N2" s="2">
        <v>5.5</v>
      </c>
      <c r="O2" s="2" t="s">
        <v>81</v>
      </c>
      <c r="P2" s="2">
        <v>1</v>
      </c>
      <c r="Q2" s="2">
        <v>1.5</v>
      </c>
      <c r="R2" s="2">
        <v>1.5</v>
      </c>
      <c r="S2" s="2">
        <v>1.5</v>
      </c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</row>
    <row r="3" spans="1:32" ht="15.75" customHeight="1" x14ac:dyDescent="0.4">
      <c r="A3" s="2" t="s">
        <v>59</v>
      </c>
      <c r="B3" s="2">
        <f>COUNTIF($H$2:$H1001,"Da'Lisa Hatcher")</f>
        <v>13</v>
      </c>
      <c r="C3" s="2"/>
      <c r="D3" s="2"/>
      <c r="E3" s="2" t="s">
        <v>25</v>
      </c>
      <c r="F3" s="2" t="s">
        <v>75</v>
      </c>
      <c r="G3" s="2" t="s">
        <v>331</v>
      </c>
      <c r="H3" s="2" t="s">
        <v>330</v>
      </c>
      <c r="I3" s="16">
        <v>45355</v>
      </c>
      <c r="J3" s="25"/>
      <c r="K3" s="2" t="s">
        <v>78</v>
      </c>
      <c r="L3" s="2" t="s">
        <v>79</v>
      </c>
      <c r="M3" s="2" t="s">
        <v>80</v>
      </c>
      <c r="N3" s="2">
        <v>4</v>
      </c>
      <c r="O3" s="2" t="s">
        <v>81</v>
      </c>
      <c r="P3" s="2">
        <v>1</v>
      </c>
      <c r="Q3" s="2">
        <v>1.5</v>
      </c>
      <c r="R3" s="2">
        <v>1.5</v>
      </c>
      <c r="S3" s="26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</row>
    <row r="4" spans="1:32" ht="15.75" customHeight="1" x14ac:dyDescent="0.4">
      <c r="A4" s="2" t="s">
        <v>60</v>
      </c>
      <c r="B4" s="2">
        <f>COUNTIF($H$2:$H1001,"Desmond Bridges Sr.")</f>
        <v>11</v>
      </c>
      <c r="C4" s="2"/>
      <c r="D4" s="2"/>
      <c r="E4" s="2" t="s">
        <v>25</v>
      </c>
      <c r="F4" s="2" t="s">
        <v>83</v>
      </c>
      <c r="G4" s="2" t="s">
        <v>332</v>
      </c>
      <c r="H4" s="2" t="s">
        <v>330</v>
      </c>
      <c r="I4" s="16">
        <v>45356</v>
      </c>
      <c r="J4" s="16">
        <v>45359</v>
      </c>
      <c r="K4" s="2" t="s">
        <v>85</v>
      </c>
      <c r="L4" s="2" t="s">
        <v>138</v>
      </c>
      <c r="M4" s="2" t="s">
        <v>95</v>
      </c>
      <c r="N4" s="2">
        <v>5.5</v>
      </c>
      <c r="O4" s="2" t="s">
        <v>81</v>
      </c>
      <c r="P4" s="2">
        <v>0.5</v>
      </c>
      <c r="Q4" s="2">
        <v>2</v>
      </c>
      <c r="R4" s="2">
        <v>2</v>
      </c>
      <c r="S4" s="26">
        <v>1</v>
      </c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</row>
    <row r="5" spans="1:32" ht="15.75" customHeight="1" x14ac:dyDescent="0.4">
      <c r="A5" s="2" t="s">
        <v>61</v>
      </c>
      <c r="B5" s="2">
        <f>COUNTIF($H$2:$H1001,"Yvette Isom-Drake")</f>
        <v>6</v>
      </c>
      <c r="C5" s="2"/>
      <c r="D5" s="2"/>
      <c r="E5" s="2" t="s">
        <v>25</v>
      </c>
      <c r="F5" s="2" t="s">
        <v>92</v>
      </c>
      <c r="G5" s="2" t="s">
        <v>333</v>
      </c>
      <c r="H5" s="2" t="s">
        <v>330</v>
      </c>
      <c r="I5" s="16">
        <v>45357</v>
      </c>
      <c r="J5" s="25">
        <v>45358</v>
      </c>
      <c r="K5" s="2" t="s">
        <v>78</v>
      </c>
      <c r="L5" s="2" t="s">
        <v>79</v>
      </c>
      <c r="M5" s="2" t="s">
        <v>108</v>
      </c>
      <c r="N5" s="2">
        <v>5</v>
      </c>
      <c r="O5" s="2" t="s">
        <v>81</v>
      </c>
      <c r="P5" s="2">
        <v>2</v>
      </c>
      <c r="Q5" s="2">
        <v>1.5</v>
      </c>
      <c r="R5" s="2">
        <v>1.5</v>
      </c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</row>
    <row r="6" spans="1:32" ht="15.75" customHeight="1" x14ac:dyDescent="0.4">
      <c r="A6" s="4" t="s">
        <v>29</v>
      </c>
      <c r="B6" s="4">
        <f>SUM(B3:B5)</f>
        <v>30</v>
      </c>
      <c r="C6" s="2"/>
      <c r="D6" s="2"/>
      <c r="E6" s="2" t="s">
        <v>25</v>
      </c>
      <c r="F6" s="2" t="s">
        <v>75</v>
      </c>
      <c r="G6" s="2" t="s">
        <v>334</v>
      </c>
      <c r="H6" s="2" t="s">
        <v>330</v>
      </c>
      <c r="I6" s="16">
        <v>45357</v>
      </c>
      <c r="J6" s="25">
        <v>45358</v>
      </c>
      <c r="K6" s="2" t="s">
        <v>85</v>
      </c>
      <c r="L6" s="2" t="s">
        <v>88</v>
      </c>
      <c r="M6" s="2" t="s">
        <v>95</v>
      </c>
      <c r="N6" s="2">
        <v>6.5</v>
      </c>
      <c r="O6" s="2" t="s">
        <v>97</v>
      </c>
      <c r="P6" s="2">
        <v>1</v>
      </c>
      <c r="Q6" s="2">
        <v>2.5</v>
      </c>
      <c r="R6" s="2">
        <v>2</v>
      </c>
      <c r="S6" s="2">
        <v>1</v>
      </c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</row>
    <row r="7" spans="1:32" ht="15.75" customHeight="1" x14ac:dyDescent="0.4">
      <c r="A7" s="2"/>
      <c r="B7" s="2"/>
      <c r="C7" s="2"/>
      <c r="D7" s="2"/>
      <c r="E7" s="2" t="s">
        <v>25</v>
      </c>
      <c r="F7" s="2" t="s">
        <v>75</v>
      </c>
      <c r="G7" s="2" t="s">
        <v>335</v>
      </c>
      <c r="H7" s="2" t="s">
        <v>330</v>
      </c>
      <c r="I7" s="16">
        <v>45358</v>
      </c>
      <c r="J7" s="25">
        <v>45358</v>
      </c>
      <c r="K7" s="2" t="s">
        <v>85</v>
      </c>
      <c r="L7" s="2" t="s">
        <v>99</v>
      </c>
      <c r="M7" s="2" t="s">
        <v>80</v>
      </c>
      <c r="N7" s="2">
        <v>6.5</v>
      </c>
      <c r="O7" s="2" t="s">
        <v>97</v>
      </c>
      <c r="P7" s="2">
        <v>0.5</v>
      </c>
      <c r="Q7" s="2">
        <v>2.5</v>
      </c>
      <c r="R7" s="2">
        <v>2.5</v>
      </c>
      <c r="S7" s="2">
        <v>1</v>
      </c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</row>
    <row r="8" spans="1:32" ht="15.75" customHeight="1" x14ac:dyDescent="0.4">
      <c r="A8" s="2"/>
      <c r="B8" s="2"/>
      <c r="C8" s="2"/>
      <c r="D8" s="2"/>
      <c r="E8" s="2" t="s">
        <v>25</v>
      </c>
      <c r="F8" s="2" t="s">
        <v>83</v>
      </c>
      <c r="G8" s="2" t="s">
        <v>336</v>
      </c>
      <c r="H8" s="2" t="s">
        <v>330</v>
      </c>
      <c r="I8" s="16">
        <v>45358</v>
      </c>
      <c r="J8" s="25"/>
      <c r="K8" s="2" t="s">
        <v>85</v>
      </c>
      <c r="L8" s="2" t="s">
        <v>86</v>
      </c>
      <c r="M8" s="2" t="s">
        <v>80</v>
      </c>
      <c r="N8" s="2">
        <v>5.5</v>
      </c>
      <c r="O8" s="2" t="s">
        <v>81</v>
      </c>
      <c r="P8" s="2">
        <v>1</v>
      </c>
      <c r="Q8" s="2">
        <v>1.5</v>
      </c>
      <c r="R8" s="2">
        <v>2</v>
      </c>
      <c r="S8" s="26">
        <v>1</v>
      </c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</row>
    <row r="9" spans="1:32" ht="15.75" customHeight="1" x14ac:dyDescent="0.4">
      <c r="A9" s="1" t="s">
        <v>13</v>
      </c>
      <c r="B9" s="1" t="s">
        <v>104</v>
      </c>
      <c r="C9" s="1" t="s">
        <v>105</v>
      </c>
      <c r="D9" s="2"/>
      <c r="E9" s="2" t="s">
        <v>25</v>
      </c>
      <c r="F9" s="2" t="s">
        <v>92</v>
      </c>
      <c r="G9" s="2" t="s">
        <v>337</v>
      </c>
      <c r="H9" s="2" t="s">
        <v>330</v>
      </c>
      <c r="I9" s="16">
        <v>45355</v>
      </c>
      <c r="J9" s="25">
        <v>45355</v>
      </c>
      <c r="K9" s="2" t="s">
        <v>85</v>
      </c>
      <c r="L9" s="2" t="s">
        <v>94</v>
      </c>
      <c r="M9" s="2" t="s">
        <v>80</v>
      </c>
      <c r="N9" s="2">
        <v>6.5</v>
      </c>
      <c r="O9" s="2" t="s">
        <v>97</v>
      </c>
      <c r="P9" s="2">
        <v>1.5</v>
      </c>
      <c r="Q9" s="2">
        <v>2.5</v>
      </c>
      <c r="R9" s="2">
        <v>2.5</v>
      </c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</row>
    <row r="10" spans="1:32" ht="15.75" customHeight="1" x14ac:dyDescent="0.4">
      <c r="A10" s="2" t="s">
        <v>109</v>
      </c>
      <c r="B10" s="3">
        <f>C10/B6</f>
        <v>0.5</v>
      </c>
      <c r="C10" s="2">
        <f>(COUNTIF($O$2:$O1001,"Proficient I"))+(COUNTIF($O$2:$O1001,"Proficient II"))+(COUNTIF($O$2:$O1001,"Exemplary"))</f>
        <v>15</v>
      </c>
      <c r="D10" s="2"/>
      <c r="E10" s="2" t="s">
        <v>25</v>
      </c>
      <c r="F10" s="2" t="s">
        <v>92</v>
      </c>
      <c r="G10" s="2" t="s">
        <v>338</v>
      </c>
      <c r="H10" s="2" t="s">
        <v>330</v>
      </c>
      <c r="I10" s="16">
        <v>45359</v>
      </c>
      <c r="J10" s="25"/>
      <c r="K10" s="2" t="s">
        <v>85</v>
      </c>
      <c r="L10" s="2" t="s">
        <v>99</v>
      </c>
      <c r="M10" s="2" t="s">
        <v>117</v>
      </c>
      <c r="N10" s="2">
        <v>5.5</v>
      </c>
      <c r="O10" s="2" t="s">
        <v>81</v>
      </c>
      <c r="P10" s="2">
        <v>2</v>
      </c>
      <c r="Q10" s="2">
        <v>1.5</v>
      </c>
      <c r="R10" s="2">
        <v>2</v>
      </c>
      <c r="S10" s="26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</row>
    <row r="11" spans="1:32" ht="15.75" customHeight="1" x14ac:dyDescent="0.4">
      <c r="A11" s="2" t="s">
        <v>111</v>
      </c>
      <c r="B11" s="3">
        <f>C11/B6</f>
        <v>0.5</v>
      </c>
      <c r="C11" s="2">
        <f>(COUNTIF($O$2:$O1001,"Unsatisfactory"))+(COUNTIF($O$2:$O1001,"Progressing"))</f>
        <v>15</v>
      </c>
      <c r="D11" s="2"/>
      <c r="E11" s="2" t="s">
        <v>25</v>
      </c>
      <c r="F11" s="2" t="s">
        <v>92</v>
      </c>
      <c r="G11" s="2" t="s">
        <v>339</v>
      </c>
      <c r="H11" s="2" t="s">
        <v>330</v>
      </c>
      <c r="I11" s="16">
        <v>45359</v>
      </c>
      <c r="J11" s="25"/>
      <c r="K11" s="2" t="s">
        <v>78</v>
      </c>
      <c r="L11" s="2" t="s">
        <v>94</v>
      </c>
      <c r="M11" s="2" t="s">
        <v>95</v>
      </c>
      <c r="N11" s="2">
        <v>4.5</v>
      </c>
      <c r="O11" s="2" t="s">
        <v>81</v>
      </c>
      <c r="P11" s="2">
        <v>2</v>
      </c>
      <c r="Q11" s="2">
        <v>1.5</v>
      </c>
      <c r="R11" s="2">
        <v>1</v>
      </c>
      <c r="S11" s="26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</row>
    <row r="12" spans="1:32" ht="15.75" customHeight="1" x14ac:dyDescent="0.4">
      <c r="A12" s="2"/>
      <c r="B12" s="2"/>
      <c r="C12" s="2"/>
      <c r="D12" s="2"/>
      <c r="E12" s="2" t="s">
        <v>25</v>
      </c>
      <c r="F12" s="2" t="s">
        <v>92</v>
      </c>
      <c r="G12" s="2" t="s">
        <v>340</v>
      </c>
      <c r="H12" s="2" t="s">
        <v>330</v>
      </c>
      <c r="I12" s="16">
        <v>45359</v>
      </c>
      <c r="J12" s="25"/>
      <c r="K12" s="2" t="s">
        <v>85</v>
      </c>
      <c r="L12" s="2" t="s">
        <v>99</v>
      </c>
      <c r="M12" s="2" t="s">
        <v>95</v>
      </c>
      <c r="N12" s="2">
        <v>3</v>
      </c>
      <c r="O12" s="2" t="s">
        <v>123</v>
      </c>
      <c r="P12" s="2">
        <v>0</v>
      </c>
      <c r="Q12" s="2">
        <v>1.5</v>
      </c>
      <c r="R12" s="2">
        <v>1.5</v>
      </c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</row>
    <row r="13" spans="1:32" ht="15.75" customHeight="1" x14ac:dyDescent="0.4">
      <c r="A13" s="2"/>
      <c r="B13" s="2"/>
      <c r="C13" s="2"/>
      <c r="D13" s="2"/>
      <c r="E13" s="2" t="s">
        <v>25</v>
      </c>
      <c r="F13" s="2" t="s">
        <v>83</v>
      </c>
      <c r="G13" s="2" t="s">
        <v>341</v>
      </c>
      <c r="H13" s="2" t="s">
        <v>330</v>
      </c>
      <c r="I13" s="16">
        <v>45359</v>
      </c>
      <c r="J13" s="16"/>
      <c r="K13" s="2" t="s">
        <v>85</v>
      </c>
      <c r="L13" s="2" t="s">
        <v>86</v>
      </c>
      <c r="M13" s="2" t="s">
        <v>80</v>
      </c>
      <c r="N13" s="2">
        <v>6.5</v>
      </c>
      <c r="O13" s="2" t="s">
        <v>97</v>
      </c>
      <c r="P13" s="2">
        <v>1</v>
      </c>
      <c r="Q13" s="2">
        <v>2</v>
      </c>
      <c r="R13" s="2">
        <v>2.5</v>
      </c>
      <c r="S13" s="2">
        <v>1</v>
      </c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</row>
    <row r="14" spans="1:32" ht="15.75" customHeight="1" x14ac:dyDescent="0.4">
      <c r="A14" s="2"/>
      <c r="B14" s="2"/>
      <c r="C14" s="2"/>
      <c r="D14" s="2"/>
      <c r="E14" s="2" t="s">
        <v>25</v>
      </c>
      <c r="F14" s="2" t="s">
        <v>216</v>
      </c>
      <c r="G14" s="2" t="s">
        <v>342</v>
      </c>
      <c r="H14" s="2" t="s">
        <v>330</v>
      </c>
      <c r="I14" s="16">
        <v>45359</v>
      </c>
      <c r="J14" s="16"/>
      <c r="K14" s="2" t="s">
        <v>78</v>
      </c>
      <c r="L14" s="2" t="s">
        <v>86</v>
      </c>
      <c r="M14" s="2"/>
      <c r="N14" s="2">
        <v>4</v>
      </c>
      <c r="O14" s="2" t="s">
        <v>81</v>
      </c>
      <c r="P14" s="2">
        <v>1</v>
      </c>
      <c r="Q14" s="2">
        <v>2</v>
      </c>
      <c r="R14" s="2">
        <v>1</v>
      </c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</row>
    <row r="15" spans="1:32" ht="15.75" customHeight="1" x14ac:dyDescent="0.4">
      <c r="A15" s="2"/>
      <c r="B15" s="2"/>
      <c r="C15" s="2"/>
      <c r="D15" s="2"/>
      <c r="E15" s="2" t="s">
        <v>25</v>
      </c>
      <c r="F15" s="2" t="s">
        <v>92</v>
      </c>
      <c r="G15" s="2" t="s">
        <v>343</v>
      </c>
      <c r="H15" s="2" t="s">
        <v>344</v>
      </c>
      <c r="I15" s="16">
        <v>45356</v>
      </c>
      <c r="J15" s="16"/>
      <c r="K15" s="2" t="s">
        <v>78</v>
      </c>
      <c r="L15" s="2" t="s">
        <v>88</v>
      </c>
      <c r="M15" s="2" t="s">
        <v>108</v>
      </c>
      <c r="N15" s="2">
        <v>7.5</v>
      </c>
      <c r="O15" s="2" t="s">
        <v>97</v>
      </c>
      <c r="P15" s="2">
        <v>2</v>
      </c>
      <c r="Q15" s="2">
        <v>3</v>
      </c>
      <c r="R15" s="2">
        <v>2.5</v>
      </c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</row>
    <row r="16" spans="1:32" ht="15.75" customHeight="1" x14ac:dyDescent="0.4">
      <c r="A16" s="2"/>
      <c r="B16" s="2"/>
      <c r="C16" s="2"/>
      <c r="D16" s="2"/>
      <c r="E16" s="2" t="s">
        <v>25</v>
      </c>
      <c r="F16" s="2" t="s">
        <v>75</v>
      </c>
      <c r="G16" s="2" t="s">
        <v>334</v>
      </c>
      <c r="H16" s="2" t="s">
        <v>344</v>
      </c>
      <c r="I16" s="16">
        <v>45356</v>
      </c>
      <c r="J16" s="16">
        <v>45359</v>
      </c>
      <c r="K16" s="2" t="s">
        <v>85</v>
      </c>
      <c r="L16" s="2" t="s">
        <v>94</v>
      </c>
      <c r="M16" s="2" t="s">
        <v>95</v>
      </c>
      <c r="N16" s="2">
        <v>6.5</v>
      </c>
      <c r="O16" s="2" t="s">
        <v>97</v>
      </c>
      <c r="P16" s="2">
        <v>1</v>
      </c>
      <c r="Q16" s="2">
        <v>2</v>
      </c>
      <c r="R16" s="2">
        <v>2</v>
      </c>
      <c r="S16" s="2">
        <v>1.5</v>
      </c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</row>
    <row r="17" spans="1:32" ht="15.75" customHeight="1" x14ac:dyDescent="0.4">
      <c r="A17" s="2"/>
      <c r="B17" s="2"/>
      <c r="C17" s="2"/>
      <c r="D17" s="2"/>
      <c r="E17" s="2" t="s">
        <v>25</v>
      </c>
      <c r="F17" s="2" t="s">
        <v>92</v>
      </c>
      <c r="G17" s="2" t="s">
        <v>345</v>
      </c>
      <c r="H17" s="2" t="s">
        <v>344</v>
      </c>
      <c r="I17" s="16">
        <v>45357</v>
      </c>
      <c r="J17" s="16">
        <v>45359</v>
      </c>
      <c r="K17" s="2" t="s">
        <v>85</v>
      </c>
      <c r="L17" s="2" t="s">
        <v>94</v>
      </c>
      <c r="M17" s="2" t="s">
        <v>95</v>
      </c>
      <c r="N17" s="2">
        <v>6</v>
      </c>
      <c r="O17" s="2" t="s">
        <v>97</v>
      </c>
      <c r="P17" s="2">
        <v>2</v>
      </c>
      <c r="Q17" s="2">
        <v>2.5</v>
      </c>
      <c r="R17" s="2">
        <v>1.5</v>
      </c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</row>
    <row r="18" spans="1:32" ht="15.75" customHeight="1" x14ac:dyDescent="0.4">
      <c r="A18" s="2"/>
      <c r="B18" s="2"/>
      <c r="C18" s="2"/>
      <c r="D18" s="2"/>
      <c r="E18" s="2" t="s">
        <v>25</v>
      </c>
      <c r="F18" s="2" t="s">
        <v>92</v>
      </c>
      <c r="G18" s="2" t="s">
        <v>337</v>
      </c>
      <c r="H18" s="2" t="s">
        <v>344</v>
      </c>
      <c r="I18" s="16">
        <v>45357</v>
      </c>
      <c r="J18" s="16">
        <v>45359</v>
      </c>
      <c r="K18" s="2" t="s">
        <v>85</v>
      </c>
      <c r="L18" s="2" t="s">
        <v>94</v>
      </c>
      <c r="M18" s="2" t="s">
        <v>80</v>
      </c>
      <c r="N18" s="2">
        <v>6.5</v>
      </c>
      <c r="O18" s="2" t="s">
        <v>97</v>
      </c>
      <c r="P18" s="2">
        <v>2</v>
      </c>
      <c r="Q18" s="2">
        <v>3</v>
      </c>
      <c r="R18" s="2">
        <v>1.5</v>
      </c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</row>
    <row r="19" spans="1:32" ht="15.75" customHeight="1" x14ac:dyDescent="0.4">
      <c r="A19" s="2"/>
      <c r="B19" s="2"/>
      <c r="C19" s="2"/>
      <c r="D19" s="2"/>
      <c r="E19" s="2" t="s">
        <v>25</v>
      </c>
      <c r="F19" s="2" t="s">
        <v>89</v>
      </c>
      <c r="G19" s="2" t="s">
        <v>346</v>
      </c>
      <c r="H19" s="2" t="s">
        <v>344</v>
      </c>
      <c r="I19" s="16">
        <v>45357</v>
      </c>
      <c r="J19" s="16"/>
      <c r="K19" s="2" t="s">
        <v>78</v>
      </c>
      <c r="L19" s="2"/>
      <c r="M19" s="2"/>
      <c r="N19" s="2">
        <v>8</v>
      </c>
      <c r="O19" s="2" t="s">
        <v>91</v>
      </c>
      <c r="P19" s="2">
        <v>2</v>
      </c>
      <c r="Q19" s="2">
        <v>4</v>
      </c>
      <c r="R19" s="2">
        <v>2</v>
      </c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</row>
    <row r="20" spans="1:32" ht="15.75" customHeight="1" x14ac:dyDescent="0.4">
      <c r="A20" s="2"/>
      <c r="B20" s="2"/>
      <c r="C20" s="2"/>
      <c r="D20" s="2"/>
      <c r="E20" s="2" t="s">
        <v>25</v>
      </c>
      <c r="F20" s="2" t="s">
        <v>92</v>
      </c>
      <c r="G20" s="2" t="s">
        <v>347</v>
      </c>
      <c r="H20" s="2" t="s">
        <v>344</v>
      </c>
      <c r="I20" s="16">
        <v>45358</v>
      </c>
      <c r="J20" s="16">
        <v>45359</v>
      </c>
      <c r="K20" s="2" t="s">
        <v>78</v>
      </c>
      <c r="L20" s="2" t="s">
        <v>79</v>
      </c>
      <c r="M20" s="2" t="s">
        <v>117</v>
      </c>
      <c r="N20" s="2">
        <v>6.5</v>
      </c>
      <c r="O20" s="2" t="s">
        <v>97</v>
      </c>
      <c r="P20" s="2">
        <v>2</v>
      </c>
      <c r="Q20" s="2">
        <v>2.5</v>
      </c>
      <c r="R20" s="2">
        <v>2</v>
      </c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</row>
    <row r="21" spans="1:32" ht="15.75" customHeight="1" x14ac:dyDescent="0.4">
      <c r="A21" s="2"/>
      <c r="B21" s="2"/>
      <c r="C21" s="2"/>
      <c r="D21" s="2"/>
      <c r="E21" s="2" t="s">
        <v>25</v>
      </c>
      <c r="F21" s="2" t="s">
        <v>75</v>
      </c>
      <c r="G21" s="2" t="s">
        <v>335</v>
      </c>
      <c r="H21" s="2" t="s">
        <v>344</v>
      </c>
      <c r="I21" s="16">
        <v>45358</v>
      </c>
      <c r="J21" s="16"/>
      <c r="K21" s="2" t="s">
        <v>78</v>
      </c>
      <c r="L21" s="2" t="s">
        <v>99</v>
      </c>
      <c r="M21" s="2" t="s">
        <v>80</v>
      </c>
      <c r="N21" s="2">
        <v>6</v>
      </c>
      <c r="O21" s="2" t="s">
        <v>97</v>
      </c>
      <c r="P21" s="2">
        <v>1</v>
      </c>
      <c r="Q21" s="2">
        <v>2</v>
      </c>
      <c r="R21" s="2">
        <v>1.5</v>
      </c>
      <c r="S21" s="2">
        <v>1.5</v>
      </c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</row>
    <row r="22" spans="1:32" ht="15.75" customHeight="1" x14ac:dyDescent="0.4">
      <c r="A22" s="2"/>
      <c r="B22" s="2"/>
      <c r="C22" s="2"/>
      <c r="D22" s="2"/>
      <c r="E22" s="2" t="s">
        <v>25</v>
      </c>
      <c r="F22" s="2" t="s">
        <v>92</v>
      </c>
      <c r="G22" s="2" t="s">
        <v>332</v>
      </c>
      <c r="H22" s="2" t="s">
        <v>344</v>
      </c>
      <c r="I22" s="16">
        <v>45359</v>
      </c>
      <c r="J22" s="16"/>
      <c r="K22" s="2" t="s">
        <v>85</v>
      </c>
      <c r="L22" s="2" t="s">
        <v>94</v>
      </c>
      <c r="M22" s="2" t="s">
        <v>95</v>
      </c>
      <c r="N22" s="2">
        <v>5</v>
      </c>
      <c r="O22" s="2" t="s">
        <v>81</v>
      </c>
      <c r="P22" s="2">
        <v>2</v>
      </c>
      <c r="Q22" s="2">
        <v>1.5</v>
      </c>
      <c r="R22" s="2">
        <v>1.5</v>
      </c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</row>
    <row r="23" spans="1:32" ht="15.75" customHeight="1" x14ac:dyDescent="0.4">
      <c r="A23" s="2"/>
      <c r="B23" s="2"/>
      <c r="C23" s="2"/>
      <c r="D23" s="2"/>
      <c r="E23" s="2" t="s">
        <v>25</v>
      </c>
      <c r="F23" s="2" t="s">
        <v>92</v>
      </c>
      <c r="G23" s="2" t="s">
        <v>348</v>
      </c>
      <c r="H23" s="2" t="s">
        <v>344</v>
      </c>
      <c r="I23" s="16">
        <v>45359</v>
      </c>
      <c r="J23" s="16"/>
      <c r="K23" s="2" t="s">
        <v>78</v>
      </c>
      <c r="L23" s="2" t="s">
        <v>99</v>
      </c>
      <c r="M23" s="2" t="s">
        <v>108</v>
      </c>
      <c r="N23" s="2">
        <v>8.5</v>
      </c>
      <c r="O23" s="2" t="s">
        <v>91</v>
      </c>
      <c r="P23" s="2">
        <v>2</v>
      </c>
      <c r="Q23" s="2">
        <v>3.5</v>
      </c>
      <c r="R23" s="2">
        <v>3</v>
      </c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</row>
    <row r="24" spans="1:32" ht="15.75" customHeight="1" x14ac:dyDescent="0.4">
      <c r="A24" s="2"/>
      <c r="B24" s="2"/>
      <c r="C24" s="2"/>
      <c r="D24" s="2"/>
      <c r="E24" s="2" t="s">
        <v>25</v>
      </c>
      <c r="F24" s="2" t="s">
        <v>92</v>
      </c>
      <c r="G24" s="2" t="s">
        <v>339</v>
      </c>
      <c r="H24" s="2" t="s">
        <v>344</v>
      </c>
      <c r="I24" s="16">
        <v>45359</v>
      </c>
      <c r="J24" s="16">
        <v>45359</v>
      </c>
      <c r="K24" s="2" t="s">
        <v>85</v>
      </c>
      <c r="L24" s="2" t="s">
        <v>94</v>
      </c>
      <c r="M24" s="2" t="s">
        <v>95</v>
      </c>
      <c r="N24" s="2">
        <v>5</v>
      </c>
      <c r="O24" s="2" t="s">
        <v>81</v>
      </c>
      <c r="P24" s="2">
        <v>2</v>
      </c>
      <c r="Q24" s="2">
        <v>1.5</v>
      </c>
      <c r="R24" s="2">
        <v>1.5</v>
      </c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</row>
    <row r="25" spans="1:32" ht="15.75" customHeight="1" x14ac:dyDescent="0.4">
      <c r="A25" s="2"/>
      <c r="B25" s="2"/>
      <c r="C25" s="2"/>
      <c r="D25" s="2"/>
      <c r="E25" s="2" t="s">
        <v>25</v>
      </c>
      <c r="F25" s="2" t="s">
        <v>92</v>
      </c>
      <c r="G25" s="2" t="s">
        <v>340</v>
      </c>
      <c r="H25" s="2" t="s">
        <v>344</v>
      </c>
      <c r="I25" s="16">
        <v>45359</v>
      </c>
      <c r="J25" s="16">
        <v>45359</v>
      </c>
      <c r="K25" s="2" t="s">
        <v>85</v>
      </c>
      <c r="L25" s="2" t="s">
        <v>99</v>
      </c>
      <c r="M25" s="2" t="s">
        <v>95</v>
      </c>
      <c r="N25" s="2">
        <v>5</v>
      </c>
      <c r="O25" s="2" t="s">
        <v>81</v>
      </c>
      <c r="P25" s="2">
        <v>2</v>
      </c>
      <c r="Q25" s="2">
        <v>1.5</v>
      </c>
      <c r="R25" s="2">
        <v>1.5</v>
      </c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</row>
    <row r="26" spans="1:32" ht="15.75" customHeight="1" x14ac:dyDescent="0.4">
      <c r="A26" s="2"/>
      <c r="B26" s="2"/>
      <c r="C26" s="2"/>
      <c r="D26" s="2"/>
      <c r="E26" s="2" t="s">
        <v>25</v>
      </c>
      <c r="F26" s="2" t="s">
        <v>83</v>
      </c>
      <c r="G26" s="2" t="s">
        <v>349</v>
      </c>
      <c r="H26" s="2" t="s">
        <v>350</v>
      </c>
      <c r="I26" s="16">
        <v>45355</v>
      </c>
      <c r="J26" s="16"/>
      <c r="K26" s="2" t="s">
        <v>85</v>
      </c>
      <c r="L26" s="2" t="s">
        <v>138</v>
      </c>
      <c r="M26" s="2" t="s">
        <v>95</v>
      </c>
      <c r="N26" s="2">
        <v>5.5</v>
      </c>
      <c r="O26" s="2" t="s">
        <v>81</v>
      </c>
      <c r="P26" s="2">
        <v>1</v>
      </c>
      <c r="Q26" s="2">
        <v>2</v>
      </c>
      <c r="R26" s="2">
        <v>1.5</v>
      </c>
      <c r="S26" s="2">
        <v>1</v>
      </c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</row>
    <row r="27" spans="1:32" ht="15.75" customHeight="1" x14ac:dyDescent="0.4">
      <c r="A27" s="2"/>
      <c r="B27" s="2"/>
      <c r="C27" s="2"/>
      <c r="D27" s="2"/>
      <c r="E27" s="2" t="s">
        <v>25</v>
      </c>
      <c r="F27" s="2" t="s">
        <v>83</v>
      </c>
      <c r="G27" s="2" t="s">
        <v>351</v>
      </c>
      <c r="H27" s="2" t="s">
        <v>350</v>
      </c>
      <c r="I27" s="16">
        <v>45355</v>
      </c>
      <c r="J27" s="16"/>
      <c r="K27" s="2" t="s">
        <v>85</v>
      </c>
      <c r="L27" s="2" t="s">
        <v>138</v>
      </c>
      <c r="M27" s="2" t="s">
        <v>95</v>
      </c>
      <c r="N27" s="2">
        <v>5.5</v>
      </c>
      <c r="O27" s="2" t="s">
        <v>81</v>
      </c>
      <c r="P27" s="2">
        <v>1</v>
      </c>
      <c r="Q27" s="2">
        <v>2</v>
      </c>
      <c r="R27" s="2">
        <v>1.5</v>
      </c>
      <c r="S27" s="2">
        <v>1</v>
      </c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</row>
    <row r="28" spans="1:32" ht="15.75" customHeight="1" x14ac:dyDescent="0.4">
      <c r="A28" s="2"/>
      <c r="B28" s="2"/>
      <c r="C28" s="2"/>
      <c r="D28" s="2"/>
      <c r="E28" s="2" t="s">
        <v>25</v>
      </c>
      <c r="F28" s="2" t="s">
        <v>83</v>
      </c>
      <c r="G28" s="2" t="s">
        <v>352</v>
      </c>
      <c r="H28" s="2" t="s">
        <v>350</v>
      </c>
      <c r="I28" s="16">
        <v>45355</v>
      </c>
      <c r="J28" s="16"/>
      <c r="K28" s="2" t="s">
        <v>85</v>
      </c>
      <c r="L28" s="2" t="s">
        <v>86</v>
      </c>
      <c r="M28" s="2" t="s">
        <v>95</v>
      </c>
      <c r="N28" s="2">
        <v>5.5</v>
      </c>
      <c r="O28" s="2" t="s">
        <v>81</v>
      </c>
      <c r="P28" s="2">
        <v>1</v>
      </c>
      <c r="Q28" s="2">
        <v>1.5</v>
      </c>
      <c r="R28" s="2">
        <v>1.5</v>
      </c>
      <c r="S28" s="2">
        <v>1.5</v>
      </c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</row>
    <row r="29" spans="1:32" ht="15.75" customHeight="1" x14ac:dyDescent="0.4">
      <c r="A29" s="2"/>
      <c r="B29" s="2"/>
      <c r="C29" s="2"/>
      <c r="D29" s="2"/>
      <c r="E29" s="2" t="s">
        <v>25</v>
      </c>
      <c r="F29" s="2" t="s">
        <v>83</v>
      </c>
      <c r="G29" s="2" t="s">
        <v>353</v>
      </c>
      <c r="H29" s="2" t="s">
        <v>350</v>
      </c>
      <c r="I29" s="16">
        <v>45355</v>
      </c>
      <c r="J29" s="16">
        <v>45355</v>
      </c>
      <c r="K29" s="2" t="s">
        <v>85</v>
      </c>
      <c r="L29" s="2" t="s">
        <v>86</v>
      </c>
      <c r="M29" s="2" t="s">
        <v>95</v>
      </c>
      <c r="N29" s="2">
        <v>6</v>
      </c>
      <c r="O29" s="2" t="s">
        <v>97</v>
      </c>
      <c r="P29" s="2">
        <v>1</v>
      </c>
      <c r="Q29" s="2">
        <v>2.5</v>
      </c>
      <c r="R29" s="2">
        <v>1</v>
      </c>
      <c r="S29" s="2">
        <v>1.5</v>
      </c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</row>
    <row r="30" spans="1:32" ht="15.75" customHeight="1" x14ac:dyDescent="0.4">
      <c r="A30" s="2"/>
      <c r="B30" s="2"/>
      <c r="C30" s="2"/>
      <c r="D30" s="2"/>
      <c r="E30" s="2" t="s">
        <v>25</v>
      </c>
      <c r="F30" s="2" t="s">
        <v>83</v>
      </c>
      <c r="G30" s="2" t="s">
        <v>332</v>
      </c>
      <c r="H30" s="2" t="s">
        <v>350</v>
      </c>
      <c r="I30" s="16">
        <v>45356</v>
      </c>
      <c r="J30" s="16">
        <v>45359</v>
      </c>
      <c r="K30" s="2" t="s">
        <v>78</v>
      </c>
      <c r="L30" s="2" t="s">
        <v>138</v>
      </c>
      <c r="M30" s="2" t="s">
        <v>95</v>
      </c>
      <c r="N30" s="2">
        <v>6.5</v>
      </c>
      <c r="O30" s="2" t="s">
        <v>97</v>
      </c>
      <c r="P30" s="2">
        <v>1</v>
      </c>
      <c r="Q30" s="2">
        <v>2</v>
      </c>
      <c r="R30" s="2">
        <v>2.5</v>
      </c>
      <c r="S30" s="2">
        <v>1</v>
      </c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</row>
    <row r="31" spans="1:32" ht="15.75" customHeight="1" x14ac:dyDescent="0.4">
      <c r="A31" s="2"/>
      <c r="B31" s="2"/>
      <c r="C31" s="2"/>
      <c r="D31" s="2"/>
      <c r="E31" s="2" t="s">
        <v>25</v>
      </c>
      <c r="F31" s="2" t="s">
        <v>83</v>
      </c>
      <c r="G31" s="2" t="s">
        <v>341</v>
      </c>
      <c r="H31" s="2" t="s">
        <v>350</v>
      </c>
      <c r="I31" s="16">
        <v>45359</v>
      </c>
      <c r="J31" s="16">
        <v>45359</v>
      </c>
      <c r="K31" s="2" t="s">
        <v>85</v>
      </c>
      <c r="L31" s="2" t="s">
        <v>86</v>
      </c>
      <c r="M31" s="2" t="s">
        <v>80</v>
      </c>
      <c r="N31" s="2">
        <v>6.5</v>
      </c>
      <c r="O31" s="2" t="s">
        <v>97</v>
      </c>
      <c r="P31" s="2">
        <v>1</v>
      </c>
      <c r="Q31" s="2">
        <v>2</v>
      </c>
      <c r="R31" s="2">
        <v>2</v>
      </c>
      <c r="S31" s="2">
        <v>1.5</v>
      </c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</row>
    <row r="32" spans="1:32" ht="15.75" customHeight="1" x14ac:dyDescent="0.4">
      <c r="A32" s="2"/>
      <c r="B32" s="2"/>
      <c r="C32" s="2"/>
      <c r="D32" s="2"/>
      <c r="E32" s="2"/>
      <c r="F32" s="2"/>
      <c r="G32" s="2"/>
      <c r="H32" s="2"/>
      <c r="I32" s="16"/>
      <c r="J32" s="16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</row>
    <row r="33" spans="1:32" ht="15.75" customHeight="1" x14ac:dyDescent="0.4">
      <c r="A33" s="2"/>
      <c r="B33" s="2"/>
      <c r="C33" s="2"/>
      <c r="D33" s="2"/>
      <c r="E33" s="2"/>
      <c r="F33" s="2"/>
      <c r="G33" s="2"/>
      <c r="H33" s="2"/>
      <c r="I33" s="16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</row>
    <row r="34" spans="1:32" ht="15.75" customHeight="1" x14ac:dyDescent="0.4">
      <c r="A34" s="2"/>
      <c r="B34" s="2"/>
      <c r="C34" s="2"/>
      <c r="D34" s="2"/>
      <c r="E34" s="2"/>
      <c r="F34" s="2"/>
      <c r="G34" s="2"/>
      <c r="H34" s="2"/>
      <c r="I34" s="16"/>
      <c r="J34" s="16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</row>
    <row r="35" spans="1:32" ht="13.15" x14ac:dyDescent="0.4">
      <c r="A35" s="2"/>
      <c r="B35" s="2"/>
      <c r="C35" s="2"/>
      <c r="D35" s="2"/>
      <c r="E35" s="2"/>
      <c r="F35" s="2"/>
      <c r="G35" s="2"/>
      <c r="H35" s="2"/>
      <c r="I35" s="16"/>
      <c r="J35" s="16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</row>
    <row r="36" spans="1:32" ht="13.15" x14ac:dyDescent="0.4">
      <c r="A36" s="2"/>
      <c r="B36" s="2"/>
      <c r="C36" s="2"/>
      <c r="D36" s="2"/>
      <c r="E36" s="2"/>
      <c r="F36" s="2"/>
      <c r="G36" s="2"/>
      <c r="H36" s="2"/>
      <c r="I36" s="16"/>
      <c r="J36" s="16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</row>
    <row r="37" spans="1:32" ht="13.15" x14ac:dyDescent="0.4">
      <c r="A37" s="2"/>
      <c r="B37" s="2"/>
      <c r="C37" s="2"/>
      <c r="D37" s="2"/>
      <c r="E37" s="2"/>
      <c r="F37" s="2"/>
      <c r="G37" s="2"/>
      <c r="H37" s="2"/>
      <c r="I37" s="16"/>
      <c r="J37" s="16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</row>
    <row r="38" spans="1:32" ht="13.15" x14ac:dyDescent="0.4">
      <c r="A38" s="2"/>
      <c r="B38" s="2"/>
      <c r="C38" s="2"/>
      <c r="D38" s="2"/>
      <c r="E38" s="2"/>
      <c r="F38" s="2"/>
      <c r="G38" s="2"/>
      <c r="H38" s="2"/>
      <c r="I38" s="16"/>
      <c r="J38" s="16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</row>
    <row r="39" spans="1:32" ht="13.15" x14ac:dyDescent="0.4">
      <c r="A39" s="2"/>
      <c r="B39" s="2"/>
      <c r="C39" s="2"/>
      <c r="D39" s="2"/>
      <c r="E39" s="2"/>
      <c r="F39" s="2"/>
      <c r="G39" s="2"/>
      <c r="H39" s="2"/>
      <c r="I39" s="16"/>
      <c r="J39" s="16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</row>
    <row r="40" spans="1:32" ht="13.15" x14ac:dyDescent="0.4">
      <c r="A40" s="2"/>
      <c r="B40" s="2"/>
      <c r="C40" s="2"/>
      <c r="D40" s="2"/>
      <c r="E40" s="2"/>
      <c r="F40" s="2"/>
      <c r="G40" s="2"/>
      <c r="H40" s="2"/>
      <c r="I40" s="16"/>
      <c r="J40" s="16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</row>
    <row r="41" spans="1:32" ht="13.15" x14ac:dyDescent="0.4">
      <c r="A41" s="2"/>
      <c r="B41" s="2"/>
      <c r="C41" s="2"/>
      <c r="D41" s="2"/>
      <c r="E41" s="2"/>
      <c r="F41" s="2"/>
      <c r="G41" s="2"/>
      <c r="H41" s="2"/>
      <c r="I41" s="16"/>
      <c r="J41" s="16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</row>
    <row r="42" spans="1:32" ht="13.15" x14ac:dyDescent="0.4">
      <c r="A42" s="2"/>
      <c r="B42" s="2"/>
      <c r="C42" s="2"/>
      <c r="D42" s="2"/>
      <c r="E42" s="2"/>
      <c r="F42" s="2"/>
      <c r="G42" s="2"/>
      <c r="H42" s="2"/>
      <c r="I42" s="16"/>
      <c r="J42" s="16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</row>
    <row r="43" spans="1:32" ht="13.15" x14ac:dyDescent="0.4">
      <c r="A43" s="2"/>
      <c r="B43" s="2"/>
      <c r="C43" s="2"/>
      <c r="D43" s="2"/>
      <c r="E43" s="2"/>
      <c r="F43" s="2"/>
      <c r="G43" s="2"/>
      <c r="H43" s="2"/>
      <c r="I43" s="16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</row>
    <row r="44" spans="1:32" ht="13.15" x14ac:dyDescent="0.4">
      <c r="A44" s="2"/>
      <c r="B44" s="2"/>
      <c r="C44" s="2"/>
      <c r="D44" s="2"/>
      <c r="E44" s="2"/>
      <c r="F44" s="2"/>
      <c r="G44" s="2"/>
      <c r="H44" s="2"/>
      <c r="I44" s="16"/>
      <c r="J44" s="16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</row>
    <row r="45" spans="1:32" ht="13.15" x14ac:dyDescent="0.4">
      <c r="A45" s="2"/>
      <c r="B45" s="2"/>
      <c r="C45" s="2"/>
      <c r="D45" s="2"/>
      <c r="E45" s="2"/>
      <c r="F45" s="2"/>
      <c r="G45" s="2"/>
      <c r="H45" s="2"/>
      <c r="I45" s="16"/>
      <c r="J45" s="16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</row>
    <row r="46" spans="1:32" ht="13.15" x14ac:dyDescent="0.4">
      <c r="A46" s="2"/>
      <c r="B46" s="2"/>
      <c r="C46" s="2"/>
      <c r="D46" s="2"/>
      <c r="E46" s="2"/>
      <c r="F46" s="2"/>
      <c r="G46" s="2"/>
      <c r="H46" s="2"/>
      <c r="I46" s="16"/>
      <c r="J46" s="16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</row>
    <row r="47" spans="1:32" ht="13.15" x14ac:dyDescent="0.4">
      <c r="A47" s="2"/>
      <c r="B47" s="2"/>
      <c r="C47" s="2"/>
      <c r="D47" s="2"/>
      <c r="E47" s="2"/>
      <c r="F47" s="2"/>
      <c r="G47" s="2"/>
      <c r="H47" s="2"/>
      <c r="I47" s="16"/>
      <c r="J47" s="16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</row>
    <row r="48" spans="1:32" ht="13.15" x14ac:dyDescent="0.4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</row>
    <row r="49" spans="1:32" ht="13.15" x14ac:dyDescent="0.4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</row>
    <row r="50" spans="1:32" ht="13.15" x14ac:dyDescent="0.4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</row>
    <row r="51" spans="1:32" ht="13.15" x14ac:dyDescent="0.4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</row>
    <row r="52" spans="1:32" ht="13.15" x14ac:dyDescent="0.4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</row>
    <row r="53" spans="1:32" ht="13.15" x14ac:dyDescent="0.4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</row>
    <row r="54" spans="1:32" ht="13.15" x14ac:dyDescent="0.4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</row>
    <row r="55" spans="1:32" ht="13.15" x14ac:dyDescent="0.4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</row>
    <row r="56" spans="1:32" ht="13.15" x14ac:dyDescent="0.4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</row>
    <row r="57" spans="1:32" ht="13.15" x14ac:dyDescent="0.4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</row>
    <row r="58" spans="1:32" ht="13.15" x14ac:dyDescent="0.4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</row>
    <row r="59" spans="1:32" ht="13.15" x14ac:dyDescent="0.4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</row>
    <row r="60" spans="1:32" ht="13.15" x14ac:dyDescent="0.4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</row>
    <row r="61" spans="1:32" ht="13.15" x14ac:dyDescent="0.4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</row>
    <row r="62" spans="1:32" ht="13.15" x14ac:dyDescent="0.4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</row>
    <row r="63" spans="1:32" ht="13.15" x14ac:dyDescent="0.4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</row>
    <row r="64" spans="1:32" ht="13.15" x14ac:dyDescent="0.4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</row>
    <row r="65" spans="1:32" ht="13.15" x14ac:dyDescent="0.4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</row>
    <row r="66" spans="1:32" ht="13.15" x14ac:dyDescent="0.4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</row>
    <row r="67" spans="1:32" ht="13.15" x14ac:dyDescent="0.4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</row>
    <row r="68" spans="1:32" ht="13.15" x14ac:dyDescent="0.4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</row>
    <row r="69" spans="1:32" ht="13.15" x14ac:dyDescent="0.4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</row>
    <row r="70" spans="1:32" ht="13.15" x14ac:dyDescent="0.4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</row>
    <row r="71" spans="1:32" ht="13.15" x14ac:dyDescent="0.4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</row>
    <row r="72" spans="1:32" ht="13.15" x14ac:dyDescent="0.4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</row>
    <row r="73" spans="1:32" ht="13.15" x14ac:dyDescent="0.4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</row>
    <row r="74" spans="1:32" ht="13.15" x14ac:dyDescent="0.4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</row>
    <row r="75" spans="1:32" ht="13.15" x14ac:dyDescent="0.4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</row>
    <row r="76" spans="1:32" ht="13.15" x14ac:dyDescent="0.4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</row>
    <row r="77" spans="1:32" ht="13.15" x14ac:dyDescent="0.4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</row>
    <row r="78" spans="1:32" ht="13.15" x14ac:dyDescent="0.4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</row>
    <row r="79" spans="1:32" ht="13.15" x14ac:dyDescent="0.4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</row>
    <row r="80" spans="1:32" ht="13.15" x14ac:dyDescent="0.4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</row>
    <row r="81" spans="1:32" ht="13.15" x14ac:dyDescent="0.4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</row>
    <row r="82" spans="1:32" ht="13.15" x14ac:dyDescent="0.4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</row>
    <row r="83" spans="1:32" ht="13.15" x14ac:dyDescent="0.4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</row>
    <row r="84" spans="1:32" ht="13.15" x14ac:dyDescent="0.4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</row>
    <row r="85" spans="1:32" ht="13.15" x14ac:dyDescent="0.4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</row>
    <row r="86" spans="1:32" ht="13.15" x14ac:dyDescent="0.4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</row>
    <row r="87" spans="1:32" ht="13.15" x14ac:dyDescent="0.4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</row>
    <row r="88" spans="1:32" ht="13.15" x14ac:dyDescent="0.4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</row>
    <row r="89" spans="1:32" ht="13.15" x14ac:dyDescent="0.4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</row>
    <row r="90" spans="1:32" ht="13.15" x14ac:dyDescent="0.4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</row>
    <row r="91" spans="1:32" ht="13.15" x14ac:dyDescent="0.4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</row>
    <row r="92" spans="1:32" ht="13.15" x14ac:dyDescent="0.4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</row>
    <row r="93" spans="1:32" ht="13.15" x14ac:dyDescent="0.4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</row>
    <row r="94" spans="1:32" ht="13.15" x14ac:dyDescent="0.4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</row>
    <row r="95" spans="1:32" ht="13.15" x14ac:dyDescent="0.4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</row>
    <row r="96" spans="1:32" ht="13.15" x14ac:dyDescent="0.4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</row>
    <row r="97" spans="1:32" ht="13.15" x14ac:dyDescent="0.4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</row>
    <row r="98" spans="1:32" ht="13.15" x14ac:dyDescent="0.4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</row>
    <row r="99" spans="1:32" ht="13.15" x14ac:dyDescent="0.4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</row>
    <row r="100" spans="1:32" ht="13.15" x14ac:dyDescent="0.4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</row>
    <row r="101" spans="1:32" ht="13.15" x14ac:dyDescent="0.4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</row>
    <row r="102" spans="1:32" ht="13.15" x14ac:dyDescent="0.4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</row>
    <row r="103" spans="1:32" ht="13.15" x14ac:dyDescent="0.4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</row>
    <row r="104" spans="1:32" ht="13.15" x14ac:dyDescent="0.4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</row>
    <row r="105" spans="1:32" ht="13.15" x14ac:dyDescent="0.4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</row>
    <row r="106" spans="1:32" ht="13.15" x14ac:dyDescent="0.4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</row>
    <row r="107" spans="1:32" ht="13.15" x14ac:dyDescent="0.4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</row>
    <row r="108" spans="1:32" ht="13.15" x14ac:dyDescent="0.4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</row>
    <row r="109" spans="1:32" ht="13.15" x14ac:dyDescent="0.4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</row>
    <row r="110" spans="1:32" ht="13.15" x14ac:dyDescent="0.4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</row>
    <row r="111" spans="1:32" ht="13.15" x14ac:dyDescent="0.4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</row>
    <row r="112" spans="1:32" ht="13.15" x14ac:dyDescent="0.4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</row>
    <row r="113" spans="1:32" ht="13.15" x14ac:dyDescent="0.4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</row>
    <row r="114" spans="1:32" ht="13.15" x14ac:dyDescent="0.4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</row>
    <row r="115" spans="1:32" ht="13.15" x14ac:dyDescent="0.4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</row>
    <row r="116" spans="1:32" ht="13.15" x14ac:dyDescent="0.4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</row>
    <row r="117" spans="1:32" ht="13.15" x14ac:dyDescent="0.4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</row>
    <row r="118" spans="1:32" ht="13.15" x14ac:dyDescent="0.4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</row>
    <row r="119" spans="1:32" ht="13.15" x14ac:dyDescent="0.4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</row>
    <row r="120" spans="1:32" ht="13.15" x14ac:dyDescent="0.4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</row>
    <row r="121" spans="1:32" ht="13.15" x14ac:dyDescent="0.4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</row>
    <row r="122" spans="1:32" ht="13.15" x14ac:dyDescent="0.4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</row>
    <row r="123" spans="1:32" ht="13.15" x14ac:dyDescent="0.4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</row>
    <row r="124" spans="1:32" ht="13.15" x14ac:dyDescent="0.4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</row>
    <row r="125" spans="1:32" ht="13.15" x14ac:dyDescent="0.4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</row>
    <row r="126" spans="1:32" ht="13.15" x14ac:dyDescent="0.4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</row>
    <row r="127" spans="1:32" ht="13.15" x14ac:dyDescent="0.4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</row>
    <row r="128" spans="1:32" ht="13.15" x14ac:dyDescent="0.4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</row>
    <row r="129" spans="1:32" ht="13.15" x14ac:dyDescent="0.4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</row>
    <row r="130" spans="1:32" ht="13.15" x14ac:dyDescent="0.4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</row>
    <row r="131" spans="1:32" ht="13.15" x14ac:dyDescent="0.4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</row>
    <row r="132" spans="1:32" ht="13.15" x14ac:dyDescent="0.4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</row>
    <row r="133" spans="1:32" ht="13.15" x14ac:dyDescent="0.4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</row>
    <row r="134" spans="1:32" ht="13.15" x14ac:dyDescent="0.4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</row>
    <row r="135" spans="1:32" ht="13.15" x14ac:dyDescent="0.4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</row>
    <row r="136" spans="1:32" ht="13.15" x14ac:dyDescent="0.4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</row>
    <row r="137" spans="1:32" ht="13.15" x14ac:dyDescent="0.4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</row>
    <row r="138" spans="1:32" ht="13.15" x14ac:dyDescent="0.4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</row>
    <row r="139" spans="1:32" ht="13.15" x14ac:dyDescent="0.4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</row>
    <row r="140" spans="1:32" ht="13.15" x14ac:dyDescent="0.4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</row>
    <row r="141" spans="1:32" ht="13.15" x14ac:dyDescent="0.4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</row>
    <row r="142" spans="1:32" ht="13.15" x14ac:dyDescent="0.4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</row>
    <row r="143" spans="1:32" ht="13.15" x14ac:dyDescent="0.4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</row>
    <row r="144" spans="1:32" ht="13.15" x14ac:dyDescent="0.4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</row>
    <row r="145" spans="1:32" ht="13.15" x14ac:dyDescent="0.4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</row>
    <row r="146" spans="1:32" ht="13.15" x14ac:dyDescent="0.4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</row>
    <row r="147" spans="1:32" ht="13.15" x14ac:dyDescent="0.4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</row>
    <row r="148" spans="1:32" ht="13.15" x14ac:dyDescent="0.4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</row>
    <row r="149" spans="1:32" ht="13.15" x14ac:dyDescent="0.4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</row>
    <row r="150" spans="1:32" ht="13.15" x14ac:dyDescent="0.4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</row>
    <row r="151" spans="1:32" ht="13.15" x14ac:dyDescent="0.4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</row>
    <row r="152" spans="1:32" ht="13.15" x14ac:dyDescent="0.4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</row>
    <row r="153" spans="1:32" ht="13.15" x14ac:dyDescent="0.4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</row>
    <row r="154" spans="1:32" ht="13.15" x14ac:dyDescent="0.4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</row>
    <row r="155" spans="1:32" ht="13.15" x14ac:dyDescent="0.4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</row>
    <row r="156" spans="1:32" ht="13.15" x14ac:dyDescent="0.4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</row>
    <row r="157" spans="1:32" ht="13.15" x14ac:dyDescent="0.4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</row>
    <row r="158" spans="1:32" ht="13.15" x14ac:dyDescent="0.4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</row>
    <row r="159" spans="1:32" ht="13.15" x14ac:dyDescent="0.4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</row>
    <row r="160" spans="1:32" ht="13.15" x14ac:dyDescent="0.4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</row>
    <row r="161" spans="1:32" ht="13.15" x14ac:dyDescent="0.4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</row>
    <row r="162" spans="1:32" ht="13.15" x14ac:dyDescent="0.4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</row>
    <row r="163" spans="1:32" ht="13.15" x14ac:dyDescent="0.4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</row>
    <row r="164" spans="1:32" ht="13.15" x14ac:dyDescent="0.4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</row>
    <row r="165" spans="1:32" ht="13.15" x14ac:dyDescent="0.4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</row>
    <row r="166" spans="1:32" ht="13.15" x14ac:dyDescent="0.4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</row>
    <row r="167" spans="1:32" ht="13.15" x14ac:dyDescent="0.4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</row>
    <row r="168" spans="1:32" ht="13.15" x14ac:dyDescent="0.4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</row>
    <row r="169" spans="1:32" ht="13.15" x14ac:dyDescent="0.4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</row>
    <row r="170" spans="1:32" ht="13.15" x14ac:dyDescent="0.4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</row>
    <row r="171" spans="1:32" ht="13.15" x14ac:dyDescent="0.4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</row>
    <row r="172" spans="1:32" ht="13.15" x14ac:dyDescent="0.4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</row>
    <row r="173" spans="1:32" ht="13.15" x14ac:dyDescent="0.4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</row>
    <row r="174" spans="1:32" ht="13.15" x14ac:dyDescent="0.4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</row>
    <row r="175" spans="1:32" ht="13.15" x14ac:dyDescent="0.4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</row>
    <row r="176" spans="1:32" ht="13.15" x14ac:dyDescent="0.4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</row>
    <row r="177" spans="1:32" ht="13.15" x14ac:dyDescent="0.4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</row>
    <row r="178" spans="1:32" ht="13.15" x14ac:dyDescent="0.4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</row>
    <row r="179" spans="1:32" ht="13.15" x14ac:dyDescent="0.4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</row>
    <row r="180" spans="1:32" ht="13.15" x14ac:dyDescent="0.4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</row>
    <row r="181" spans="1:32" ht="13.15" x14ac:dyDescent="0.4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</row>
    <row r="182" spans="1:32" ht="13.15" x14ac:dyDescent="0.4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</row>
    <row r="183" spans="1:32" ht="13.15" x14ac:dyDescent="0.4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</row>
    <row r="184" spans="1:32" ht="13.15" x14ac:dyDescent="0.4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</row>
    <row r="185" spans="1:32" ht="13.15" x14ac:dyDescent="0.4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</row>
    <row r="186" spans="1:32" ht="13.15" x14ac:dyDescent="0.4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</row>
    <row r="187" spans="1:32" ht="13.15" x14ac:dyDescent="0.4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</row>
    <row r="188" spans="1:32" ht="13.15" x14ac:dyDescent="0.4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</row>
    <row r="189" spans="1:32" ht="13.15" x14ac:dyDescent="0.4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</row>
    <row r="190" spans="1:32" ht="13.15" x14ac:dyDescent="0.4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</row>
    <row r="191" spans="1:32" ht="13.15" x14ac:dyDescent="0.4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</row>
    <row r="192" spans="1:32" ht="13.15" x14ac:dyDescent="0.4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</row>
    <row r="193" spans="1:32" ht="13.15" x14ac:dyDescent="0.4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</row>
    <row r="194" spans="1:32" ht="13.15" x14ac:dyDescent="0.4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</row>
    <row r="195" spans="1:32" ht="13.15" x14ac:dyDescent="0.4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</row>
    <row r="196" spans="1:32" ht="13.15" x14ac:dyDescent="0.4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</row>
    <row r="197" spans="1:32" ht="13.15" x14ac:dyDescent="0.4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</row>
    <row r="198" spans="1:32" ht="13.15" x14ac:dyDescent="0.4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</row>
    <row r="199" spans="1:32" ht="13.15" x14ac:dyDescent="0.4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</row>
    <row r="200" spans="1:32" ht="13.15" x14ac:dyDescent="0.4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</row>
    <row r="201" spans="1:32" ht="13.15" x14ac:dyDescent="0.4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</row>
    <row r="202" spans="1:32" ht="13.15" x14ac:dyDescent="0.4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</row>
    <row r="203" spans="1:32" ht="13.15" x14ac:dyDescent="0.4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</row>
    <row r="204" spans="1:32" ht="13.15" x14ac:dyDescent="0.4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</row>
    <row r="205" spans="1:32" ht="13.15" x14ac:dyDescent="0.4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</row>
    <row r="206" spans="1:32" ht="13.15" x14ac:dyDescent="0.4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</row>
    <row r="207" spans="1:32" ht="13.15" x14ac:dyDescent="0.4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</row>
    <row r="208" spans="1:32" ht="13.15" x14ac:dyDescent="0.4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</row>
    <row r="209" spans="1:32" ht="13.15" x14ac:dyDescent="0.4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</row>
    <row r="210" spans="1:32" ht="13.15" x14ac:dyDescent="0.4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</row>
    <row r="211" spans="1:32" ht="13.15" x14ac:dyDescent="0.4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</row>
    <row r="212" spans="1:32" ht="13.15" x14ac:dyDescent="0.4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</row>
    <row r="213" spans="1:32" ht="13.15" x14ac:dyDescent="0.4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</row>
    <row r="214" spans="1:32" ht="13.15" x14ac:dyDescent="0.4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</row>
    <row r="215" spans="1:32" ht="13.15" x14ac:dyDescent="0.4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</row>
    <row r="216" spans="1:32" ht="13.15" x14ac:dyDescent="0.4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</row>
    <row r="217" spans="1:32" ht="13.15" x14ac:dyDescent="0.4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</row>
    <row r="218" spans="1:32" ht="13.15" x14ac:dyDescent="0.4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</row>
    <row r="219" spans="1:32" ht="13.15" x14ac:dyDescent="0.4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</row>
    <row r="220" spans="1:32" ht="13.15" x14ac:dyDescent="0.4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</row>
    <row r="221" spans="1:32" ht="13.15" x14ac:dyDescent="0.4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</row>
    <row r="222" spans="1:32" ht="13.15" x14ac:dyDescent="0.4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</row>
    <row r="223" spans="1:32" ht="13.15" x14ac:dyDescent="0.4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</row>
    <row r="224" spans="1:32" ht="13.15" x14ac:dyDescent="0.4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</row>
    <row r="225" spans="1:32" ht="13.15" x14ac:dyDescent="0.4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</row>
    <row r="226" spans="1:32" ht="13.15" x14ac:dyDescent="0.4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</row>
    <row r="227" spans="1:32" ht="13.15" x14ac:dyDescent="0.4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</row>
    <row r="228" spans="1:32" ht="13.15" x14ac:dyDescent="0.4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</row>
    <row r="229" spans="1:32" ht="13.15" x14ac:dyDescent="0.4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</row>
    <row r="230" spans="1:32" ht="13.15" x14ac:dyDescent="0.4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</row>
    <row r="231" spans="1:32" ht="13.15" x14ac:dyDescent="0.4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</row>
    <row r="232" spans="1:32" ht="13.15" x14ac:dyDescent="0.4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</row>
    <row r="233" spans="1:32" ht="13.15" x14ac:dyDescent="0.4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</row>
    <row r="234" spans="1:32" ht="13.15" x14ac:dyDescent="0.4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</row>
    <row r="235" spans="1:32" ht="13.15" x14ac:dyDescent="0.4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</row>
    <row r="236" spans="1:32" ht="13.15" x14ac:dyDescent="0.4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</row>
    <row r="237" spans="1:32" ht="13.15" x14ac:dyDescent="0.4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</row>
    <row r="238" spans="1:32" ht="13.15" x14ac:dyDescent="0.4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</row>
    <row r="239" spans="1:32" ht="13.15" x14ac:dyDescent="0.4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</row>
    <row r="240" spans="1:32" ht="13.15" x14ac:dyDescent="0.4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</row>
    <row r="241" spans="1:32" ht="13.15" x14ac:dyDescent="0.4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</row>
    <row r="242" spans="1:32" ht="13.15" x14ac:dyDescent="0.4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</row>
    <row r="243" spans="1:32" ht="13.15" x14ac:dyDescent="0.4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</row>
    <row r="244" spans="1:32" ht="13.15" x14ac:dyDescent="0.4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</row>
    <row r="245" spans="1:32" ht="13.15" x14ac:dyDescent="0.4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</row>
    <row r="246" spans="1:32" ht="13.15" x14ac:dyDescent="0.4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</row>
    <row r="247" spans="1:32" ht="13.15" x14ac:dyDescent="0.4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</row>
    <row r="248" spans="1:32" ht="13.15" x14ac:dyDescent="0.4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</row>
    <row r="249" spans="1:32" ht="13.15" x14ac:dyDescent="0.4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</row>
    <row r="250" spans="1:32" ht="13.15" x14ac:dyDescent="0.4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</row>
    <row r="251" spans="1:32" ht="13.15" x14ac:dyDescent="0.4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</row>
    <row r="252" spans="1:32" ht="13.15" x14ac:dyDescent="0.4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</row>
    <row r="253" spans="1:32" ht="13.15" x14ac:dyDescent="0.4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</row>
    <row r="254" spans="1:32" ht="13.15" x14ac:dyDescent="0.4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</row>
    <row r="255" spans="1:32" ht="13.15" x14ac:dyDescent="0.4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</row>
    <row r="256" spans="1:32" ht="13.15" x14ac:dyDescent="0.4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</row>
    <row r="257" spans="1:32" ht="13.15" x14ac:dyDescent="0.4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</row>
    <row r="258" spans="1:32" ht="13.15" x14ac:dyDescent="0.4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</row>
    <row r="259" spans="1:32" ht="13.15" x14ac:dyDescent="0.4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</row>
    <row r="260" spans="1:32" ht="13.15" x14ac:dyDescent="0.4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</row>
    <row r="261" spans="1:32" ht="13.15" x14ac:dyDescent="0.4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</row>
    <row r="262" spans="1:32" ht="13.15" x14ac:dyDescent="0.4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</row>
    <row r="263" spans="1:32" ht="13.15" x14ac:dyDescent="0.4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</row>
    <row r="264" spans="1:32" ht="13.15" x14ac:dyDescent="0.4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</row>
    <row r="265" spans="1:32" ht="13.15" x14ac:dyDescent="0.4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</row>
    <row r="266" spans="1:32" ht="13.15" x14ac:dyDescent="0.4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</row>
    <row r="267" spans="1:32" ht="13.15" x14ac:dyDescent="0.4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</row>
    <row r="268" spans="1:32" ht="13.15" x14ac:dyDescent="0.4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</row>
    <row r="269" spans="1:32" ht="13.15" x14ac:dyDescent="0.4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</row>
    <row r="270" spans="1:32" ht="13.15" x14ac:dyDescent="0.4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</row>
    <row r="271" spans="1:32" ht="13.15" x14ac:dyDescent="0.4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</row>
    <row r="272" spans="1:32" ht="13.15" x14ac:dyDescent="0.4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</row>
    <row r="273" spans="1:32" ht="13.15" x14ac:dyDescent="0.4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</row>
    <row r="274" spans="1:32" ht="13.15" x14ac:dyDescent="0.4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</row>
    <row r="275" spans="1:32" ht="13.15" x14ac:dyDescent="0.4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</row>
    <row r="276" spans="1:32" ht="13.15" x14ac:dyDescent="0.4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</row>
    <row r="277" spans="1:32" ht="13.15" x14ac:dyDescent="0.4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</row>
    <row r="278" spans="1:32" ht="13.15" x14ac:dyDescent="0.4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</row>
    <row r="279" spans="1:32" ht="13.15" x14ac:dyDescent="0.4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</row>
    <row r="280" spans="1:32" ht="13.15" x14ac:dyDescent="0.4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</row>
    <row r="281" spans="1:32" ht="13.15" x14ac:dyDescent="0.4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</row>
    <row r="282" spans="1:32" ht="13.15" x14ac:dyDescent="0.4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</row>
    <row r="283" spans="1:32" ht="13.15" x14ac:dyDescent="0.4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</row>
    <row r="284" spans="1:32" ht="13.15" x14ac:dyDescent="0.4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</row>
    <row r="285" spans="1:32" ht="13.15" x14ac:dyDescent="0.4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</row>
    <row r="286" spans="1:32" ht="13.15" x14ac:dyDescent="0.4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</row>
    <row r="287" spans="1:32" ht="13.15" x14ac:dyDescent="0.4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</row>
    <row r="288" spans="1:32" ht="13.15" x14ac:dyDescent="0.4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</row>
    <row r="289" spans="1:32" ht="13.15" x14ac:dyDescent="0.4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</row>
    <row r="290" spans="1:32" ht="13.15" x14ac:dyDescent="0.4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</row>
    <row r="291" spans="1:32" ht="13.15" x14ac:dyDescent="0.4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</row>
    <row r="292" spans="1:32" ht="13.15" x14ac:dyDescent="0.4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</row>
    <row r="293" spans="1:32" ht="13.15" x14ac:dyDescent="0.4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</row>
    <row r="294" spans="1:32" ht="13.15" x14ac:dyDescent="0.4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</row>
    <row r="295" spans="1:32" ht="13.15" x14ac:dyDescent="0.4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</row>
    <row r="296" spans="1:32" ht="13.15" x14ac:dyDescent="0.4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</row>
    <row r="297" spans="1:32" ht="13.15" x14ac:dyDescent="0.4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</row>
    <row r="298" spans="1:32" ht="13.15" x14ac:dyDescent="0.4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</row>
    <row r="299" spans="1:32" ht="13.15" x14ac:dyDescent="0.4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</row>
    <row r="300" spans="1:32" ht="13.15" x14ac:dyDescent="0.4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</row>
    <row r="301" spans="1:32" ht="13.15" x14ac:dyDescent="0.4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</row>
    <row r="302" spans="1:32" ht="13.15" x14ac:dyDescent="0.4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</row>
    <row r="303" spans="1:32" ht="13.15" x14ac:dyDescent="0.4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</row>
    <row r="304" spans="1:32" ht="13.15" x14ac:dyDescent="0.4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</row>
    <row r="305" spans="1:32" ht="13.15" x14ac:dyDescent="0.4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</row>
    <row r="306" spans="1:32" ht="13.15" x14ac:dyDescent="0.4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</row>
    <row r="307" spans="1:32" ht="13.15" x14ac:dyDescent="0.4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</row>
    <row r="308" spans="1:32" ht="13.15" x14ac:dyDescent="0.4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</row>
    <row r="309" spans="1:32" ht="13.15" x14ac:dyDescent="0.4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</row>
    <row r="310" spans="1:32" ht="13.15" x14ac:dyDescent="0.4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</row>
    <row r="311" spans="1:32" ht="13.15" x14ac:dyDescent="0.4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</row>
    <row r="312" spans="1:32" ht="13.15" x14ac:dyDescent="0.4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</row>
    <row r="313" spans="1:32" ht="13.15" x14ac:dyDescent="0.4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</row>
    <row r="314" spans="1:32" ht="13.15" x14ac:dyDescent="0.4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</row>
    <row r="315" spans="1:32" ht="13.15" x14ac:dyDescent="0.4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</row>
    <row r="316" spans="1:32" ht="13.15" x14ac:dyDescent="0.4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</row>
    <row r="317" spans="1:32" ht="13.15" x14ac:dyDescent="0.4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</row>
    <row r="318" spans="1:32" ht="13.15" x14ac:dyDescent="0.4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</row>
    <row r="319" spans="1:32" ht="13.15" x14ac:dyDescent="0.4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</row>
    <row r="320" spans="1:32" ht="13.15" x14ac:dyDescent="0.4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</row>
    <row r="321" spans="1:32" ht="13.15" x14ac:dyDescent="0.4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</row>
    <row r="322" spans="1:32" ht="13.15" x14ac:dyDescent="0.4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</row>
    <row r="323" spans="1:32" ht="13.15" x14ac:dyDescent="0.4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</row>
    <row r="324" spans="1:32" ht="13.15" x14ac:dyDescent="0.4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</row>
    <row r="325" spans="1:32" ht="13.15" x14ac:dyDescent="0.4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</row>
    <row r="326" spans="1:32" ht="13.15" x14ac:dyDescent="0.4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</row>
    <row r="327" spans="1:32" ht="13.15" x14ac:dyDescent="0.4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</row>
    <row r="328" spans="1:32" ht="13.15" x14ac:dyDescent="0.4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</row>
    <row r="329" spans="1:32" ht="13.15" x14ac:dyDescent="0.4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</row>
    <row r="330" spans="1:32" ht="13.15" x14ac:dyDescent="0.4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</row>
    <row r="331" spans="1:32" ht="13.15" x14ac:dyDescent="0.4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</row>
    <row r="332" spans="1:32" ht="13.15" x14ac:dyDescent="0.4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</row>
    <row r="333" spans="1:32" ht="13.15" x14ac:dyDescent="0.4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</row>
    <row r="334" spans="1:32" ht="13.15" x14ac:dyDescent="0.4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</row>
    <row r="335" spans="1:32" ht="13.15" x14ac:dyDescent="0.4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</row>
    <row r="336" spans="1:32" ht="13.15" x14ac:dyDescent="0.4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</row>
    <row r="337" spans="1:32" ht="13.15" x14ac:dyDescent="0.4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</row>
    <row r="338" spans="1:32" ht="13.15" x14ac:dyDescent="0.4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</row>
    <row r="339" spans="1:32" ht="13.15" x14ac:dyDescent="0.4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</row>
    <row r="340" spans="1:32" ht="13.15" x14ac:dyDescent="0.4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</row>
    <row r="341" spans="1:32" ht="13.15" x14ac:dyDescent="0.4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</row>
    <row r="342" spans="1:32" ht="13.15" x14ac:dyDescent="0.4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</row>
    <row r="343" spans="1:32" ht="13.15" x14ac:dyDescent="0.4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</row>
    <row r="344" spans="1:32" ht="13.15" x14ac:dyDescent="0.4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</row>
    <row r="345" spans="1:32" ht="13.15" x14ac:dyDescent="0.4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</row>
    <row r="346" spans="1:32" ht="13.15" x14ac:dyDescent="0.4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</row>
    <row r="347" spans="1:32" ht="13.15" x14ac:dyDescent="0.4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</row>
    <row r="348" spans="1:32" ht="13.15" x14ac:dyDescent="0.4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</row>
    <row r="349" spans="1:32" ht="13.15" x14ac:dyDescent="0.4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</row>
    <row r="350" spans="1:32" ht="13.15" x14ac:dyDescent="0.4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</row>
    <row r="351" spans="1:32" ht="13.15" x14ac:dyDescent="0.4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</row>
    <row r="352" spans="1:32" ht="13.15" x14ac:dyDescent="0.4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</row>
    <row r="353" spans="1:32" ht="13.15" x14ac:dyDescent="0.4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</row>
    <row r="354" spans="1:32" ht="13.15" x14ac:dyDescent="0.4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</row>
    <row r="355" spans="1:32" ht="13.15" x14ac:dyDescent="0.4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</row>
    <row r="356" spans="1:32" ht="13.15" x14ac:dyDescent="0.4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</row>
    <row r="357" spans="1:32" ht="13.15" x14ac:dyDescent="0.4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</row>
    <row r="358" spans="1:32" ht="13.15" x14ac:dyDescent="0.4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</row>
    <row r="359" spans="1:32" ht="13.15" x14ac:dyDescent="0.4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</row>
    <row r="360" spans="1:32" ht="13.15" x14ac:dyDescent="0.4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</row>
    <row r="361" spans="1:32" ht="13.15" x14ac:dyDescent="0.4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</row>
    <row r="362" spans="1:32" ht="13.15" x14ac:dyDescent="0.4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</row>
    <row r="363" spans="1:32" ht="13.15" x14ac:dyDescent="0.4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</row>
    <row r="364" spans="1:32" ht="13.15" x14ac:dyDescent="0.4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</row>
    <row r="365" spans="1:32" ht="13.15" x14ac:dyDescent="0.4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</row>
    <row r="366" spans="1:32" ht="13.15" x14ac:dyDescent="0.4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</row>
    <row r="367" spans="1:32" ht="13.15" x14ac:dyDescent="0.4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</row>
    <row r="368" spans="1:32" ht="13.15" x14ac:dyDescent="0.4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</row>
    <row r="369" spans="1:32" ht="13.15" x14ac:dyDescent="0.4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</row>
    <row r="370" spans="1:32" ht="13.15" x14ac:dyDescent="0.4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</row>
    <row r="371" spans="1:32" ht="13.15" x14ac:dyDescent="0.4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</row>
    <row r="372" spans="1:32" ht="13.15" x14ac:dyDescent="0.4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</row>
    <row r="373" spans="1:32" ht="13.15" x14ac:dyDescent="0.4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</row>
    <row r="374" spans="1:32" ht="13.15" x14ac:dyDescent="0.4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</row>
    <row r="375" spans="1:32" ht="13.15" x14ac:dyDescent="0.4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</row>
    <row r="376" spans="1:32" ht="13.15" x14ac:dyDescent="0.4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</row>
    <row r="377" spans="1:32" ht="13.15" x14ac:dyDescent="0.4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</row>
    <row r="378" spans="1:32" ht="13.15" x14ac:dyDescent="0.4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</row>
    <row r="379" spans="1:32" ht="13.15" x14ac:dyDescent="0.4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</row>
    <row r="380" spans="1:32" ht="13.15" x14ac:dyDescent="0.4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</row>
    <row r="381" spans="1:32" ht="13.15" x14ac:dyDescent="0.4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</row>
    <row r="382" spans="1:32" ht="13.15" x14ac:dyDescent="0.4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</row>
    <row r="383" spans="1:32" ht="13.15" x14ac:dyDescent="0.4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</row>
    <row r="384" spans="1:32" ht="13.15" x14ac:dyDescent="0.4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</row>
    <row r="385" spans="1:32" ht="13.15" x14ac:dyDescent="0.4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</row>
    <row r="386" spans="1:32" ht="13.15" x14ac:dyDescent="0.4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</row>
    <row r="387" spans="1:32" ht="13.15" x14ac:dyDescent="0.4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</row>
    <row r="388" spans="1:32" ht="13.15" x14ac:dyDescent="0.4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</row>
    <row r="389" spans="1:32" ht="13.15" x14ac:dyDescent="0.4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</row>
    <row r="390" spans="1:32" ht="13.15" x14ac:dyDescent="0.4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</row>
    <row r="391" spans="1:32" ht="13.15" x14ac:dyDescent="0.4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</row>
    <row r="392" spans="1:32" ht="13.15" x14ac:dyDescent="0.4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</row>
    <row r="393" spans="1:32" ht="13.15" x14ac:dyDescent="0.4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</row>
    <row r="394" spans="1:32" ht="13.15" x14ac:dyDescent="0.4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</row>
    <row r="395" spans="1:32" ht="13.15" x14ac:dyDescent="0.4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</row>
    <row r="396" spans="1:32" ht="13.15" x14ac:dyDescent="0.4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</row>
    <row r="397" spans="1:32" ht="13.15" x14ac:dyDescent="0.4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</row>
    <row r="398" spans="1:32" ht="13.15" x14ac:dyDescent="0.4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</row>
    <row r="399" spans="1:32" ht="13.15" x14ac:dyDescent="0.4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</row>
    <row r="400" spans="1:32" ht="13.15" x14ac:dyDescent="0.4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</row>
    <row r="401" spans="1:32" ht="13.15" x14ac:dyDescent="0.4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</row>
    <row r="402" spans="1:32" ht="13.15" x14ac:dyDescent="0.4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</row>
    <row r="403" spans="1:32" ht="13.15" x14ac:dyDescent="0.4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</row>
    <row r="404" spans="1:32" ht="13.15" x14ac:dyDescent="0.4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</row>
    <row r="405" spans="1:32" ht="13.15" x14ac:dyDescent="0.4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</row>
    <row r="406" spans="1:32" ht="13.15" x14ac:dyDescent="0.4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</row>
    <row r="407" spans="1:32" ht="13.15" x14ac:dyDescent="0.4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</row>
    <row r="408" spans="1:32" ht="13.15" x14ac:dyDescent="0.4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</row>
    <row r="409" spans="1:32" ht="13.15" x14ac:dyDescent="0.4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</row>
    <row r="410" spans="1:32" ht="13.15" x14ac:dyDescent="0.4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</row>
    <row r="411" spans="1:32" ht="13.15" x14ac:dyDescent="0.4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</row>
    <row r="412" spans="1:32" ht="13.15" x14ac:dyDescent="0.4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</row>
    <row r="413" spans="1:32" ht="13.15" x14ac:dyDescent="0.4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</row>
    <row r="414" spans="1:32" ht="13.15" x14ac:dyDescent="0.4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</row>
    <row r="415" spans="1:32" ht="13.15" x14ac:dyDescent="0.4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</row>
    <row r="416" spans="1:32" ht="13.15" x14ac:dyDescent="0.4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</row>
    <row r="417" spans="1:32" ht="13.15" x14ac:dyDescent="0.4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</row>
    <row r="418" spans="1:32" ht="13.15" x14ac:dyDescent="0.4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</row>
    <row r="419" spans="1:32" ht="13.15" x14ac:dyDescent="0.4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</row>
    <row r="420" spans="1:32" ht="13.15" x14ac:dyDescent="0.4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</row>
    <row r="421" spans="1:32" ht="13.15" x14ac:dyDescent="0.4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</row>
    <row r="422" spans="1:32" ht="13.15" x14ac:dyDescent="0.4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</row>
    <row r="423" spans="1:32" ht="13.15" x14ac:dyDescent="0.4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</row>
    <row r="424" spans="1:32" ht="13.15" x14ac:dyDescent="0.4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</row>
    <row r="425" spans="1:32" ht="13.15" x14ac:dyDescent="0.4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</row>
    <row r="426" spans="1:32" ht="13.15" x14ac:dyDescent="0.4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</row>
    <row r="427" spans="1:32" ht="13.15" x14ac:dyDescent="0.4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</row>
    <row r="428" spans="1:32" ht="13.15" x14ac:dyDescent="0.4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</row>
    <row r="429" spans="1:32" ht="13.15" x14ac:dyDescent="0.4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</row>
    <row r="430" spans="1:32" ht="13.15" x14ac:dyDescent="0.4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</row>
    <row r="431" spans="1:32" ht="13.15" x14ac:dyDescent="0.4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</row>
    <row r="432" spans="1:32" ht="13.15" x14ac:dyDescent="0.4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</row>
    <row r="433" spans="1:32" ht="13.15" x14ac:dyDescent="0.4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</row>
    <row r="434" spans="1:32" ht="13.15" x14ac:dyDescent="0.4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</row>
    <row r="435" spans="1:32" ht="13.15" x14ac:dyDescent="0.4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</row>
    <row r="436" spans="1:32" ht="13.15" x14ac:dyDescent="0.4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</row>
    <row r="437" spans="1:32" ht="13.15" x14ac:dyDescent="0.4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</row>
    <row r="438" spans="1:32" ht="13.15" x14ac:dyDescent="0.4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</row>
    <row r="439" spans="1:32" ht="13.15" x14ac:dyDescent="0.4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</row>
    <row r="440" spans="1:32" ht="13.15" x14ac:dyDescent="0.4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</row>
    <row r="441" spans="1:32" ht="13.15" x14ac:dyDescent="0.4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</row>
    <row r="442" spans="1:32" ht="13.15" x14ac:dyDescent="0.4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</row>
    <row r="443" spans="1:32" ht="13.15" x14ac:dyDescent="0.4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</row>
    <row r="444" spans="1:32" ht="13.15" x14ac:dyDescent="0.4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</row>
    <row r="445" spans="1:32" ht="13.15" x14ac:dyDescent="0.4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</row>
    <row r="446" spans="1:32" ht="13.15" x14ac:dyDescent="0.4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</row>
    <row r="447" spans="1:32" ht="13.15" x14ac:dyDescent="0.4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</row>
    <row r="448" spans="1:32" ht="13.15" x14ac:dyDescent="0.4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</row>
    <row r="449" spans="1:32" ht="13.15" x14ac:dyDescent="0.4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</row>
    <row r="450" spans="1:32" ht="13.15" x14ac:dyDescent="0.4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</row>
    <row r="451" spans="1:32" ht="13.15" x14ac:dyDescent="0.4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</row>
    <row r="452" spans="1:32" ht="13.15" x14ac:dyDescent="0.4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</row>
    <row r="453" spans="1:32" ht="13.15" x14ac:dyDescent="0.4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</row>
    <row r="454" spans="1:32" ht="13.15" x14ac:dyDescent="0.4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</row>
    <row r="455" spans="1:32" ht="13.15" x14ac:dyDescent="0.4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</row>
    <row r="456" spans="1:32" ht="13.15" x14ac:dyDescent="0.4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</row>
    <row r="457" spans="1:32" ht="13.15" x14ac:dyDescent="0.4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</row>
    <row r="458" spans="1:32" ht="13.15" x14ac:dyDescent="0.4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</row>
    <row r="459" spans="1:32" ht="13.15" x14ac:dyDescent="0.4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</row>
    <row r="460" spans="1:32" ht="13.15" x14ac:dyDescent="0.4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</row>
    <row r="461" spans="1:32" ht="13.15" x14ac:dyDescent="0.4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</row>
    <row r="462" spans="1:32" ht="13.15" x14ac:dyDescent="0.4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</row>
    <row r="463" spans="1:32" ht="13.15" x14ac:dyDescent="0.4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</row>
    <row r="464" spans="1:32" ht="13.15" x14ac:dyDescent="0.4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</row>
    <row r="465" spans="1:32" ht="13.15" x14ac:dyDescent="0.4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</row>
    <row r="466" spans="1:32" ht="13.15" x14ac:dyDescent="0.4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</row>
    <row r="467" spans="1:32" ht="13.15" x14ac:dyDescent="0.4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</row>
    <row r="468" spans="1:32" ht="13.15" x14ac:dyDescent="0.4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</row>
    <row r="469" spans="1:32" ht="13.15" x14ac:dyDescent="0.4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</row>
    <row r="470" spans="1:32" ht="13.15" x14ac:dyDescent="0.4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</row>
    <row r="471" spans="1:32" ht="13.15" x14ac:dyDescent="0.4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</row>
    <row r="472" spans="1:32" ht="13.15" x14ac:dyDescent="0.4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</row>
    <row r="473" spans="1:32" ht="13.15" x14ac:dyDescent="0.4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</row>
    <row r="474" spans="1:32" ht="13.15" x14ac:dyDescent="0.4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</row>
    <row r="475" spans="1:32" ht="13.15" x14ac:dyDescent="0.4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</row>
    <row r="476" spans="1:32" ht="13.15" x14ac:dyDescent="0.4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</row>
    <row r="477" spans="1:32" ht="13.15" x14ac:dyDescent="0.4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</row>
    <row r="478" spans="1:32" ht="13.15" x14ac:dyDescent="0.4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</row>
    <row r="479" spans="1:32" ht="13.15" x14ac:dyDescent="0.4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</row>
    <row r="480" spans="1:32" ht="13.15" x14ac:dyDescent="0.4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</row>
    <row r="481" spans="1:32" ht="13.15" x14ac:dyDescent="0.4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</row>
    <row r="482" spans="1:32" ht="13.15" x14ac:dyDescent="0.4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</row>
    <row r="483" spans="1:32" ht="13.15" x14ac:dyDescent="0.4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</row>
    <row r="484" spans="1:32" ht="13.15" x14ac:dyDescent="0.4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</row>
    <row r="485" spans="1:32" ht="13.15" x14ac:dyDescent="0.4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</row>
    <row r="486" spans="1:32" ht="13.15" x14ac:dyDescent="0.4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</row>
    <row r="487" spans="1:32" ht="13.15" x14ac:dyDescent="0.4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</row>
    <row r="488" spans="1:32" ht="13.15" x14ac:dyDescent="0.4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</row>
    <row r="489" spans="1:32" ht="13.15" x14ac:dyDescent="0.4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</row>
    <row r="490" spans="1:32" ht="13.15" x14ac:dyDescent="0.4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</row>
    <row r="491" spans="1:32" ht="13.15" x14ac:dyDescent="0.4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</row>
    <row r="492" spans="1:32" ht="13.15" x14ac:dyDescent="0.4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</row>
    <row r="493" spans="1:32" ht="13.15" x14ac:dyDescent="0.4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</row>
    <row r="494" spans="1:32" ht="13.15" x14ac:dyDescent="0.4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</row>
    <row r="495" spans="1:32" ht="13.15" x14ac:dyDescent="0.4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</row>
    <row r="496" spans="1:32" ht="13.15" x14ac:dyDescent="0.4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</row>
    <row r="497" spans="1:32" ht="13.15" x14ac:dyDescent="0.4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</row>
    <row r="498" spans="1:32" ht="13.15" x14ac:dyDescent="0.4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</row>
    <row r="499" spans="1:32" ht="13.15" x14ac:dyDescent="0.4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</row>
    <row r="500" spans="1:32" ht="13.15" x14ac:dyDescent="0.4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</row>
    <row r="501" spans="1:32" ht="13.15" x14ac:dyDescent="0.4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</row>
    <row r="502" spans="1:32" ht="13.15" x14ac:dyDescent="0.4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</row>
    <row r="503" spans="1:32" ht="13.15" x14ac:dyDescent="0.4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</row>
    <row r="504" spans="1:32" ht="13.15" x14ac:dyDescent="0.4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</row>
    <row r="505" spans="1:32" ht="13.15" x14ac:dyDescent="0.4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</row>
    <row r="506" spans="1:32" ht="13.15" x14ac:dyDescent="0.4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</row>
    <row r="507" spans="1:32" ht="13.15" x14ac:dyDescent="0.4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</row>
    <row r="508" spans="1:32" ht="13.15" x14ac:dyDescent="0.4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</row>
    <row r="509" spans="1:32" ht="13.15" x14ac:dyDescent="0.4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</row>
    <row r="510" spans="1:32" ht="13.15" x14ac:dyDescent="0.4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</row>
    <row r="511" spans="1:32" ht="13.15" x14ac:dyDescent="0.4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</row>
    <row r="512" spans="1:32" ht="13.15" x14ac:dyDescent="0.4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</row>
    <row r="513" spans="1:32" ht="13.15" x14ac:dyDescent="0.4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</row>
    <row r="514" spans="1:32" ht="13.15" x14ac:dyDescent="0.4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</row>
    <row r="515" spans="1:32" ht="13.15" x14ac:dyDescent="0.4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</row>
    <row r="516" spans="1:32" ht="13.15" x14ac:dyDescent="0.4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</row>
    <row r="517" spans="1:32" ht="13.15" x14ac:dyDescent="0.4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</row>
    <row r="518" spans="1:32" ht="13.15" x14ac:dyDescent="0.4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</row>
    <row r="519" spans="1:32" ht="13.15" x14ac:dyDescent="0.4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</row>
    <row r="520" spans="1:32" ht="13.15" x14ac:dyDescent="0.4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</row>
    <row r="521" spans="1:32" ht="13.15" x14ac:dyDescent="0.4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</row>
    <row r="522" spans="1:32" ht="13.15" x14ac:dyDescent="0.4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</row>
    <row r="523" spans="1:32" ht="13.15" x14ac:dyDescent="0.4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</row>
    <row r="524" spans="1:32" ht="13.15" x14ac:dyDescent="0.4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</row>
    <row r="525" spans="1:32" ht="13.15" x14ac:dyDescent="0.4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</row>
    <row r="526" spans="1:32" ht="13.15" x14ac:dyDescent="0.4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</row>
    <row r="527" spans="1:32" ht="13.15" x14ac:dyDescent="0.4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</row>
    <row r="528" spans="1:32" ht="13.15" x14ac:dyDescent="0.4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</row>
    <row r="529" spans="1:32" ht="13.15" x14ac:dyDescent="0.4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</row>
    <row r="530" spans="1:32" ht="13.15" x14ac:dyDescent="0.4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</row>
    <row r="531" spans="1:32" ht="13.15" x14ac:dyDescent="0.4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</row>
    <row r="532" spans="1:32" ht="13.15" x14ac:dyDescent="0.4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</row>
    <row r="533" spans="1:32" ht="13.15" x14ac:dyDescent="0.4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</row>
    <row r="534" spans="1:32" ht="13.15" x14ac:dyDescent="0.4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</row>
    <row r="535" spans="1:32" ht="13.15" x14ac:dyDescent="0.4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</row>
    <row r="536" spans="1:32" ht="13.15" x14ac:dyDescent="0.4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</row>
    <row r="537" spans="1:32" ht="13.15" x14ac:dyDescent="0.4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</row>
    <row r="538" spans="1:32" ht="13.15" x14ac:dyDescent="0.4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</row>
    <row r="539" spans="1:32" ht="13.15" x14ac:dyDescent="0.4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</row>
    <row r="540" spans="1:32" ht="13.15" x14ac:dyDescent="0.4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</row>
    <row r="541" spans="1:32" ht="13.15" x14ac:dyDescent="0.4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</row>
    <row r="542" spans="1:32" ht="13.15" x14ac:dyDescent="0.4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</row>
    <row r="543" spans="1:32" ht="13.15" x14ac:dyDescent="0.4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</row>
    <row r="544" spans="1:32" ht="13.15" x14ac:dyDescent="0.4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</row>
    <row r="545" spans="1:32" ht="13.15" x14ac:dyDescent="0.4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</row>
    <row r="546" spans="1:32" ht="13.15" x14ac:dyDescent="0.4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</row>
    <row r="547" spans="1:32" ht="13.15" x14ac:dyDescent="0.4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</row>
    <row r="548" spans="1:32" ht="13.15" x14ac:dyDescent="0.4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</row>
    <row r="549" spans="1:32" ht="13.15" x14ac:dyDescent="0.4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</row>
    <row r="550" spans="1:32" ht="13.15" x14ac:dyDescent="0.4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</row>
    <row r="551" spans="1:32" ht="13.15" x14ac:dyDescent="0.4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</row>
    <row r="552" spans="1:32" ht="13.15" x14ac:dyDescent="0.4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</row>
    <row r="553" spans="1:32" ht="13.15" x14ac:dyDescent="0.4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</row>
    <row r="554" spans="1:32" ht="13.15" x14ac:dyDescent="0.4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</row>
    <row r="555" spans="1:32" ht="13.15" x14ac:dyDescent="0.4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</row>
    <row r="556" spans="1:32" ht="13.15" x14ac:dyDescent="0.4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</row>
    <row r="557" spans="1:32" ht="13.15" x14ac:dyDescent="0.4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</row>
    <row r="558" spans="1:32" ht="13.15" x14ac:dyDescent="0.4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</row>
    <row r="559" spans="1:32" ht="13.15" x14ac:dyDescent="0.4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</row>
    <row r="560" spans="1:32" ht="13.15" x14ac:dyDescent="0.4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</row>
    <row r="561" spans="1:32" ht="13.15" x14ac:dyDescent="0.4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</row>
    <row r="562" spans="1:32" ht="13.15" x14ac:dyDescent="0.4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</row>
    <row r="563" spans="1:32" ht="13.15" x14ac:dyDescent="0.4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</row>
    <row r="564" spans="1:32" ht="13.15" x14ac:dyDescent="0.4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</row>
    <row r="565" spans="1:32" ht="13.15" x14ac:dyDescent="0.4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</row>
    <row r="566" spans="1:32" ht="13.15" x14ac:dyDescent="0.4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</row>
    <row r="567" spans="1:32" ht="13.15" x14ac:dyDescent="0.4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</row>
    <row r="568" spans="1:32" ht="13.15" x14ac:dyDescent="0.4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</row>
    <row r="569" spans="1:32" ht="13.15" x14ac:dyDescent="0.4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</row>
    <row r="570" spans="1:32" ht="13.15" x14ac:dyDescent="0.4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</row>
    <row r="571" spans="1:32" ht="13.15" x14ac:dyDescent="0.4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</row>
    <row r="572" spans="1:32" ht="13.15" x14ac:dyDescent="0.4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</row>
    <row r="573" spans="1:32" ht="13.15" x14ac:dyDescent="0.4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</row>
    <row r="574" spans="1:32" ht="13.15" x14ac:dyDescent="0.4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</row>
    <row r="575" spans="1:32" ht="13.15" x14ac:dyDescent="0.4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</row>
    <row r="576" spans="1:32" ht="13.15" x14ac:dyDescent="0.4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</row>
    <row r="577" spans="1:32" ht="13.15" x14ac:dyDescent="0.4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</row>
    <row r="578" spans="1:32" ht="13.15" x14ac:dyDescent="0.4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</row>
    <row r="579" spans="1:32" ht="13.15" x14ac:dyDescent="0.4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</row>
    <row r="580" spans="1:32" ht="13.15" x14ac:dyDescent="0.4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</row>
    <row r="581" spans="1:32" ht="13.15" x14ac:dyDescent="0.4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</row>
    <row r="582" spans="1:32" ht="13.15" x14ac:dyDescent="0.4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</row>
    <row r="583" spans="1:32" ht="13.15" x14ac:dyDescent="0.4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</row>
    <row r="584" spans="1:32" ht="13.15" x14ac:dyDescent="0.4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</row>
    <row r="585" spans="1:32" ht="13.15" x14ac:dyDescent="0.4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</row>
    <row r="586" spans="1:32" ht="13.15" x14ac:dyDescent="0.4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</row>
    <row r="587" spans="1:32" ht="13.15" x14ac:dyDescent="0.4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</row>
    <row r="588" spans="1:32" ht="13.15" x14ac:dyDescent="0.4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</row>
    <row r="589" spans="1:32" ht="13.15" x14ac:dyDescent="0.4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</row>
    <row r="590" spans="1:32" ht="13.15" x14ac:dyDescent="0.4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</row>
    <row r="591" spans="1:32" ht="13.15" x14ac:dyDescent="0.4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</row>
    <row r="592" spans="1:32" ht="13.15" x14ac:dyDescent="0.4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</row>
    <row r="593" spans="1:32" ht="13.15" x14ac:dyDescent="0.4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</row>
    <row r="594" spans="1:32" ht="13.15" x14ac:dyDescent="0.4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</row>
    <row r="595" spans="1:32" ht="13.15" x14ac:dyDescent="0.4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</row>
    <row r="596" spans="1:32" ht="13.15" x14ac:dyDescent="0.4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</row>
    <row r="597" spans="1:32" ht="13.15" x14ac:dyDescent="0.4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</row>
    <row r="598" spans="1:32" ht="13.15" x14ac:dyDescent="0.4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</row>
    <row r="599" spans="1:32" ht="13.15" x14ac:dyDescent="0.4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</row>
    <row r="600" spans="1:32" ht="13.15" x14ac:dyDescent="0.4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</row>
    <row r="601" spans="1:32" ht="13.15" x14ac:dyDescent="0.4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</row>
    <row r="602" spans="1:32" ht="13.15" x14ac:dyDescent="0.4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</row>
    <row r="603" spans="1:32" ht="13.15" x14ac:dyDescent="0.4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</row>
    <row r="604" spans="1:32" ht="13.15" x14ac:dyDescent="0.4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</row>
    <row r="605" spans="1:32" ht="13.15" x14ac:dyDescent="0.4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</row>
    <row r="606" spans="1:32" ht="13.15" x14ac:dyDescent="0.4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</row>
    <row r="607" spans="1:32" ht="13.15" x14ac:dyDescent="0.4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</row>
    <row r="608" spans="1:32" ht="13.15" x14ac:dyDescent="0.4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</row>
    <row r="609" spans="1:32" ht="13.15" x14ac:dyDescent="0.4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</row>
    <row r="610" spans="1:32" ht="13.15" x14ac:dyDescent="0.4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</row>
    <row r="611" spans="1:32" ht="13.15" x14ac:dyDescent="0.4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</row>
    <row r="612" spans="1:32" ht="13.15" x14ac:dyDescent="0.4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</row>
    <row r="613" spans="1:32" ht="13.15" x14ac:dyDescent="0.4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</row>
    <row r="614" spans="1:32" ht="13.15" x14ac:dyDescent="0.4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</row>
    <row r="615" spans="1:32" ht="13.15" x14ac:dyDescent="0.4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</row>
    <row r="616" spans="1:32" ht="13.15" x14ac:dyDescent="0.4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</row>
    <row r="617" spans="1:32" ht="13.15" x14ac:dyDescent="0.4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</row>
    <row r="618" spans="1:32" ht="13.15" x14ac:dyDescent="0.4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</row>
    <row r="619" spans="1:32" ht="13.15" x14ac:dyDescent="0.4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</row>
    <row r="620" spans="1:32" ht="13.15" x14ac:dyDescent="0.4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</row>
    <row r="621" spans="1:32" ht="13.15" x14ac:dyDescent="0.4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</row>
    <row r="622" spans="1:32" ht="13.15" x14ac:dyDescent="0.4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</row>
    <row r="623" spans="1:32" ht="13.15" x14ac:dyDescent="0.4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</row>
    <row r="624" spans="1:32" ht="13.15" x14ac:dyDescent="0.4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</row>
    <row r="625" spans="1:32" ht="13.15" x14ac:dyDescent="0.4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</row>
    <row r="626" spans="1:32" ht="13.15" x14ac:dyDescent="0.4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</row>
    <row r="627" spans="1:32" ht="13.15" x14ac:dyDescent="0.4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</row>
    <row r="628" spans="1:32" ht="13.15" x14ac:dyDescent="0.4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</row>
    <row r="629" spans="1:32" ht="13.15" x14ac:dyDescent="0.4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</row>
    <row r="630" spans="1:32" ht="13.15" x14ac:dyDescent="0.4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</row>
    <row r="631" spans="1:32" ht="13.15" x14ac:dyDescent="0.4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</row>
    <row r="632" spans="1:32" ht="13.15" x14ac:dyDescent="0.4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</row>
    <row r="633" spans="1:32" ht="13.15" x14ac:dyDescent="0.4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</row>
    <row r="634" spans="1:32" ht="13.15" x14ac:dyDescent="0.4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</row>
    <row r="635" spans="1:32" ht="13.15" x14ac:dyDescent="0.4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</row>
    <row r="636" spans="1:32" ht="13.15" x14ac:dyDescent="0.4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</row>
    <row r="637" spans="1:32" ht="13.15" x14ac:dyDescent="0.4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</row>
    <row r="638" spans="1:32" ht="13.15" x14ac:dyDescent="0.4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</row>
    <row r="639" spans="1:32" ht="13.15" x14ac:dyDescent="0.4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</row>
    <row r="640" spans="1:32" ht="13.15" x14ac:dyDescent="0.4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</row>
    <row r="641" spans="1:32" ht="13.15" x14ac:dyDescent="0.4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</row>
    <row r="642" spans="1:32" ht="13.15" x14ac:dyDescent="0.4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</row>
    <row r="643" spans="1:32" ht="13.15" x14ac:dyDescent="0.4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</row>
    <row r="644" spans="1:32" ht="13.15" x14ac:dyDescent="0.4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</row>
    <row r="645" spans="1:32" ht="13.15" x14ac:dyDescent="0.4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</row>
    <row r="646" spans="1:32" ht="13.15" x14ac:dyDescent="0.4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</row>
    <row r="647" spans="1:32" ht="13.15" x14ac:dyDescent="0.4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</row>
    <row r="648" spans="1:32" ht="13.15" x14ac:dyDescent="0.4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</row>
    <row r="649" spans="1:32" ht="13.15" x14ac:dyDescent="0.4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</row>
    <row r="650" spans="1:32" ht="13.15" x14ac:dyDescent="0.4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</row>
    <row r="651" spans="1:32" ht="13.15" x14ac:dyDescent="0.4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</row>
    <row r="652" spans="1:32" ht="13.15" x14ac:dyDescent="0.4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</row>
    <row r="653" spans="1:32" ht="13.15" x14ac:dyDescent="0.4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</row>
    <row r="654" spans="1:32" ht="13.15" x14ac:dyDescent="0.4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</row>
    <row r="655" spans="1:32" ht="13.15" x14ac:dyDescent="0.4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</row>
    <row r="656" spans="1:32" ht="13.15" x14ac:dyDescent="0.4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</row>
    <row r="657" spans="1:32" ht="13.15" x14ac:dyDescent="0.4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</row>
    <row r="658" spans="1:32" ht="13.15" x14ac:dyDescent="0.4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</row>
    <row r="659" spans="1:32" ht="13.15" x14ac:dyDescent="0.4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</row>
    <row r="660" spans="1:32" ht="13.15" x14ac:dyDescent="0.4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</row>
    <row r="661" spans="1:32" ht="13.15" x14ac:dyDescent="0.4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</row>
    <row r="662" spans="1:32" ht="13.15" x14ac:dyDescent="0.4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</row>
    <row r="663" spans="1:32" ht="13.15" x14ac:dyDescent="0.4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</row>
    <row r="664" spans="1:32" ht="13.15" x14ac:dyDescent="0.4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</row>
    <row r="665" spans="1:32" ht="13.15" x14ac:dyDescent="0.4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</row>
    <row r="666" spans="1:32" ht="13.15" x14ac:dyDescent="0.4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</row>
    <row r="667" spans="1:32" ht="13.15" x14ac:dyDescent="0.4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</row>
    <row r="668" spans="1:32" ht="13.15" x14ac:dyDescent="0.4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</row>
    <row r="669" spans="1:32" ht="13.15" x14ac:dyDescent="0.4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</row>
    <row r="670" spans="1:32" ht="13.15" x14ac:dyDescent="0.4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</row>
    <row r="671" spans="1:32" ht="13.15" x14ac:dyDescent="0.4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</row>
    <row r="672" spans="1:32" ht="13.15" x14ac:dyDescent="0.4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</row>
    <row r="673" spans="1:32" ht="13.15" x14ac:dyDescent="0.4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</row>
    <row r="674" spans="1:32" ht="13.15" x14ac:dyDescent="0.4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</row>
    <row r="675" spans="1:32" ht="13.15" x14ac:dyDescent="0.4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</row>
    <row r="676" spans="1:32" ht="13.15" x14ac:dyDescent="0.4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</row>
    <row r="677" spans="1:32" ht="13.15" x14ac:dyDescent="0.4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</row>
    <row r="678" spans="1:32" ht="13.15" x14ac:dyDescent="0.4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</row>
    <row r="679" spans="1:32" ht="13.15" x14ac:dyDescent="0.4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</row>
    <row r="680" spans="1:32" ht="13.15" x14ac:dyDescent="0.4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</row>
    <row r="681" spans="1:32" ht="13.15" x14ac:dyDescent="0.4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</row>
    <row r="682" spans="1:32" ht="13.15" x14ac:dyDescent="0.4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</row>
    <row r="683" spans="1:32" ht="13.15" x14ac:dyDescent="0.4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</row>
    <row r="684" spans="1:32" ht="13.15" x14ac:dyDescent="0.4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</row>
    <row r="685" spans="1:32" ht="13.15" x14ac:dyDescent="0.4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</row>
    <row r="686" spans="1:32" ht="13.15" x14ac:dyDescent="0.4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</row>
    <row r="687" spans="1:32" ht="13.15" x14ac:dyDescent="0.4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</row>
    <row r="688" spans="1:32" ht="13.15" x14ac:dyDescent="0.4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</row>
    <row r="689" spans="1:32" ht="13.15" x14ac:dyDescent="0.4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</row>
    <row r="690" spans="1:32" ht="13.15" x14ac:dyDescent="0.4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</row>
    <row r="691" spans="1:32" ht="13.15" x14ac:dyDescent="0.4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</row>
    <row r="692" spans="1:32" ht="13.15" x14ac:dyDescent="0.4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</row>
    <row r="693" spans="1:32" ht="13.15" x14ac:dyDescent="0.4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</row>
    <row r="694" spans="1:32" ht="13.15" x14ac:dyDescent="0.4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</row>
    <row r="695" spans="1:32" ht="13.15" x14ac:dyDescent="0.4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</row>
    <row r="696" spans="1:32" ht="13.15" x14ac:dyDescent="0.4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</row>
    <row r="697" spans="1:32" ht="13.15" x14ac:dyDescent="0.4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</row>
    <row r="698" spans="1:32" ht="13.15" x14ac:dyDescent="0.4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</row>
    <row r="699" spans="1:32" ht="13.15" x14ac:dyDescent="0.4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</row>
    <row r="700" spans="1:32" ht="13.15" x14ac:dyDescent="0.4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</row>
    <row r="701" spans="1:32" ht="13.15" x14ac:dyDescent="0.4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</row>
    <row r="702" spans="1:32" ht="13.15" x14ac:dyDescent="0.4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</row>
    <row r="703" spans="1:32" ht="13.15" x14ac:dyDescent="0.4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</row>
    <row r="704" spans="1:32" ht="13.15" x14ac:dyDescent="0.4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</row>
    <row r="705" spans="1:32" ht="13.15" x14ac:dyDescent="0.4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</row>
    <row r="706" spans="1:32" ht="13.15" x14ac:dyDescent="0.4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</row>
    <row r="707" spans="1:32" ht="13.15" x14ac:dyDescent="0.4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</row>
    <row r="708" spans="1:32" ht="13.15" x14ac:dyDescent="0.4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</row>
    <row r="709" spans="1:32" ht="13.15" x14ac:dyDescent="0.4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</row>
    <row r="710" spans="1:32" ht="13.15" x14ac:dyDescent="0.4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</row>
    <row r="711" spans="1:32" ht="13.15" x14ac:dyDescent="0.4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</row>
    <row r="712" spans="1:32" ht="13.15" x14ac:dyDescent="0.4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</row>
    <row r="713" spans="1:32" ht="13.15" x14ac:dyDescent="0.4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</row>
    <row r="714" spans="1:32" ht="13.15" x14ac:dyDescent="0.4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</row>
    <row r="715" spans="1:32" ht="13.15" x14ac:dyDescent="0.4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</row>
    <row r="716" spans="1:32" ht="13.15" x14ac:dyDescent="0.4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</row>
    <row r="717" spans="1:32" ht="13.15" x14ac:dyDescent="0.4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</row>
    <row r="718" spans="1:32" ht="13.15" x14ac:dyDescent="0.4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</row>
    <row r="719" spans="1:32" ht="13.15" x14ac:dyDescent="0.4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</row>
    <row r="720" spans="1:32" ht="13.15" x14ac:dyDescent="0.4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</row>
    <row r="721" spans="1:32" ht="13.15" x14ac:dyDescent="0.4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</row>
    <row r="722" spans="1:32" ht="13.15" x14ac:dyDescent="0.4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</row>
    <row r="723" spans="1:32" ht="13.15" x14ac:dyDescent="0.4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</row>
    <row r="724" spans="1:32" ht="13.15" x14ac:dyDescent="0.4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</row>
    <row r="725" spans="1:32" ht="13.15" x14ac:dyDescent="0.4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</row>
    <row r="726" spans="1:32" ht="13.15" x14ac:dyDescent="0.4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</row>
    <row r="727" spans="1:32" ht="13.15" x14ac:dyDescent="0.4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</row>
    <row r="728" spans="1:32" ht="13.15" x14ac:dyDescent="0.4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</row>
    <row r="729" spans="1:32" ht="13.15" x14ac:dyDescent="0.4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</row>
    <row r="730" spans="1:32" ht="13.15" x14ac:dyDescent="0.4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</row>
    <row r="731" spans="1:32" ht="13.15" x14ac:dyDescent="0.4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</row>
    <row r="732" spans="1:32" ht="13.15" x14ac:dyDescent="0.4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</row>
    <row r="733" spans="1:32" ht="13.15" x14ac:dyDescent="0.4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</row>
    <row r="734" spans="1:32" ht="13.15" x14ac:dyDescent="0.4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</row>
    <row r="735" spans="1:32" ht="13.15" x14ac:dyDescent="0.4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</row>
    <row r="736" spans="1:32" ht="13.15" x14ac:dyDescent="0.4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</row>
    <row r="737" spans="1:32" ht="13.15" x14ac:dyDescent="0.4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</row>
    <row r="738" spans="1:32" ht="13.15" x14ac:dyDescent="0.4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</row>
    <row r="739" spans="1:32" ht="13.15" x14ac:dyDescent="0.4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</row>
    <row r="740" spans="1:32" ht="13.15" x14ac:dyDescent="0.4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</row>
    <row r="741" spans="1:32" ht="13.15" x14ac:dyDescent="0.4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</row>
    <row r="742" spans="1:32" ht="13.15" x14ac:dyDescent="0.4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</row>
    <row r="743" spans="1:32" ht="13.15" x14ac:dyDescent="0.4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</row>
    <row r="744" spans="1:32" ht="13.15" x14ac:dyDescent="0.4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</row>
    <row r="745" spans="1:32" ht="13.15" x14ac:dyDescent="0.4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</row>
    <row r="746" spans="1:32" ht="13.15" x14ac:dyDescent="0.4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</row>
    <row r="747" spans="1:32" ht="13.15" x14ac:dyDescent="0.4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</row>
    <row r="748" spans="1:32" ht="13.15" x14ac:dyDescent="0.4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</row>
    <row r="749" spans="1:32" ht="13.15" x14ac:dyDescent="0.4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</row>
    <row r="750" spans="1:32" ht="13.15" x14ac:dyDescent="0.4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</row>
    <row r="751" spans="1:32" ht="13.15" x14ac:dyDescent="0.4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</row>
    <row r="752" spans="1:32" ht="13.15" x14ac:dyDescent="0.4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</row>
    <row r="753" spans="1:32" ht="13.15" x14ac:dyDescent="0.4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</row>
    <row r="754" spans="1:32" ht="13.15" x14ac:dyDescent="0.4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</row>
    <row r="755" spans="1:32" ht="13.15" x14ac:dyDescent="0.4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</row>
    <row r="756" spans="1:32" ht="13.15" x14ac:dyDescent="0.4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</row>
    <row r="757" spans="1:32" ht="13.15" x14ac:dyDescent="0.4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</row>
    <row r="758" spans="1:32" ht="13.15" x14ac:dyDescent="0.4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</row>
    <row r="759" spans="1:32" ht="13.15" x14ac:dyDescent="0.4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</row>
    <row r="760" spans="1:32" ht="13.15" x14ac:dyDescent="0.4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</row>
    <row r="761" spans="1:32" ht="13.15" x14ac:dyDescent="0.4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</row>
    <row r="762" spans="1:32" ht="13.15" x14ac:dyDescent="0.4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</row>
    <row r="763" spans="1:32" ht="13.15" x14ac:dyDescent="0.4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</row>
    <row r="764" spans="1:32" ht="13.15" x14ac:dyDescent="0.4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</row>
    <row r="765" spans="1:32" ht="13.15" x14ac:dyDescent="0.4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</row>
    <row r="766" spans="1:32" ht="13.15" x14ac:dyDescent="0.4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</row>
    <row r="767" spans="1:32" ht="13.15" x14ac:dyDescent="0.4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</row>
    <row r="768" spans="1:32" ht="13.15" x14ac:dyDescent="0.4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</row>
    <row r="769" spans="1:32" ht="13.15" x14ac:dyDescent="0.4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</row>
    <row r="770" spans="1:32" ht="13.15" x14ac:dyDescent="0.4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</row>
    <row r="771" spans="1:32" ht="13.15" x14ac:dyDescent="0.4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</row>
    <row r="772" spans="1:32" ht="13.15" x14ac:dyDescent="0.4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</row>
    <row r="773" spans="1:32" ht="13.15" x14ac:dyDescent="0.4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</row>
    <row r="774" spans="1:32" ht="13.15" x14ac:dyDescent="0.4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</row>
    <row r="775" spans="1:32" ht="13.15" x14ac:dyDescent="0.4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</row>
    <row r="776" spans="1:32" ht="13.15" x14ac:dyDescent="0.4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</row>
    <row r="777" spans="1:32" ht="13.15" x14ac:dyDescent="0.4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</row>
    <row r="778" spans="1:32" ht="13.15" x14ac:dyDescent="0.4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</row>
    <row r="779" spans="1:32" ht="13.15" x14ac:dyDescent="0.4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</row>
    <row r="780" spans="1:32" ht="13.15" x14ac:dyDescent="0.4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</row>
    <row r="781" spans="1:32" ht="13.15" x14ac:dyDescent="0.4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</row>
    <row r="782" spans="1:32" ht="13.15" x14ac:dyDescent="0.4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</row>
    <row r="783" spans="1:32" ht="13.15" x14ac:dyDescent="0.4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</row>
    <row r="784" spans="1:32" ht="13.15" x14ac:dyDescent="0.4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</row>
    <row r="785" spans="1:32" ht="13.15" x14ac:dyDescent="0.4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</row>
    <row r="786" spans="1:32" ht="13.15" x14ac:dyDescent="0.4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</row>
    <row r="787" spans="1:32" ht="13.15" x14ac:dyDescent="0.4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</row>
    <row r="788" spans="1:32" ht="13.15" x14ac:dyDescent="0.4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</row>
    <row r="789" spans="1:32" ht="13.15" x14ac:dyDescent="0.4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</row>
    <row r="790" spans="1:32" ht="13.15" x14ac:dyDescent="0.4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</row>
    <row r="791" spans="1:32" ht="13.15" x14ac:dyDescent="0.4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</row>
    <row r="792" spans="1:32" ht="13.15" x14ac:dyDescent="0.4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</row>
    <row r="793" spans="1:32" ht="13.15" x14ac:dyDescent="0.4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</row>
    <row r="794" spans="1:32" ht="13.15" x14ac:dyDescent="0.4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</row>
    <row r="795" spans="1:32" ht="13.15" x14ac:dyDescent="0.4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</row>
    <row r="796" spans="1:32" ht="13.15" x14ac:dyDescent="0.4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</row>
    <row r="797" spans="1:32" ht="13.15" x14ac:dyDescent="0.4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</row>
    <row r="798" spans="1:32" ht="13.15" x14ac:dyDescent="0.4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</row>
    <row r="799" spans="1:32" ht="13.15" x14ac:dyDescent="0.4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</row>
    <row r="800" spans="1:32" ht="13.15" x14ac:dyDescent="0.4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</row>
    <row r="801" spans="1:32" ht="13.15" x14ac:dyDescent="0.4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</row>
    <row r="802" spans="1:32" ht="13.15" x14ac:dyDescent="0.4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</row>
    <row r="803" spans="1:32" ht="13.15" x14ac:dyDescent="0.4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</row>
    <row r="804" spans="1:32" ht="13.15" x14ac:dyDescent="0.4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</row>
    <row r="805" spans="1:32" ht="13.15" x14ac:dyDescent="0.4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</row>
    <row r="806" spans="1:32" ht="13.15" x14ac:dyDescent="0.4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</row>
    <row r="807" spans="1:32" ht="13.15" x14ac:dyDescent="0.4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</row>
    <row r="808" spans="1:32" ht="13.15" x14ac:dyDescent="0.4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</row>
    <row r="809" spans="1:32" ht="13.15" x14ac:dyDescent="0.4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</row>
    <row r="810" spans="1:32" ht="13.15" x14ac:dyDescent="0.4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</row>
    <row r="811" spans="1:32" ht="13.15" x14ac:dyDescent="0.4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</row>
    <row r="812" spans="1:32" ht="13.15" x14ac:dyDescent="0.4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</row>
    <row r="813" spans="1:32" ht="13.15" x14ac:dyDescent="0.4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</row>
    <row r="814" spans="1:32" ht="13.15" x14ac:dyDescent="0.4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</row>
    <row r="815" spans="1:32" ht="13.15" x14ac:dyDescent="0.4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</row>
    <row r="816" spans="1:32" ht="13.15" x14ac:dyDescent="0.4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</row>
    <row r="817" spans="1:32" ht="13.15" x14ac:dyDescent="0.4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</row>
    <row r="818" spans="1:32" ht="13.15" x14ac:dyDescent="0.4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</row>
    <row r="819" spans="1:32" ht="13.15" x14ac:dyDescent="0.4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</row>
    <row r="820" spans="1:32" ht="13.15" x14ac:dyDescent="0.4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</row>
    <row r="821" spans="1:32" ht="13.15" x14ac:dyDescent="0.4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</row>
    <row r="822" spans="1:32" ht="13.15" x14ac:dyDescent="0.4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</row>
    <row r="823" spans="1:32" ht="13.15" x14ac:dyDescent="0.4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</row>
    <row r="824" spans="1:32" ht="13.15" x14ac:dyDescent="0.4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</row>
    <row r="825" spans="1:32" ht="13.15" x14ac:dyDescent="0.4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</row>
    <row r="826" spans="1:32" ht="13.15" x14ac:dyDescent="0.4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</row>
    <row r="827" spans="1:32" ht="13.15" x14ac:dyDescent="0.4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</row>
    <row r="828" spans="1:32" ht="13.15" x14ac:dyDescent="0.4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</row>
    <row r="829" spans="1:32" ht="13.15" x14ac:dyDescent="0.4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</row>
    <row r="830" spans="1:32" ht="13.15" x14ac:dyDescent="0.4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</row>
    <row r="831" spans="1:32" ht="13.15" x14ac:dyDescent="0.4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</row>
    <row r="832" spans="1:32" ht="13.15" x14ac:dyDescent="0.4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</row>
    <row r="833" spans="1:32" ht="13.15" x14ac:dyDescent="0.4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</row>
    <row r="834" spans="1:32" ht="13.15" x14ac:dyDescent="0.4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</row>
    <row r="835" spans="1:32" ht="13.15" x14ac:dyDescent="0.4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</row>
    <row r="836" spans="1:32" ht="13.15" x14ac:dyDescent="0.4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</row>
    <row r="837" spans="1:32" ht="13.15" x14ac:dyDescent="0.4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</row>
    <row r="838" spans="1:32" ht="13.15" x14ac:dyDescent="0.4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</row>
    <row r="839" spans="1:32" ht="13.15" x14ac:dyDescent="0.4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</row>
    <row r="840" spans="1:32" ht="13.15" x14ac:dyDescent="0.4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</row>
    <row r="841" spans="1:32" ht="13.15" x14ac:dyDescent="0.4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</row>
    <row r="842" spans="1:32" ht="13.15" x14ac:dyDescent="0.4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</row>
    <row r="843" spans="1:32" ht="13.15" x14ac:dyDescent="0.4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</row>
    <row r="844" spans="1:32" ht="13.15" x14ac:dyDescent="0.4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</row>
    <row r="845" spans="1:32" ht="13.15" x14ac:dyDescent="0.4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</row>
    <row r="846" spans="1:32" ht="13.15" x14ac:dyDescent="0.4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</row>
    <row r="847" spans="1:32" ht="13.15" x14ac:dyDescent="0.4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</row>
    <row r="848" spans="1:32" ht="13.15" x14ac:dyDescent="0.4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</row>
    <row r="849" spans="1:32" ht="13.15" x14ac:dyDescent="0.4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</row>
    <row r="850" spans="1:32" ht="13.15" x14ac:dyDescent="0.4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</row>
    <row r="851" spans="1:32" ht="13.15" x14ac:dyDescent="0.4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</row>
    <row r="852" spans="1:32" ht="13.15" x14ac:dyDescent="0.4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</row>
    <row r="853" spans="1:32" ht="13.15" x14ac:dyDescent="0.4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</row>
    <row r="854" spans="1:32" ht="13.15" x14ac:dyDescent="0.4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</row>
    <row r="855" spans="1:32" ht="13.15" x14ac:dyDescent="0.4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</row>
    <row r="856" spans="1:32" ht="13.15" x14ac:dyDescent="0.4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</row>
    <row r="857" spans="1:32" ht="13.15" x14ac:dyDescent="0.4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</row>
    <row r="858" spans="1:32" ht="13.15" x14ac:dyDescent="0.4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</row>
    <row r="859" spans="1:32" ht="13.15" x14ac:dyDescent="0.4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</row>
    <row r="860" spans="1:32" ht="13.15" x14ac:dyDescent="0.4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</row>
    <row r="861" spans="1:32" ht="13.15" x14ac:dyDescent="0.4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</row>
    <row r="862" spans="1:32" ht="13.15" x14ac:dyDescent="0.4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</row>
    <row r="863" spans="1:32" ht="13.15" x14ac:dyDescent="0.4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</row>
    <row r="864" spans="1:32" ht="13.15" x14ac:dyDescent="0.4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</row>
    <row r="865" spans="1:32" ht="13.15" x14ac:dyDescent="0.4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</row>
    <row r="866" spans="1:32" ht="13.15" x14ac:dyDescent="0.4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</row>
    <row r="867" spans="1:32" ht="13.15" x14ac:dyDescent="0.4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</row>
    <row r="868" spans="1:32" ht="13.15" x14ac:dyDescent="0.4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</row>
    <row r="869" spans="1:32" ht="13.15" x14ac:dyDescent="0.4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</row>
    <row r="870" spans="1:32" ht="13.15" x14ac:dyDescent="0.4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</row>
    <row r="871" spans="1:32" ht="13.15" x14ac:dyDescent="0.4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</row>
    <row r="872" spans="1:32" ht="13.15" x14ac:dyDescent="0.4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</row>
    <row r="873" spans="1:32" ht="13.15" x14ac:dyDescent="0.4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</row>
    <row r="874" spans="1:32" ht="13.15" x14ac:dyDescent="0.4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</row>
    <row r="875" spans="1:32" ht="13.15" x14ac:dyDescent="0.4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</row>
    <row r="876" spans="1:32" ht="13.15" x14ac:dyDescent="0.4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</row>
    <row r="877" spans="1:32" ht="13.15" x14ac:dyDescent="0.4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</row>
    <row r="878" spans="1:32" ht="13.15" x14ac:dyDescent="0.4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</row>
    <row r="879" spans="1:32" ht="13.15" x14ac:dyDescent="0.4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</row>
    <row r="880" spans="1:32" ht="13.15" x14ac:dyDescent="0.4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</row>
    <row r="881" spans="1:32" ht="13.15" x14ac:dyDescent="0.4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</row>
    <row r="882" spans="1:32" ht="13.15" x14ac:dyDescent="0.4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</row>
    <row r="883" spans="1:32" ht="13.15" x14ac:dyDescent="0.4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</row>
    <row r="884" spans="1:32" ht="13.15" x14ac:dyDescent="0.4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</row>
    <row r="885" spans="1:32" ht="13.15" x14ac:dyDescent="0.4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</row>
    <row r="886" spans="1:32" ht="13.15" x14ac:dyDescent="0.4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</row>
    <row r="887" spans="1:32" ht="13.15" x14ac:dyDescent="0.4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</row>
    <row r="888" spans="1:32" ht="13.15" x14ac:dyDescent="0.4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</row>
    <row r="889" spans="1:32" ht="13.15" x14ac:dyDescent="0.4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</row>
    <row r="890" spans="1:32" ht="13.15" x14ac:dyDescent="0.4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</row>
    <row r="891" spans="1:32" ht="13.15" x14ac:dyDescent="0.4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</row>
    <row r="892" spans="1:32" ht="13.15" x14ac:dyDescent="0.4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</row>
    <row r="893" spans="1:32" ht="13.15" x14ac:dyDescent="0.4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</row>
    <row r="894" spans="1:32" ht="13.15" x14ac:dyDescent="0.4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</row>
    <row r="895" spans="1:32" ht="13.15" x14ac:dyDescent="0.4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</row>
    <row r="896" spans="1:32" ht="13.15" x14ac:dyDescent="0.4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</row>
    <row r="897" spans="1:32" ht="13.15" x14ac:dyDescent="0.4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</row>
    <row r="898" spans="1:32" ht="13.15" x14ac:dyDescent="0.4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</row>
    <row r="899" spans="1:32" ht="13.15" x14ac:dyDescent="0.4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</row>
    <row r="900" spans="1:32" ht="13.15" x14ac:dyDescent="0.4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</row>
    <row r="901" spans="1:32" ht="13.15" x14ac:dyDescent="0.4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</row>
    <row r="902" spans="1:32" ht="13.15" x14ac:dyDescent="0.4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</row>
    <row r="903" spans="1:32" ht="13.15" x14ac:dyDescent="0.4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</row>
    <row r="904" spans="1:32" ht="13.15" x14ac:dyDescent="0.4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</row>
    <row r="905" spans="1:32" ht="13.15" x14ac:dyDescent="0.4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</row>
    <row r="906" spans="1:32" ht="13.15" x14ac:dyDescent="0.4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</row>
    <row r="907" spans="1:32" ht="13.15" x14ac:dyDescent="0.4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</row>
    <row r="908" spans="1:32" ht="13.15" x14ac:dyDescent="0.4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</row>
    <row r="909" spans="1:32" ht="13.15" x14ac:dyDescent="0.4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</row>
    <row r="910" spans="1:32" ht="13.15" x14ac:dyDescent="0.4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</row>
    <row r="911" spans="1:32" ht="13.15" x14ac:dyDescent="0.4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</row>
    <row r="912" spans="1:32" ht="13.15" x14ac:dyDescent="0.4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</row>
    <row r="913" spans="1:32" ht="13.15" x14ac:dyDescent="0.4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</row>
    <row r="914" spans="1:32" ht="13.15" x14ac:dyDescent="0.4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</row>
    <row r="915" spans="1:32" ht="13.15" x14ac:dyDescent="0.4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</row>
    <row r="916" spans="1:32" ht="13.15" x14ac:dyDescent="0.4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</row>
    <row r="917" spans="1:32" ht="13.15" x14ac:dyDescent="0.4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</row>
    <row r="918" spans="1:32" ht="13.15" x14ac:dyDescent="0.4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</row>
    <row r="919" spans="1:32" ht="13.15" x14ac:dyDescent="0.4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</row>
    <row r="920" spans="1:32" ht="13.15" x14ac:dyDescent="0.4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</row>
    <row r="921" spans="1:32" ht="13.15" x14ac:dyDescent="0.4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</row>
    <row r="922" spans="1:32" ht="13.15" x14ac:dyDescent="0.4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</row>
    <row r="923" spans="1:32" ht="13.15" x14ac:dyDescent="0.4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</row>
    <row r="924" spans="1:32" ht="13.15" x14ac:dyDescent="0.4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</row>
    <row r="925" spans="1:32" ht="13.15" x14ac:dyDescent="0.4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</row>
    <row r="926" spans="1:32" ht="13.15" x14ac:dyDescent="0.4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</row>
    <row r="927" spans="1:32" ht="13.15" x14ac:dyDescent="0.4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</row>
    <row r="928" spans="1:32" ht="13.15" x14ac:dyDescent="0.4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</row>
    <row r="929" spans="1:32" ht="13.15" x14ac:dyDescent="0.4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</row>
    <row r="930" spans="1:32" ht="13.15" x14ac:dyDescent="0.4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</row>
    <row r="931" spans="1:32" ht="13.15" x14ac:dyDescent="0.4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</row>
    <row r="932" spans="1:32" ht="13.15" x14ac:dyDescent="0.4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</row>
    <row r="933" spans="1:32" ht="13.15" x14ac:dyDescent="0.4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</row>
    <row r="934" spans="1:32" ht="13.15" x14ac:dyDescent="0.4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</row>
    <row r="935" spans="1:32" ht="13.15" x14ac:dyDescent="0.4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</row>
    <row r="936" spans="1:32" ht="13.15" x14ac:dyDescent="0.4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</row>
    <row r="937" spans="1:32" ht="13.15" x14ac:dyDescent="0.4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</row>
    <row r="938" spans="1:32" ht="13.15" x14ac:dyDescent="0.4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</row>
    <row r="939" spans="1:32" ht="13.15" x14ac:dyDescent="0.4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</row>
    <row r="940" spans="1:32" ht="13.15" x14ac:dyDescent="0.4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</row>
    <row r="941" spans="1:32" ht="13.15" x14ac:dyDescent="0.4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</row>
    <row r="942" spans="1:32" ht="13.15" x14ac:dyDescent="0.4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</row>
    <row r="943" spans="1:32" ht="13.15" x14ac:dyDescent="0.4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</row>
    <row r="944" spans="1:32" ht="13.15" x14ac:dyDescent="0.4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</row>
    <row r="945" spans="1:32" ht="13.15" x14ac:dyDescent="0.4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</row>
    <row r="946" spans="1:32" ht="13.15" x14ac:dyDescent="0.4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</row>
    <row r="947" spans="1:32" ht="13.15" x14ac:dyDescent="0.4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</row>
    <row r="948" spans="1:32" ht="13.15" x14ac:dyDescent="0.4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</row>
    <row r="949" spans="1:32" ht="13.15" x14ac:dyDescent="0.4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</row>
    <row r="950" spans="1:32" ht="13.15" x14ac:dyDescent="0.4">
      <c r="A950" s="2"/>
      <c r="B950" s="2"/>
      <c r="C950" s="2"/>
      <c r="D950" s="2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</row>
    <row r="951" spans="1:32" ht="13.15" x14ac:dyDescent="0.4">
      <c r="A951" s="2"/>
      <c r="B951" s="2"/>
      <c r="C951" s="2"/>
      <c r="D951" s="2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</row>
    <row r="952" spans="1:32" ht="13.15" x14ac:dyDescent="0.4">
      <c r="A952" s="2"/>
      <c r="B952" s="2"/>
      <c r="C952" s="2"/>
      <c r="D952" s="2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</row>
    <row r="953" spans="1:32" ht="13.15" x14ac:dyDescent="0.4">
      <c r="A953" s="2"/>
      <c r="B953" s="2"/>
      <c r="C953" s="2"/>
      <c r="D953" s="2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</row>
    <row r="954" spans="1:32" ht="13.15" x14ac:dyDescent="0.4">
      <c r="A954" s="2"/>
      <c r="B954" s="2"/>
      <c r="C954" s="2"/>
      <c r="D954" s="2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</row>
    <row r="955" spans="1:32" ht="13.15" x14ac:dyDescent="0.4">
      <c r="A955" s="2"/>
      <c r="B955" s="2"/>
      <c r="C955" s="2"/>
      <c r="D955" s="2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</row>
    <row r="956" spans="1:32" ht="13.15" x14ac:dyDescent="0.4">
      <c r="A956" s="2"/>
      <c r="B956" s="2"/>
      <c r="C956" s="2"/>
      <c r="D956" s="2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</row>
    <row r="957" spans="1:32" ht="13.15" x14ac:dyDescent="0.4">
      <c r="A957" s="2"/>
      <c r="B957" s="2"/>
      <c r="C957" s="2"/>
      <c r="D957" s="2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</row>
    <row r="958" spans="1:32" ht="13.15" x14ac:dyDescent="0.4">
      <c r="A958" s="2"/>
      <c r="B958" s="2"/>
      <c r="C958" s="2"/>
      <c r="D958" s="2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</row>
    <row r="959" spans="1:32" ht="13.15" x14ac:dyDescent="0.4">
      <c r="A959" s="2"/>
      <c r="B959" s="2"/>
      <c r="C959" s="2"/>
      <c r="D959" s="2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</row>
    <row r="960" spans="1:32" ht="13.15" x14ac:dyDescent="0.4">
      <c r="A960" s="2"/>
      <c r="B960" s="2"/>
      <c r="C960" s="2"/>
      <c r="D960" s="2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</row>
    <row r="961" spans="1:32" ht="13.15" x14ac:dyDescent="0.4">
      <c r="A961" s="2"/>
      <c r="B961" s="2"/>
      <c r="C961" s="2"/>
      <c r="D961" s="2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</row>
    <row r="962" spans="1:32" ht="13.15" x14ac:dyDescent="0.4">
      <c r="A962" s="2"/>
      <c r="B962" s="2"/>
      <c r="C962" s="2"/>
      <c r="D962" s="2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</row>
    <row r="963" spans="1:32" ht="13.15" x14ac:dyDescent="0.4">
      <c r="A963" s="2"/>
      <c r="B963" s="2"/>
      <c r="C963" s="2"/>
      <c r="D963" s="2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</row>
    <row r="964" spans="1:32" ht="13.15" x14ac:dyDescent="0.4">
      <c r="A964" s="2"/>
      <c r="B964" s="2"/>
      <c r="C964" s="2"/>
      <c r="D964" s="2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</row>
    <row r="965" spans="1:32" ht="13.15" x14ac:dyDescent="0.4">
      <c r="A965" s="2"/>
      <c r="B965" s="2"/>
      <c r="C965" s="2"/>
      <c r="D965" s="2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</row>
    <row r="966" spans="1:32" ht="13.15" x14ac:dyDescent="0.4">
      <c r="A966" s="2"/>
      <c r="B966" s="2"/>
      <c r="C966" s="2"/>
      <c r="D966" s="2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</row>
    <row r="967" spans="1:32" ht="13.15" x14ac:dyDescent="0.4">
      <c r="A967" s="2"/>
      <c r="B967" s="2"/>
      <c r="C967" s="2"/>
      <c r="D967" s="2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</row>
    <row r="968" spans="1:32" ht="13.15" x14ac:dyDescent="0.4">
      <c r="A968" s="2"/>
      <c r="B968" s="2"/>
      <c r="C968" s="2"/>
      <c r="D968" s="2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</row>
    <row r="969" spans="1:32" ht="13.15" x14ac:dyDescent="0.4">
      <c r="A969" s="2"/>
      <c r="B969" s="2"/>
      <c r="C969" s="2"/>
      <c r="D969" s="2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</row>
    <row r="970" spans="1:32" ht="13.15" x14ac:dyDescent="0.4">
      <c r="A970" s="2"/>
      <c r="B970" s="2"/>
      <c r="C970" s="2"/>
      <c r="D970" s="2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</row>
    <row r="971" spans="1:32" ht="13.15" x14ac:dyDescent="0.4">
      <c r="A971" s="2"/>
      <c r="B971" s="2"/>
      <c r="C971" s="2"/>
      <c r="D971" s="2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</row>
    <row r="972" spans="1:32" ht="13.15" x14ac:dyDescent="0.4">
      <c r="A972" s="2"/>
      <c r="B972" s="2"/>
      <c r="C972" s="2"/>
      <c r="D972" s="2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</row>
    <row r="973" spans="1:32" ht="13.15" x14ac:dyDescent="0.4">
      <c r="A973" s="2"/>
      <c r="B973" s="2"/>
      <c r="C973" s="2"/>
      <c r="D973" s="2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</row>
    <row r="974" spans="1:32" ht="13.15" x14ac:dyDescent="0.4">
      <c r="A974" s="2"/>
      <c r="B974" s="2"/>
      <c r="C974" s="2"/>
      <c r="D974" s="2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</row>
    <row r="975" spans="1:32" ht="13.15" x14ac:dyDescent="0.4">
      <c r="A975" s="2"/>
      <c r="B975" s="2"/>
      <c r="C975" s="2"/>
      <c r="D975" s="2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</row>
    <row r="976" spans="1:32" ht="13.15" x14ac:dyDescent="0.4">
      <c r="A976" s="2"/>
      <c r="B976" s="2"/>
      <c r="C976" s="2"/>
      <c r="D976" s="2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</row>
    <row r="977" spans="1:32" ht="13.15" x14ac:dyDescent="0.4">
      <c r="A977" s="2"/>
      <c r="B977" s="2"/>
      <c r="C977" s="2"/>
      <c r="D977" s="2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</row>
    <row r="978" spans="1:32" ht="13.15" x14ac:dyDescent="0.4">
      <c r="A978" s="2"/>
      <c r="B978" s="2"/>
      <c r="C978" s="2"/>
      <c r="D978" s="2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</row>
    <row r="979" spans="1:32" ht="13.15" x14ac:dyDescent="0.4">
      <c r="A979" s="2"/>
      <c r="B979" s="2"/>
      <c r="C979" s="2"/>
      <c r="D979" s="2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</row>
    <row r="980" spans="1:32" ht="13.15" x14ac:dyDescent="0.4">
      <c r="A980" s="2"/>
      <c r="B980" s="2"/>
      <c r="C980" s="2"/>
      <c r="D980" s="2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</row>
    <row r="981" spans="1:32" ht="13.15" x14ac:dyDescent="0.4">
      <c r="A981" s="2"/>
      <c r="B981" s="2"/>
      <c r="C981" s="2"/>
      <c r="D981" s="2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</row>
    <row r="982" spans="1:32" ht="13.15" x14ac:dyDescent="0.4">
      <c r="A982" s="2"/>
      <c r="B982" s="2"/>
      <c r="C982" s="2"/>
      <c r="D982" s="2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</row>
    <row r="983" spans="1:32" ht="13.15" x14ac:dyDescent="0.4">
      <c r="A983" s="2"/>
      <c r="B983" s="2"/>
      <c r="C983" s="2"/>
      <c r="D983" s="2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</row>
    <row r="984" spans="1:32" ht="13.15" x14ac:dyDescent="0.4">
      <c r="A984" s="2"/>
      <c r="B984" s="2"/>
      <c r="C984" s="2"/>
      <c r="D984" s="2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</row>
    <row r="985" spans="1:32" ht="13.15" x14ac:dyDescent="0.4">
      <c r="A985" s="2"/>
      <c r="B985" s="2"/>
      <c r="C985" s="2"/>
      <c r="D985" s="2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</row>
    <row r="986" spans="1:32" ht="13.15" x14ac:dyDescent="0.4">
      <c r="A986" s="2"/>
      <c r="B986" s="2"/>
      <c r="C986" s="2"/>
      <c r="D986" s="2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</row>
    <row r="987" spans="1:32" ht="13.15" x14ac:dyDescent="0.4">
      <c r="A987" s="2"/>
      <c r="B987" s="2"/>
      <c r="C987" s="2"/>
      <c r="D987" s="2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</row>
    <row r="988" spans="1:32" ht="13.15" x14ac:dyDescent="0.4">
      <c r="A988" s="2"/>
      <c r="B988" s="2"/>
      <c r="C988" s="2"/>
      <c r="D988" s="2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</row>
    <row r="989" spans="1:32" ht="13.15" x14ac:dyDescent="0.4">
      <c r="A989" s="2"/>
      <c r="B989" s="2"/>
      <c r="C989" s="2"/>
      <c r="D989" s="2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</row>
    <row r="990" spans="1:32" ht="13.15" x14ac:dyDescent="0.4">
      <c r="A990" s="2"/>
      <c r="B990" s="2"/>
      <c r="C990" s="2"/>
      <c r="D990" s="2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</row>
    <row r="991" spans="1:32" ht="13.15" x14ac:dyDescent="0.4">
      <c r="A991" s="2"/>
      <c r="B991" s="2"/>
      <c r="C991" s="2"/>
      <c r="D991" s="2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</row>
    <row r="992" spans="1:32" ht="13.15" x14ac:dyDescent="0.4">
      <c r="A992" s="2"/>
      <c r="B992" s="2"/>
      <c r="C992" s="2"/>
      <c r="D992" s="2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</row>
    <row r="993" spans="1:32" ht="13.15" x14ac:dyDescent="0.4">
      <c r="A993" s="2"/>
      <c r="B993" s="2"/>
      <c r="C993" s="2"/>
      <c r="D993" s="2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</row>
    <row r="994" spans="1:32" ht="13.15" x14ac:dyDescent="0.4">
      <c r="A994" s="2"/>
      <c r="B994" s="2"/>
      <c r="C994" s="2"/>
      <c r="D994" s="2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</row>
    <row r="995" spans="1:32" ht="13.15" x14ac:dyDescent="0.4">
      <c r="A995" s="2"/>
      <c r="B995" s="2"/>
      <c r="C995" s="2"/>
      <c r="D995" s="2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</row>
    <row r="996" spans="1:32" ht="13.15" x14ac:dyDescent="0.4">
      <c r="A996" s="2"/>
      <c r="B996" s="2"/>
      <c r="C996" s="2"/>
      <c r="D996" s="2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</row>
    <row r="997" spans="1:32" ht="13.15" x14ac:dyDescent="0.4">
      <c r="A997" s="2"/>
      <c r="B997" s="2"/>
      <c r="C997" s="2"/>
      <c r="D997" s="2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</row>
    <row r="998" spans="1:32" ht="13.15" x14ac:dyDescent="0.4">
      <c r="A998" s="2"/>
      <c r="B998" s="2"/>
      <c r="C998" s="2"/>
      <c r="D998" s="2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</row>
    <row r="999" spans="1:32" ht="13.15" x14ac:dyDescent="0.4">
      <c r="A999" s="2"/>
      <c r="B999" s="2"/>
      <c r="C999" s="2"/>
      <c r="D999" s="2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</row>
    <row r="1000" spans="1:32" ht="13.15" x14ac:dyDescent="0.4">
      <c r="A1000" s="17"/>
      <c r="B1000" s="17"/>
      <c r="C1000" s="17"/>
      <c r="D1000" s="2"/>
      <c r="E1000" s="17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</row>
    <row r="1001" spans="1:32" ht="13.15" x14ac:dyDescent="0.4">
      <c r="A1001" s="17"/>
      <c r="B1001" s="17"/>
      <c r="C1001" s="17"/>
      <c r="D1001" s="2"/>
      <c r="T1001" s="17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AI996"/>
  <sheetViews>
    <sheetView workbookViewId="0">
      <pane ySplit="1" topLeftCell="A2" activePane="bottomLeft" state="frozen"/>
      <selection pane="bottomLeft" activeCell="B3" sqref="B3"/>
    </sheetView>
  </sheetViews>
  <sheetFormatPr defaultColWidth="12.59765625" defaultRowHeight="15.75" customHeight="1" x14ac:dyDescent="0.35"/>
  <cols>
    <col min="6" max="6" width="19.265625" customWidth="1"/>
    <col min="7" max="7" width="20.1328125" customWidth="1"/>
    <col min="8" max="8" width="14.73046875" customWidth="1"/>
  </cols>
  <sheetData>
    <row r="1" spans="1:35" ht="15.75" customHeight="1" x14ac:dyDescent="0.4">
      <c r="A1" s="18"/>
      <c r="B1" s="18"/>
      <c r="C1" s="18"/>
      <c r="D1" s="18"/>
      <c r="E1" s="18" t="s">
        <v>0</v>
      </c>
      <c r="F1" s="18" t="s">
        <v>4</v>
      </c>
      <c r="G1" s="18" t="s">
        <v>5</v>
      </c>
      <c r="H1" s="18" t="s">
        <v>6</v>
      </c>
      <c r="I1" s="18" t="s">
        <v>7</v>
      </c>
      <c r="J1" s="18" t="s">
        <v>8</v>
      </c>
      <c r="K1" s="18" t="s">
        <v>9</v>
      </c>
      <c r="L1" s="18" t="s">
        <v>10</v>
      </c>
      <c r="M1" s="18" t="s">
        <v>11</v>
      </c>
      <c r="N1" s="18" t="s">
        <v>12</v>
      </c>
      <c r="O1" s="18" t="s">
        <v>13</v>
      </c>
      <c r="P1" s="18" t="s">
        <v>14</v>
      </c>
      <c r="Q1" s="18" t="s">
        <v>15</v>
      </c>
      <c r="R1" s="18" t="s">
        <v>16</v>
      </c>
      <c r="S1" s="18" t="s">
        <v>354</v>
      </c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</row>
    <row r="2" spans="1:35" ht="15.75" customHeight="1" x14ac:dyDescent="0.4">
      <c r="A2" s="20" t="s">
        <v>3</v>
      </c>
      <c r="B2" s="20" t="s">
        <v>1</v>
      </c>
      <c r="C2" s="19"/>
      <c r="D2" s="19"/>
      <c r="E2" s="19" t="s">
        <v>26</v>
      </c>
      <c r="F2" s="19" t="s">
        <v>75</v>
      </c>
      <c r="G2" s="19" t="s">
        <v>355</v>
      </c>
      <c r="H2" s="19" t="s">
        <v>356</v>
      </c>
      <c r="I2" s="21">
        <v>45355</v>
      </c>
      <c r="J2" s="21">
        <v>45355</v>
      </c>
      <c r="K2" s="19" t="s">
        <v>85</v>
      </c>
      <c r="L2" s="19" t="s">
        <v>113</v>
      </c>
      <c r="M2" s="19" t="s">
        <v>95</v>
      </c>
      <c r="N2" s="19">
        <v>6.5</v>
      </c>
      <c r="O2" s="19" t="s">
        <v>97</v>
      </c>
      <c r="P2" s="19">
        <v>1</v>
      </c>
      <c r="Q2" s="19">
        <v>2</v>
      </c>
      <c r="R2" s="19">
        <v>2</v>
      </c>
      <c r="S2" s="19">
        <v>1.5</v>
      </c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</row>
    <row r="3" spans="1:35" ht="15.75" customHeight="1" x14ac:dyDescent="0.4">
      <c r="A3" s="19" t="s">
        <v>63</v>
      </c>
      <c r="B3" s="19">
        <f>COUNTIF($H$2:$H996,"Loretta Mack")</f>
        <v>10</v>
      </c>
      <c r="C3" s="19"/>
      <c r="D3" s="19"/>
      <c r="E3" s="19" t="s">
        <v>26</v>
      </c>
      <c r="F3" s="19" t="s">
        <v>209</v>
      </c>
      <c r="G3" s="19" t="s">
        <v>357</v>
      </c>
      <c r="H3" s="19" t="s">
        <v>356</v>
      </c>
      <c r="I3" s="21">
        <v>45355</v>
      </c>
      <c r="J3" s="21">
        <v>45356</v>
      </c>
      <c r="K3" s="19" t="s">
        <v>78</v>
      </c>
      <c r="L3" s="19" t="s">
        <v>107</v>
      </c>
      <c r="M3" s="19" t="s">
        <v>108</v>
      </c>
      <c r="N3" s="19">
        <v>9</v>
      </c>
      <c r="O3" s="19" t="s">
        <v>91</v>
      </c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</row>
    <row r="4" spans="1:35" ht="15.75" customHeight="1" x14ac:dyDescent="0.4">
      <c r="A4" s="19" t="s">
        <v>64</v>
      </c>
      <c r="B4" s="19">
        <f>COUNTIF($H$2:$H996,"Sarah Flores")</f>
        <v>10</v>
      </c>
      <c r="C4" s="19"/>
      <c r="D4" s="19"/>
      <c r="E4" s="19" t="s">
        <v>26</v>
      </c>
      <c r="F4" s="19" t="s">
        <v>142</v>
      </c>
      <c r="G4" s="19" t="s">
        <v>358</v>
      </c>
      <c r="H4" s="19" t="s">
        <v>356</v>
      </c>
      <c r="I4" s="21">
        <v>45355</v>
      </c>
      <c r="J4" s="21">
        <v>45355</v>
      </c>
      <c r="K4" s="19" t="s">
        <v>85</v>
      </c>
      <c r="L4" s="19" t="s">
        <v>113</v>
      </c>
      <c r="M4" s="19" t="s">
        <v>95</v>
      </c>
      <c r="N4" s="19">
        <v>6</v>
      </c>
      <c r="O4" s="19" t="s">
        <v>97</v>
      </c>
      <c r="P4" s="19">
        <v>1</v>
      </c>
      <c r="Q4" s="19">
        <v>2</v>
      </c>
      <c r="R4" s="19">
        <v>1.5</v>
      </c>
      <c r="S4" s="19">
        <v>1.5</v>
      </c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</row>
    <row r="5" spans="1:35" ht="15.75" customHeight="1" x14ac:dyDescent="0.4">
      <c r="A5" s="19" t="s">
        <v>65</v>
      </c>
      <c r="B5" s="19">
        <f>COUNTIF($H$2:$H996,"Velma Guidry")</f>
        <v>10</v>
      </c>
      <c r="C5" s="19"/>
      <c r="D5" s="19"/>
      <c r="E5" s="19" t="s">
        <v>26</v>
      </c>
      <c r="F5" s="19" t="s">
        <v>92</v>
      </c>
      <c r="G5" s="19" t="s">
        <v>359</v>
      </c>
      <c r="H5" s="19" t="s">
        <v>356</v>
      </c>
      <c r="I5" s="21">
        <v>45356</v>
      </c>
      <c r="J5" s="21">
        <v>45356</v>
      </c>
      <c r="K5" s="19" t="s">
        <v>85</v>
      </c>
      <c r="L5" s="19" t="s">
        <v>115</v>
      </c>
      <c r="M5" s="19" t="s">
        <v>117</v>
      </c>
      <c r="N5" s="19">
        <v>8.5</v>
      </c>
      <c r="O5" s="19" t="s">
        <v>91</v>
      </c>
      <c r="P5" s="19">
        <v>2</v>
      </c>
      <c r="Q5" s="19">
        <v>3</v>
      </c>
      <c r="R5" s="19">
        <v>3.5</v>
      </c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</row>
    <row r="6" spans="1:35" ht="15.75" customHeight="1" x14ac:dyDescent="0.4">
      <c r="A6" s="19" t="s">
        <v>66</v>
      </c>
      <c r="B6" s="19">
        <f>COUNTIF($H$2:$H996,"Pamela Kemajou")</f>
        <v>10</v>
      </c>
      <c r="C6" s="19"/>
      <c r="D6" s="19"/>
      <c r="E6" s="19" t="s">
        <v>26</v>
      </c>
      <c r="F6" s="19" t="s">
        <v>209</v>
      </c>
      <c r="G6" s="19" t="s">
        <v>360</v>
      </c>
      <c r="H6" s="19" t="s">
        <v>356</v>
      </c>
      <c r="I6" s="21">
        <v>45356</v>
      </c>
      <c r="J6" s="21">
        <v>45356</v>
      </c>
      <c r="K6" s="19" t="s">
        <v>85</v>
      </c>
      <c r="L6" s="19" t="s">
        <v>115</v>
      </c>
      <c r="M6" s="19" t="s">
        <v>80</v>
      </c>
      <c r="N6" s="19">
        <v>9</v>
      </c>
      <c r="O6" s="19" t="s">
        <v>91</v>
      </c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</row>
    <row r="7" spans="1:35" ht="15.75" customHeight="1" x14ac:dyDescent="0.4">
      <c r="A7" s="18" t="s">
        <v>29</v>
      </c>
      <c r="B7" s="18">
        <f>SUM(B3:B6)</f>
        <v>40</v>
      </c>
      <c r="C7" s="19"/>
      <c r="D7" s="19"/>
      <c r="E7" s="19" t="s">
        <v>26</v>
      </c>
      <c r="F7" s="19" t="s">
        <v>75</v>
      </c>
      <c r="G7" s="19" t="s">
        <v>361</v>
      </c>
      <c r="H7" s="19" t="s">
        <v>356</v>
      </c>
      <c r="I7" s="21">
        <v>45357</v>
      </c>
      <c r="J7" s="21">
        <v>45359</v>
      </c>
      <c r="K7" s="19" t="s">
        <v>85</v>
      </c>
      <c r="L7" s="19" t="s">
        <v>107</v>
      </c>
      <c r="M7" s="19" t="s">
        <v>117</v>
      </c>
      <c r="N7" s="19">
        <v>6.5</v>
      </c>
      <c r="O7" s="19" t="s">
        <v>97</v>
      </c>
      <c r="P7" s="19">
        <v>1</v>
      </c>
      <c r="Q7" s="19">
        <v>2</v>
      </c>
      <c r="R7" s="19">
        <v>2</v>
      </c>
      <c r="S7" s="19">
        <v>1.5</v>
      </c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</row>
    <row r="8" spans="1:35" ht="15.75" customHeight="1" x14ac:dyDescent="0.4">
      <c r="A8" s="19"/>
      <c r="B8" s="19"/>
      <c r="C8" s="19"/>
      <c r="D8" s="19"/>
      <c r="E8" s="19" t="s">
        <v>26</v>
      </c>
      <c r="F8" s="19" t="s">
        <v>75</v>
      </c>
      <c r="G8" s="19" t="s">
        <v>362</v>
      </c>
      <c r="H8" s="19" t="s">
        <v>356</v>
      </c>
      <c r="I8" s="21">
        <v>45357</v>
      </c>
      <c r="J8" s="21"/>
      <c r="K8" s="19" t="s">
        <v>78</v>
      </c>
      <c r="L8" s="19" t="s">
        <v>107</v>
      </c>
      <c r="M8" s="19" t="s">
        <v>80</v>
      </c>
      <c r="N8" s="19">
        <v>5</v>
      </c>
      <c r="O8" s="19" t="s">
        <v>81</v>
      </c>
      <c r="P8" s="19">
        <v>1</v>
      </c>
      <c r="Q8" s="19">
        <v>1.5</v>
      </c>
      <c r="R8" s="19">
        <v>1.5</v>
      </c>
      <c r="S8" s="19">
        <v>1</v>
      </c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</row>
    <row r="9" spans="1:35" ht="15.75" customHeight="1" x14ac:dyDescent="0.4">
      <c r="A9" s="19"/>
      <c r="B9" s="19"/>
      <c r="C9" s="19"/>
      <c r="D9" s="19"/>
      <c r="E9" s="19" t="s">
        <v>26</v>
      </c>
      <c r="F9" s="19" t="s">
        <v>92</v>
      </c>
      <c r="G9" s="19" t="s">
        <v>363</v>
      </c>
      <c r="H9" s="19" t="s">
        <v>356</v>
      </c>
      <c r="I9" s="21">
        <v>45358</v>
      </c>
      <c r="J9" s="21">
        <v>45358</v>
      </c>
      <c r="K9" s="19" t="s">
        <v>85</v>
      </c>
      <c r="L9" s="19" t="s">
        <v>115</v>
      </c>
      <c r="M9" s="19" t="s">
        <v>95</v>
      </c>
      <c r="N9" s="19">
        <v>5</v>
      </c>
      <c r="O9" s="19" t="s">
        <v>81</v>
      </c>
      <c r="P9" s="19">
        <v>2</v>
      </c>
      <c r="Q9" s="19">
        <v>1.5</v>
      </c>
      <c r="R9" s="19">
        <v>1.5</v>
      </c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</row>
    <row r="10" spans="1:35" ht="15.75" customHeight="1" x14ac:dyDescent="0.4">
      <c r="A10" s="20" t="s">
        <v>13</v>
      </c>
      <c r="B10" s="20" t="s">
        <v>104</v>
      </c>
      <c r="C10" s="20" t="s">
        <v>105</v>
      </c>
      <c r="D10" s="19"/>
      <c r="E10" s="19" t="s">
        <v>26</v>
      </c>
      <c r="F10" s="19" t="s">
        <v>210</v>
      </c>
      <c r="G10" s="19" t="s">
        <v>364</v>
      </c>
      <c r="H10" s="19" t="s">
        <v>356</v>
      </c>
      <c r="I10" s="21">
        <v>45358</v>
      </c>
      <c r="J10" s="21"/>
      <c r="K10" s="19" t="s">
        <v>85</v>
      </c>
      <c r="L10" s="19" t="s">
        <v>113</v>
      </c>
      <c r="M10" s="19" t="s">
        <v>213</v>
      </c>
      <c r="N10" s="19">
        <v>6</v>
      </c>
      <c r="O10" s="19" t="s">
        <v>97</v>
      </c>
      <c r="P10" s="19">
        <v>2</v>
      </c>
      <c r="Q10" s="19">
        <v>2</v>
      </c>
      <c r="R10" s="19">
        <v>2</v>
      </c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</row>
    <row r="11" spans="1:35" ht="15.75" customHeight="1" x14ac:dyDescent="0.4">
      <c r="A11" s="19" t="s">
        <v>109</v>
      </c>
      <c r="B11" s="22">
        <f>C11/B7</f>
        <v>0.77500000000000002</v>
      </c>
      <c r="C11" s="19">
        <f>(COUNTIF($O$2:$O996,"Proficient I"))+(COUNTIF($O$2:$O996,"Proficient II"))+(COUNTIF($O$2:$O996,"Exemplary"))</f>
        <v>31</v>
      </c>
      <c r="D11" s="19"/>
      <c r="E11" s="19" t="s">
        <v>26</v>
      </c>
      <c r="F11" s="19" t="s">
        <v>75</v>
      </c>
      <c r="G11" s="19" t="s">
        <v>365</v>
      </c>
      <c r="H11" s="19" t="s">
        <v>356</v>
      </c>
      <c r="I11" s="21">
        <v>45359</v>
      </c>
      <c r="J11" s="21"/>
      <c r="K11" s="19" t="s">
        <v>78</v>
      </c>
      <c r="L11" s="19" t="s">
        <v>115</v>
      </c>
      <c r="M11" s="19" t="s">
        <v>80</v>
      </c>
      <c r="N11" s="19">
        <v>6</v>
      </c>
      <c r="O11" s="19" t="s">
        <v>97</v>
      </c>
      <c r="P11" s="19">
        <v>1</v>
      </c>
      <c r="Q11" s="19">
        <v>1.5</v>
      </c>
      <c r="R11" s="19">
        <v>2</v>
      </c>
      <c r="S11" s="19">
        <v>1.5</v>
      </c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</row>
    <row r="12" spans="1:35" ht="15.75" customHeight="1" x14ac:dyDescent="0.4">
      <c r="A12" s="19" t="s">
        <v>111</v>
      </c>
      <c r="B12" s="22">
        <f>C12/B7</f>
        <v>0.22500000000000001</v>
      </c>
      <c r="C12" s="19">
        <f>(COUNTIF($O$2:$O996,"Unsatisfactory"))+(COUNTIF($O$2:$O996,"Progressing"))</f>
        <v>9</v>
      </c>
      <c r="D12" s="19"/>
      <c r="E12" s="19" t="s">
        <v>26</v>
      </c>
      <c r="F12" s="19" t="s">
        <v>75</v>
      </c>
      <c r="G12" s="19" t="s">
        <v>361</v>
      </c>
      <c r="H12" s="19" t="s">
        <v>366</v>
      </c>
      <c r="I12" s="21">
        <v>45355</v>
      </c>
      <c r="J12" s="21">
        <v>45357</v>
      </c>
      <c r="K12" s="19" t="s">
        <v>78</v>
      </c>
      <c r="L12" s="19" t="s">
        <v>107</v>
      </c>
      <c r="M12" s="19" t="s">
        <v>117</v>
      </c>
      <c r="N12" s="19">
        <v>6.5</v>
      </c>
      <c r="O12" s="19" t="s">
        <v>97</v>
      </c>
      <c r="P12" s="19">
        <v>1</v>
      </c>
      <c r="Q12" s="19">
        <v>2</v>
      </c>
      <c r="R12" s="19">
        <v>1.5</v>
      </c>
      <c r="S12" s="19">
        <v>2</v>
      </c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</row>
    <row r="13" spans="1:35" ht="15.75" customHeight="1" x14ac:dyDescent="0.4">
      <c r="A13" s="19"/>
      <c r="B13" s="19"/>
      <c r="C13" s="19"/>
      <c r="D13" s="19"/>
      <c r="E13" s="19" t="s">
        <v>26</v>
      </c>
      <c r="F13" s="19" t="s">
        <v>75</v>
      </c>
      <c r="G13" s="19" t="s">
        <v>367</v>
      </c>
      <c r="H13" s="19" t="s">
        <v>366</v>
      </c>
      <c r="I13" s="21">
        <v>45356</v>
      </c>
      <c r="J13" s="21">
        <v>45357</v>
      </c>
      <c r="K13" s="19" t="s">
        <v>85</v>
      </c>
      <c r="L13" s="19" t="s">
        <v>107</v>
      </c>
      <c r="M13" s="19" t="s">
        <v>108</v>
      </c>
      <c r="N13" s="19">
        <v>7.5</v>
      </c>
      <c r="O13" s="19" t="s">
        <v>97</v>
      </c>
      <c r="P13" s="19">
        <v>1</v>
      </c>
      <c r="Q13" s="19">
        <v>2.5</v>
      </c>
      <c r="R13" s="19">
        <v>2.5</v>
      </c>
      <c r="S13" s="19">
        <v>1.5</v>
      </c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</row>
    <row r="14" spans="1:35" ht="15.75" customHeight="1" x14ac:dyDescent="0.4">
      <c r="A14" s="19"/>
      <c r="B14" s="19"/>
      <c r="C14" s="19"/>
      <c r="D14" s="19"/>
      <c r="E14" s="19" t="s">
        <v>26</v>
      </c>
      <c r="F14" s="19" t="s">
        <v>75</v>
      </c>
      <c r="G14" s="19" t="s">
        <v>368</v>
      </c>
      <c r="H14" s="19" t="s">
        <v>366</v>
      </c>
      <c r="I14" s="21">
        <v>45356</v>
      </c>
      <c r="J14" s="21"/>
      <c r="K14" s="19" t="s">
        <v>85</v>
      </c>
      <c r="L14" s="19" t="s">
        <v>107</v>
      </c>
      <c r="M14" s="19" t="s">
        <v>119</v>
      </c>
      <c r="N14" s="19">
        <v>7</v>
      </c>
      <c r="O14" s="19" t="s">
        <v>97</v>
      </c>
      <c r="P14" s="19">
        <v>1</v>
      </c>
      <c r="Q14" s="19">
        <v>2</v>
      </c>
      <c r="R14" s="19">
        <v>2.5</v>
      </c>
      <c r="S14" s="19">
        <v>1.5</v>
      </c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</row>
    <row r="15" spans="1:35" ht="15.75" customHeight="1" x14ac:dyDescent="0.4">
      <c r="A15" s="19"/>
      <c r="B15" s="19"/>
      <c r="C15" s="19"/>
      <c r="D15" s="19"/>
      <c r="E15" s="19" t="s">
        <v>26</v>
      </c>
      <c r="F15" s="19" t="s">
        <v>241</v>
      </c>
      <c r="G15" s="19" t="s">
        <v>369</v>
      </c>
      <c r="H15" s="19" t="s">
        <v>366</v>
      </c>
      <c r="I15" s="21">
        <v>45356</v>
      </c>
      <c r="J15" s="21">
        <v>45356</v>
      </c>
      <c r="K15" s="19" t="s">
        <v>85</v>
      </c>
      <c r="L15" s="19" t="s">
        <v>107</v>
      </c>
      <c r="M15" s="19"/>
      <c r="N15" s="19">
        <v>4.5</v>
      </c>
      <c r="O15" s="19" t="s">
        <v>81</v>
      </c>
      <c r="P15" s="19">
        <v>1</v>
      </c>
      <c r="Q15" s="19">
        <v>1.5</v>
      </c>
      <c r="R15" s="19">
        <v>0</v>
      </c>
      <c r="S15" s="19">
        <v>2</v>
      </c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</row>
    <row r="16" spans="1:35" ht="15.75" customHeight="1" x14ac:dyDescent="0.4">
      <c r="A16" s="19"/>
      <c r="B16" s="19"/>
      <c r="C16" s="19"/>
      <c r="D16" s="19"/>
      <c r="E16" s="19" t="s">
        <v>26</v>
      </c>
      <c r="F16" s="19" t="s">
        <v>142</v>
      </c>
      <c r="G16" s="19" t="s">
        <v>370</v>
      </c>
      <c r="H16" s="19" t="s">
        <v>366</v>
      </c>
      <c r="I16" s="21">
        <v>45356</v>
      </c>
      <c r="J16" s="21"/>
      <c r="K16" s="19" t="s">
        <v>85</v>
      </c>
      <c r="L16" s="19" t="s">
        <v>107</v>
      </c>
      <c r="M16" s="19" t="s">
        <v>95</v>
      </c>
      <c r="N16" s="19">
        <v>6</v>
      </c>
      <c r="O16" s="19" t="s">
        <v>97</v>
      </c>
      <c r="P16" s="19">
        <v>1</v>
      </c>
      <c r="Q16" s="19">
        <v>1.5</v>
      </c>
      <c r="R16" s="19">
        <v>1.5</v>
      </c>
      <c r="S16" s="19">
        <v>2</v>
      </c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</row>
    <row r="17" spans="1:35" ht="15.75" customHeight="1" x14ac:dyDescent="0.4">
      <c r="A17" s="19"/>
      <c r="B17" s="19"/>
      <c r="C17" s="19"/>
      <c r="D17" s="19"/>
      <c r="E17" s="19" t="s">
        <v>26</v>
      </c>
      <c r="F17" s="19" t="s">
        <v>75</v>
      </c>
      <c r="G17" s="19" t="s">
        <v>371</v>
      </c>
      <c r="H17" s="19" t="s">
        <v>366</v>
      </c>
      <c r="I17" s="21">
        <v>45357</v>
      </c>
      <c r="J17" s="21">
        <v>45357</v>
      </c>
      <c r="K17" s="19" t="s">
        <v>85</v>
      </c>
      <c r="L17" s="19" t="s">
        <v>107</v>
      </c>
      <c r="M17" s="19" t="s">
        <v>95</v>
      </c>
      <c r="N17" s="19">
        <v>5.5</v>
      </c>
      <c r="O17" s="19" t="s">
        <v>81</v>
      </c>
      <c r="P17" s="19">
        <v>1</v>
      </c>
      <c r="Q17" s="19">
        <v>1.5</v>
      </c>
      <c r="R17" s="19">
        <v>1.5</v>
      </c>
      <c r="S17" s="19">
        <v>1.5</v>
      </c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</row>
    <row r="18" spans="1:35" ht="15.75" customHeight="1" x14ac:dyDescent="0.4">
      <c r="A18" s="19"/>
      <c r="B18" s="19"/>
      <c r="C18" s="19"/>
      <c r="D18" s="19"/>
      <c r="E18" s="19" t="s">
        <v>26</v>
      </c>
      <c r="F18" s="19" t="s">
        <v>75</v>
      </c>
      <c r="G18" s="19" t="s">
        <v>372</v>
      </c>
      <c r="H18" s="19" t="s">
        <v>366</v>
      </c>
      <c r="I18" s="21">
        <v>45358</v>
      </c>
      <c r="J18" s="21"/>
      <c r="K18" s="19" t="s">
        <v>85</v>
      </c>
      <c r="L18" s="19" t="s">
        <v>107</v>
      </c>
      <c r="M18" s="19" t="s">
        <v>80</v>
      </c>
      <c r="N18" s="19">
        <v>5.5</v>
      </c>
      <c r="O18" s="19" t="s">
        <v>81</v>
      </c>
      <c r="P18" s="19">
        <v>1</v>
      </c>
      <c r="Q18" s="19">
        <v>1.5</v>
      </c>
      <c r="R18" s="19">
        <v>1.5</v>
      </c>
      <c r="S18" s="19">
        <v>1.5</v>
      </c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</row>
    <row r="19" spans="1:35" ht="15.75" customHeight="1" x14ac:dyDescent="0.4">
      <c r="A19" s="19"/>
      <c r="B19" s="19"/>
      <c r="C19" s="19"/>
      <c r="D19" s="19"/>
      <c r="E19" s="19" t="s">
        <v>26</v>
      </c>
      <c r="F19" s="19" t="s">
        <v>75</v>
      </c>
      <c r="G19" s="19" t="s">
        <v>373</v>
      </c>
      <c r="H19" s="19" t="s">
        <v>366</v>
      </c>
      <c r="I19" s="21">
        <v>45358</v>
      </c>
      <c r="J19" s="21"/>
      <c r="K19" s="19" t="s">
        <v>78</v>
      </c>
      <c r="L19" s="19" t="s">
        <v>107</v>
      </c>
      <c r="M19" s="19" t="s">
        <v>95</v>
      </c>
      <c r="N19" s="19">
        <v>7</v>
      </c>
      <c r="O19" s="19" t="s">
        <v>97</v>
      </c>
      <c r="P19" s="19">
        <v>1</v>
      </c>
      <c r="Q19" s="19">
        <v>2</v>
      </c>
      <c r="R19" s="19">
        <v>2</v>
      </c>
      <c r="S19" s="19">
        <v>2</v>
      </c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</row>
    <row r="20" spans="1:35" ht="15.75" customHeight="1" x14ac:dyDescent="0.4">
      <c r="A20" s="19"/>
      <c r="B20" s="19"/>
      <c r="C20" s="19"/>
      <c r="D20" s="19"/>
      <c r="E20" s="19" t="s">
        <v>26</v>
      </c>
      <c r="F20" s="19" t="s">
        <v>210</v>
      </c>
      <c r="G20" s="19" t="s">
        <v>374</v>
      </c>
      <c r="H20" s="19" t="s">
        <v>366</v>
      </c>
      <c r="I20" s="21">
        <v>45358</v>
      </c>
      <c r="J20" s="21">
        <v>45358</v>
      </c>
      <c r="K20" s="19" t="s">
        <v>85</v>
      </c>
      <c r="L20" s="19" t="s">
        <v>107</v>
      </c>
      <c r="M20" s="19" t="s">
        <v>213</v>
      </c>
      <c r="N20" s="19">
        <v>6</v>
      </c>
      <c r="O20" s="19" t="s">
        <v>97</v>
      </c>
      <c r="P20" s="19">
        <v>2</v>
      </c>
      <c r="Q20" s="19">
        <v>2</v>
      </c>
      <c r="R20" s="19">
        <v>2</v>
      </c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</row>
    <row r="21" spans="1:35" ht="15.75" customHeight="1" x14ac:dyDescent="0.4">
      <c r="A21" s="19"/>
      <c r="B21" s="19"/>
      <c r="C21" s="19"/>
      <c r="D21" s="19"/>
      <c r="E21" s="19" t="s">
        <v>26</v>
      </c>
      <c r="F21" s="19" t="s">
        <v>209</v>
      </c>
      <c r="G21" s="19" t="s">
        <v>357</v>
      </c>
      <c r="H21" s="19" t="s">
        <v>366</v>
      </c>
      <c r="I21" s="21">
        <v>45358</v>
      </c>
      <c r="J21" s="21">
        <v>45358</v>
      </c>
      <c r="K21" s="19" t="s">
        <v>85</v>
      </c>
      <c r="L21" s="19" t="s">
        <v>107</v>
      </c>
      <c r="M21" s="19" t="s">
        <v>95</v>
      </c>
      <c r="N21" s="19">
        <v>6</v>
      </c>
      <c r="O21" s="19" t="s">
        <v>97</v>
      </c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</row>
    <row r="22" spans="1:35" ht="15.75" customHeight="1" x14ac:dyDescent="0.4">
      <c r="A22" s="19"/>
      <c r="B22" s="19"/>
      <c r="C22" s="19"/>
      <c r="D22" s="19"/>
      <c r="E22" s="19" t="s">
        <v>26</v>
      </c>
      <c r="F22" s="19" t="s">
        <v>92</v>
      </c>
      <c r="G22" s="19" t="s">
        <v>375</v>
      </c>
      <c r="H22" s="19" t="s">
        <v>376</v>
      </c>
      <c r="I22" s="21">
        <v>45355</v>
      </c>
      <c r="J22" s="21">
        <v>45355</v>
      </c>
      <c r="K22" s="19" t="s">
        <v>85</v>
      </c>
      <c r="L22" s="19" t="s">
        <v>115</v>
      </c>
      <c r="M22" s="19" t="s">
        <v>95</v>
      </c>
      <c r="N22" s="19">
        <v>5.5</v>
      </c>
      <c r="O22" s="19" t="s">
        <v>81</v>
      </c>
      <c r="P22" s="19">
        <v>2</v>
      </c>
      <c r="Q22" s="19">
        <v>1.5</v>
      </c>
      <c r="R22" s="19">
        <v>2</v>
      </c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</row>
    <row r="23" spans="1:35" ht="15.75" customHeight="1" x14ac:dyDescent="0.4">
      <c r="A23" s="19"/>
      <c r="B23" s="19"/>
      <c r="C23" s="19"/>
      <c r="D23" s="19"/>
      <c r="E23" s="19" t="s">
        <v>26</v>
      </c>
      <c r="F23" s="19" t="s">
        <v>75</v>
      </c>
      <c r="G23" s="19" t="s">
        <v>365</v>
      </c>
      <c r="H23" s="19" t="s">
        <v>376</v>
      </c>
      <c r="I23" s="21">
        <v>45355</v>
      </c>
      <c r="J23" s="21">
        <v>45355</v>
      </c>
      <c r="K23" s="19" t="s">
        <v>85</v>
      </c>
      <c r="L23" s="19" t="s">
        <v>115</v>
      </c>
      <c r="M23" s="19" t="s">
        <v>80</v>
      </c>
      <c r="N23" s="19">
        <v>6.5</v>
      </c>
      <c r="O23" s="19" t="s">
        <v>97</v>
      </c>
      <c r="P23" s="19">
        <v>1</v>
      </c>
      <c r="Q23" s="19">
        <v>1.5</v>
      </c>
      <c r="R23" s="19">
        <v>2.5</v>
      </c>
      <c r="S23" s="19">
        <v>1.5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</row>
    <row r="24" spans="1:35" ht="15.75" customHeight="1" x14ac:dyDescent="0.4">
      <c r="A24" s="19"/>
      <c r="B24" s="19"/>
      <c r="C24" s="19"/>
      <c r="D24" s="19"/>
      <c r="E24" s="19" t="s">
        <v>26</v>
      </c>
      <c r="F24" s="19" t="s">
        <v>89</v>
      </c>
      <c r="G24" s="19" t="s">
        <v>360</v>
      </c>
      <c r="H24" s="19" t="s">
        <v>376</v>
      </c>
      <c r="I24" s="21">
        <v>45355</v>
      </c>
      <c r="J24" s="21">
        <v>45356</v>
      </c>
      <c r="K24" s="19" t="s">
        <v>78</v>
      </c>
      <c r="L24" s="19"/>
      <c r="M24" s="19"/>
      <c r="N24" s="19">
        <v>8</v>
      </c>
      <c r="O24" s="19" t="s">
        <v>91</v>
      </c>
      <c r="P24" s="19">
        <v>2</v>
      </c>
      <c r="Q24" s="19">
        <v>3.5</v>
      </c>
      <c r="R24" s="19">
        <v>2.5</v>
      </c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</row>
    <row r="25" spans="1:35" ht="15.75" customHeight="1" x14ac:dyDescent="0.4">
      <c r="A25" s="19"/>
      <c r="B25" s="19"/>
      <c r="C25" s="19"/>
      <c r="D25" s="19"/>
      <c r="E25" s="19" t="s">
        <v>26</v>
      </c>
      <c r="F25" s="19" t="s">
        <v>92</v>
      </c>
      <c r="G25" s="19" t="s">
        <v>377</v>
      </c>
      <c r="H25" s="19" t="s">
        <v>376</v>
      </c>
      <c r="I25" s="21">
        <v>45356</v>
      </c>
      <c r="J25" s="21">
        <v>45356</v>
      </c>
      <c r="K25" s="19" t="s">
        <v>85</v>
      </c>
      <c r="L25" s="19" t="s">
        <v>115</v>
      </c>
      <c r="M25" s="19" t="s">
        <v>108</v>
      </c>
      <c r="N25" s="19">
        <v>6</v>
      </c>
      <c r="O25" s="19" t="s">
        <v>97</v>
      </c>
      <c r="P25" s="19">
        <v>2</v>
      </c>
      <c r="Q25" s="19">
        <v>2</v>
      </c>
      <c r="R25" s="19">
        <v>2</v>
      </c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</row>
    <row r="26" spans="1:35" ht="15.75" customHeight="1" x14ac:dyDescent="0.4">
      <c r="A26" s="19"/>
      <c r="B26" s="19"/>
      <c r="C26" s="19"/>
      <c r="D26" s="19"/>
      <c r="E26" s="19" t="s">
        <v>26</v>
      </c>
      <c r="F26" s="19" t="s">
        <v>75</v>
      </c>
      <c r="G26" s="19" t="s">
        <v>378</v>
      </c>
      <c r="H26" s="19" t="s">
        <v>376</v>
      </c>
      <c r="I26" s="21">
        <v>45356</v>
      </c>
      <c r="J26" s="21">
        <v>45356</v>
      </c>
      <c r="K26" s="19" t="s">
        <v>78</v>
      </c>
      <c r="L26" s="19" t="s">
        <v>115</v>
      </c>
      <c r="M26" s="19" t="s">
        <v>95</v>
      </c>
      <c r="N26" s="19">
        <v>5</v>
      </c>
      <c r="O26" s="19" t="s">
        <v>81</v>
      </c>
      <c r="P26" s="19">
        <v>1</v>
      </c>
      <c r="Q26" s="19">
        <v>1.5</v>
      </c>
      <c r="R26" s="19">
        <v>1.5</v>
      </c>
      <c r="S26" s="19">
        <v>1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</row>
    <row r="27" spans="1:35" ht="15.75" customHeight="1" x14ac:dyDescent="0.4">
      <c r="A27" s="19"/>
      <c r="B27" s="19"/>
      <c r="C27" s="19"/>
      <c r="D27" s="19"/>
      <c r="E27" s="19" t="s">
        <v>26</v>
      </c>
      <c r="F27" s="19" t="s">
        <v>92</v>
      </c>
      <c r="G27" s="19" t="s">
        <v>379</v>
      </c>
      <c r="H27" s="19" t="s">
        <v>376</v>
      </c>
      <c r="I27" s="21">
        <v>45357</v>
      </c>
      <c r="J27" s="21">
        <v>45357</v>
      </c>
      <c r="K27" s="19" t="s">
        <v>78</v>
      </c>
      <c r="L27" s="19" t="s">
        <v>115</v>
      </c>
      <c r="M27" s="19" t="s">
        <v>108</v>
      </c>
      <c r="N27" s="19">
        <v>6.5</v>
      </c>
      <c r="O27" s="19" t="s">
        <v>97</v>
      </c>
      <c r="P27" s="19">
        <v>2</v>
      </c>
      <c r="Q27" s="19">
        <v>2.5</v>
      </c>
      <c r="R27" s="19">
        <v>2</v>
      </c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</row>
    <row r="28" spans="1:35" ht="15.75" customHeight="1" x14ac:dyDescent="0.4">
      <c r="A28" s="19"/>
      <c r="B28" s="19"/>
      <c r="C28" s="19"/>
      <c r="D28" s="19"/>
      <c r="E28" s="19" t="s">
        <v>26</v>
      </c>
      <c r="F28" s="19" t="s">
        <v>92</v>
      </c>
      <c r="G28" s="19" t="s">
        <v>363</v>
      </c>
      <c r="H28" s="19" t="s">
        <v>376</v>
      </c>
      <c r="I28" s="21">
        <v>45357</v>
      </c>
      <c r="J28" s="21">
        <v>45357</v>
      </c>
      <c r="K28" s="19" t="s">
        <v>85</v>
      </c>
      <c r="L28" s="19" t="s">
        <v>115</v>
      </c>
      <c r="M28" s="19" t="s">
        <v>95</v>
      </c>
      <c r="N28" s="19">
        <v>6</v>
      </c>
      <c r="O28" s="19" t="s">
        <v>97</v>
      </c>
      <c r="P28" s="19">
        <v>2</v>
      </c>
      <c r="Q28" s="19">
        <v>2</v>
      </c>
      <c r="R28" s="19">
        <v>2</v>
      </c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</row>
    <row r="29" spans="1:35" ht="15.75" customHeight="1" x14ac:dyDescent="0.4">
      <c r="A29" s="19"/>
      <c r="B29" s="19"/>
      <c r="C29" s="19"/>
      <c r="D29" s="19"/>
      <c r="E29" s="19" t="s">
        <v>26</v>
      </c>
      <c r="F29" s="19" t="s">
        <v>75</v>
      </c>
      <c r="G29" s="19" t="s">
        <v>380</v>
      </c>
      <c r="H29" s="19" t="s">
        <v>376</v>
      </c>
      <c r="I29" s="21">
        <v>45357</v>
      </c>
      <c r="J29" s="21">
        <v>45358</v>
      </c>
      <c r="K29" s="19" t="s">
        <v>78</v>
      </c>
      <c r="L29" s="19" t="s">
        <v>115</v>
      </c>
      <c r="M29" s="19" t="s">
        <v>80</v>
      </c>
      <c r="N29" s="19">
        <v>8</v>
      </c>
      <c r="O29" s="19" t="s">
        <v>91</v>
      </c>
      <c r="P29" s="19">
        <v>1</v>
      </c>
      <c r="Q29" s="19">
        <v>2.5</v>
      </c>
      <c r="R29" s="19">
        <v>3</v>
      </c>
      <c r="S29" s="19">
        <v>1.5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</row>
    <row r="30" spans="1:35" ht="15.75" customHeight="1" x14ac:dyDescent="0.4">
      <c r="A30" s="19"/>
      <c r="B30" s="19"/>
      <c r="C30" s="19"/>
      <c r="D30" s="19"/>
      <c r="E30" s="19" t="s">
        <v>26</v>
      </c>
      <c r="F30" s="19" t="s">
        <v>89</v>
      </c>
      <c r="G30" s="19" t="s">
        <v>360</v>
      </c>
      <c r="H30" s="19" t="s">
        <v>376</v>
      </c>
      <c r="I30" s="21">
        <v>45358</v>
      </c>
      <c r="J30" s="21">
        <v>45358</v>
      </c>
      <c r="K30" s="19" t="s">
        <v>78</v>
      </c>
      <c r="L30" s="19"/>
      <c r="M30" s="19"/>
      <c r="N30" s="19">
        <v>8.5</v>
      </c>
      <c r="O30" s="19" t="s">
        <v>91</v>
      </c>
      <c r="P30" s="19">
        <v>2</v>
      </c>
      <c r="Q30" s="19">
        <v>4.5</v>
      </c>
      <c r="R30" s="19">
        <v>2</v>
      </c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</row>
    <row r="31" spans="1:35" ht="15.75" customHeight="1" x14ac:dyDescent="0.4">
      <c r="A31" s="19"/>
      <c r="B31" s="19"/>
      <c r="C31" s="19"/>
      <c r="D31" s="19"/>
      <c r="E31" s="19" t="s">
        <v>26</v>
      </c>
      <c r="F31" s="19" t="s">
        <v>89</v>
      </c>
      <c r="G31" s="19" t="s">
        <v>381</v>
      </c>
      <c r="H31" s="19" t="s">
        <v>376</v>
      </c>
      <c r="I31" s="21">
        <v>45358</v>
      </c>
      <c r="J31" s="21">
        <v>45358</v>
      </c>
      <c r="K31" s="19" t="s">
        <v>78</v>
      </c>
      <c r="L31" s="19"/>
      <c r="M31" s="19"/>
      <c r="N31" s="19">
        <v>8.5</v>
      </c>
      <c r="O31" s="19" t="s">
        <v>91</v>
      </c>
      <c r="P31" s="19">
        <v>2</v>
      </c>
      <c r="Q31" s="19">
        <v>4.5</v>
      </c>
      <c r="R31" s="19">
        <v>2</v>
      </c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</row>
    <row r="32" spans="1:35" ht="15.75" customHeight="1" x14ac:dyDescent="0.4">
      <c r="A32" s="19"/>
      <c r="B32" s="19"/>
      <c r="C32" s="19"/>
      <c r="D32" s="19"/>
      <c r="E32" s="19" t="s">
        <v>26</v>
      </c>
      <c r="F32" s="19" t="s">
        <v>92</v>
      </c>
      <c r="G32" s="19" t="s">
        <v>382</v>
      </c>
      <c r="H32" s="19" t="s">
        <v>383</v>
      </c>
      <c r="I32" s="21">
        <v>45355</v>
      </c>
      <c r="J32" s="21">
        <v>45358</v>
      </c>
      <c r="K32" s="19" t="s">
        <v>85</v>
      </c>
      <c r="L32" s="19" t="s">
        <v>113</v>
      </c>
      <c r="M32" s="19" t="s">
        <v>80</v>
      </c>
      <c r="N32" s="19">
        <v>6</v>
      </c>
      <c r="O32" s="19" t="s">
        <v>97</v>
      </c>
      <c r="P32" s="19">
        <v>2</v>
      </c>
      <c r="Q32" s="19">
        <v>2</v>
      </c>
      <c r="R32" s="19">
        <v>2</v>
      </c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</row>
    <row r="33" spans="1:35" ht="15.75" customHeight="1" x14ac:dyDescent="0.4">
      <c r="A33" s="19"/>
      <c r="B33" s="19"/>
      <c r="C33" s="19"/>
      <c r="D33" s="19"/>
      <c r="E33" s="19" t="s">
        <v>26</v>
      </c>
      <c r="F33" s="19" t="s">
        <v>75</v>
      </c>
      <c r="G33" s="19" t="s">
        <v>384</v>
      </c>
      <c r="H33" s="19" t="s">
        <v>383</v>
      </c>
      <c r="I33" s="21">
        <v>45356</v>
      </c>
      <c r="J33" s="21">
        <v>45358</v>
      </c>
      <c r="K33" s="19" t="s">
        <v>85</v>
      </c>
      <c r="L33" s="19" t="s">
        <v>113</v>
      </c>
      <c r="M33" s="19" t="s">
        <v>80</v>
      </c>
      <c r="N33" s="19">
        <v>6</v>
      </c>
      <c r="O33" s="19" t="s">
        <v>97</v>
      </c>
      <c r="P33" s="19">
        <v>1</v>
      </c>
      <c r="Q33" s="19">
        <v>2</v>
      </c>
      <c r="R33" s="19">
        <v>2</v>
      </c>
      <c r="S33" s="19">
        <v>1</v>
      </c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</row>
    <row r="34" spans="1:35" ht="15.75" customHeight="1" x14ac:dyDescent="0.4">
      <c r="A34" s="19"/>
      <c r="B34" s="19"/>
      <c r="C34" s="19"/>
      <c r="D34" s="19"/>
      <c r="E34" s="19" t="s">
        <v>26</v>
      </c>
      <c r="F34" s="19" t="s">
        <v>92</v>
      </c>
      <c r="G34" s="19" t="s">
        <v>385</v>
      </c>
      <c r="H34" s="19" t="s">
        <v>383</v>
      </c>
      <c r="I34" s="21">
        <v>45357</v>
      </c>
      <c r="J34" s="21"/>
      <c r="K34" s="19" t="s">
        <v>78</v>
      </c>
      <c r="L34" s="19" t="s">
        <v>113</v>
      </c>
      <c r="M34" s="19" t="s">
        <v>119</v>
      </c>
      <c r="N34" s="19">
        <v>6</v>
      </c>
      <c r="O34" s="19" t="s">
        <v>97</v>
      </c>
      <c r="P34" s="19">
        <v>2</v>
      </c>
      <c r="Q34" s="19">
        <v>2</v>
      </c>
      <c r="R34" s="19">
        <v>2</v>
      </c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</row>
    <row r="35" spans="1:35" ht="13.15" x14ac:dyDescent="0.4">
      <c r="A35" s="19"/>
      <c r="B35" s="19"/>
      <c r="C35" s="19"/>
      <c r="D35" s="19"/>
      <c r="E35" s="19" t="s">
        <v>26</v>
      </c>
      <c r="F35" s="19" t="s">
        <v>92</v>
      </c>
      <c r="G35" s="19" t="s">
        <v>386</v>
      </c>
      <c r="H35" s="19" t="s">
        <v>383</v>
      </c>
      <c r="I35" s="21">
        <v>45357</v>
      </c>
      <c r="J35" s="21"/>
      <c r="K35" s="19" t="s">
        <v>85</v>
      </c>
      <c r="L35" s="19" t="s">
        <v>113</v>
      </c>
      <c r="M35" s="19" t="s">
        <v>117</v>
      </c>
      <c r="N35" s="19">
        <v>5</v>
      </c>
      <c r="O35" s="19" t="s">
        <v>81</v>
      </c>
      <c r="P35" s="19">
        <v>1</v>
      </c>
      <c r="Q35" s="19">
        <v>2</v>
      </c>
      <c r="R35" s="19">
        <v>2</v>
      </c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</row>
    <row r="36" spans="1:35" ht="13.15" x14ac:dyDescent="0.4">
      <c r="A36" s="19"/>
      <c r="B36" s="19"/>
      <c r="C36" s="19"/>
      <c r="D36" s="19"/>
      <c r="E36" s="19" t="s">
        <v>26</v>
      </c>
      <c r="F36" s="19" t="s">
        <v>92</v>
      </c>
      <c r="G36" s="19" t="s">
        <v>387</v>
      </c>
      <c r="H36" s="19" t="s">
        <v>383</v>
      </c>
      <c r="I36" s="21">
        <v>45358</v>
      </c>
      <c r="J36" s="21"/>
      <c r="K36" s="19" t="s">
        <v>78</v>
      </c>
      <c r="L36" s="19" t="s">
        <v>113</v>
      </c>
      <c r="M36" s="19" t="s">
        <v>108</v>
      </c>
      <c r="N36" s="19">
        <v>6.5</v>
      </c>
      <c r="O36" s="19" t="s">
        <v>97</v>
      </c>
      <c r="P36" s="19">
        <v>1.5</v>
      </c>
      <c r="Q36" s="19">
        <v>2.5</v>
      </c>
      <c r="R36" s="19">
        <v>2.5</v>
      </c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</row>
    <row r="37" spans="1:35" ht="13.15" x14ac:dyDescent="0.4">
      <c r="A37" s="19"/>
      <c r="B37" s="19"/>
      <c r="C37" s="19"/>
      <c r="D37" s="19"/>
      <c r="E37" s="19" t="s">
        <v>26</v>
      </c>
      <c r="F37" s="19" t="s">
        <v>92</v>
      </c>
      <c r="G37" s="19" t="s">
        <v>358</v>
      </c>
      <c r="H37" s="19" t="s">
        <v>383</v>
      </c>
      <c r="I37" s="21">
        <v>45358</v>
      </c>
      <c r="J37" s="21"/>
      <c r="K37" s="19" t="s">
        <v>85</v>
      </c>
      <c r="L37" s="19" t="s">
        <v>113</v>
      </c>
      <c r="M37" s="19" t="s">
        <v>95</v>
      </c>
      <c r="N37" s="19">
        <v>5</v>
      </c>
      <c r="O37" s="19" t="s">
        <v>81</v>
      </c>
      <c r="P37" s="19">
        <v>1</v>
      </c>
      <c r="Q37" s="19">
        <v>2</v>
      </c>
      <c r="R37" s="19">
        <v>2</v>
      </c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</row>
    <row r="38" spans="1:35" ht="13.15" x14ac:dyDescent="0.4">
      <c r="A38" s="19"/>
      <c r="B38" s="19"/>
      <c r="C38" s="19"/>
      <c r="D38" s="19"/>
      <c r="E38" s="19" t="s">
        <v>26</v>
      </c>
      <c r="F38" s="19" t="s">
        <v>75</v>
      </c>
      <c r="G38" s="19" t="s">
        <v>365</v>
      </c>
      <c r="H38" s="19" t="s">
        <v>383</v>
      </c>
      <c r="I38" s="21">
        <v>45358</v>
      </c>
      <c r="J38" s="21">
        <v>45359</v>
      </c>
      <c r="K38" s="19" t="s">
        <v>78</v>
      </c>
      <c r="L38" s="19" t="s">
        <v>115</v>
      </c>
      <c r="M38" s="19" t="s">
        <v>80</v>
      </c>
      <c r="N38" s="19">
        <v>6</v>
      </c>
      <c r="O38" s="19" t="s">
        <v>97</v>
      </c>
      <c r="P38" s="19">
        <v>1</v>
      </c>
      <c r="Q38" s="19">
        <v>2</v>
      </c>
      <c r="R38" s="19">
        <v>2</v>
      </c>
      <c r="S38" s="19">
        <v>1</v>
      </c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</row>
    <row r="39" spans="1:35" ht="13.15" x14ac:dyDescent="0.4">
      <c r="A39" s="19"/>
      <c r="B39" s="19"/>
      <c r="C39" s="19"/>
      <c r="D39" s="19"/>
      <c r="E39" s="19" t="s">
        <v>26</v>
      </c>
      <c r="F39" s="19" t="s">
        <v>75</v>
      </c>
      <c r="G39" s="19" t="s">
        <v>355</v>
      </c>
      <c r="H39" s="19" t="s">
        <v>383</v>
      </c>
      <c r="I39" s="21">
        <v>45358</v>
      </c>
      <c r="J39" s="21"/>
      <c r="K39" s="19" t="s">
        <v>78</v>
      </c>
      <c r="L39" s="19" t="s">
        <v>113</v>
      </c>
      <c r="M39" s="19" t="s">
        <v>95</v>
      </c>
      <c r="N39" s="19">
        <v>6.5</v>
      </c>
      <c r="O39" s="19" t="s">
        <v>97</v>
      </c>
      <c r="P39" s="19">
        <v>1</v>
      </c>
      <c r="Q39" s="19">
        <v>2</v>
      </c>
      <c r="R39" s="19">
        <v>2.5</v>
      </c>
      <c r="S39" s="19">
        <v>1</v>
      </c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</row>
    <row r="40" spans="1:35" ht="13.15" x14ac:dyDescent="0.4">
      <c r="A40" s="19"/>
      <c r="B40" s="19"/>
      <c r="C40" s="19"/>
      <c r="D40" s="19"/>
      <c r="E40" s="19" t="s">
        <v>26</v>
      </c>
      <c r="F40" s="19" t="s">
        <v>75</v>
      </c>
      <c r="G40" s="19" t="s">
        <v>362</v>
      </c>
      <c r="H40" s="19" t="s">
        <v>383</v>
      </c>
      <c r="I40" s="21">
        <v>45359</v>
      </c>
      <c r="J40" s="21"/>
      <c r="K40" s="19" t="s">
        <v>78</v>
      </c>
      <c r="L40" s="19" t="s">
        <v>107</v>
      </c>
      <c r="M40" s="19" t="s">
        <v>80</v>
      </c>
      <c r="N40" s="19">
        <v>6</v>
      </c>
      <c r="O40" s="19" t="s">
        <v>97</v>
      </c>
      <c r="P40" s="19">
        <v>1</v>
      </c>
      <c r="Q40" s="19">
        <v>2</v>
      </c>
      <c r="R40" s="19">
        <v>2</v>
      </c>
      <c r="S40" s="19">
        <v>1</v>
      </c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</row>
    <row r="41" spans="1:35" ht="13.15" x14ac:dyDescent="0.4">
      <c r="A41" s="19"/>
      <c r="B41" s="19"/>
      <c r="C41" s="19"/>
      <c r="D41" s="19"/>
      <c r="E41" s="19" t="s">
        <v>26</v>
      </c>
      <c r="F41" s="19" t="s">
        <v>89</v>
      </c>
      <c r="G41" s="19" t="s">
        <v>388</v>
      </c>
      <c r="H41" s="19" t="s">
        <v>383</v>
      </c>
      <c r="I41" s="21">
        <v>45359</v>
      </c>
      <c r="J41" s="21">
        <v>45359</v>
      </c>
      <c r="K41" s="19" t="s">
        <v>85</v>
      </c>
      <c r="L41" s="19"/>
      <c r="M41" s="19"/>
      <c r="N41" s="19">
        <v>6</v>
      </c>
      <c r="O41" s="19" t="s">
        <v>97</v>
      </c>
      <c r="P41" s="19">
        <v>1.5</v>
      </c>
      <c r="Q41" s="19">
        <v>2.5</v>
      </c>
      <c r="R41" s="19">
        <v>2</v>
      </c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</row>
    <row r="42" spans="1:35" ht="13.15" x14ac:dyDescent="0.4">
      <c r="A42" s="19"/>
      <c r="B42" s="19"/>
      <c r="C42" s="19"/>
      <c r="D42" s="19"/>
      <c r="E42" s="19"/>
      <c r="F42" s="19"/>
      <c r="G42" s="19"/>
      <c r="H42" s="19"/>
      <c r="I42" s="21"/>
      <c r="J42" s="21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</row>
    <row r="43" spans="1:35" ht="13.15" x14ac:dyDescent="0.4">
      <c r="A43" s="19"/>
      <c r="B43" s="19"/>
      <c r="C43" s="19"/>
      <c r="D43" s="19"/>
      <c r="E43" s="19"/>
      <c r="F43" s="19"/>
      <c r="G43" s="19"/>
      <c r="H43" s="19"/>
      <c r="I43" s="21"/>
      <c r="J43" s="21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</row>
    <row r="44" spans="1:35" ht="13.15" x14ac:dyDescent="0.4">
      <c r="A44" s="19"/>
      <c r="B44" s="19"/>
      <c r="C44" s="19"/>
      <c r="D44" s="19"/>
      <c r="E44" s="19"/>
      <c r="F44" s="19"/>
      <c r="G44" s="19"/>
      <c r="H44" s="19"/>
      <c r="I44" s="21"/>
      <c r="J44" s="21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</row>
    <row r="45" spans="1:35" ht="13.15" x14ac:dyDescent="0.4">
      <c r="A45" s="19"/>
      <c r="B45" s="19"/>
      <c r="C45" s="19"/>
      <c r="D45" s="19"/>
      <c r="E45" s="19"/>
      <c r="F45" s="19"/>
      <c r="G45" s="19"/>
      <c r="H45" s="19"/>
      <c r="I45" s="21"/>
      <c r="J45" s="21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</row>
    <row r="46" spans="1:35" ht="13.15" x14ac:dyDescent="0.4">
      <c r="A46" s="19"/>
      <c r="B46" s="19"/>
      <c r="C46" s="19"/>
      <c r="D46" s="19"/>
      <c r="E46" s="19"/>
      <c r="F46" s="19"/>
      <c r="G46" s="19"/>
      <c r="H46" s="19"/>
      <c r="I46" s="21"/>
      <c r="J46" s="21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</row>
    <row r="47" spans="1:35" ht="13.15" x14ac:dyDescent="0.4">
      <c r="A47" s="19"/>
      <c r="B47" s="19"/>
      <c r="C47" s="19"/>
      <c r="D47" s="19"/>
      <c r="E47" s="19"/>
      <c r="F47" s="19"/>
      <c r="G47" s="19"/>
      <c r="H47" s="19"/>
      <c r="I47" s="21"/>
      <c r="J47" s="21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</row>
    <row r="48" spans="1:35" ht="13.15" x14ac:dyDescent="0.4">
      <c r="A48" s="19"/>
      <c r="B48" s="19"/>
      <c r="C48" s="19"/>
      <c r="D48" s="19"/>
      <c r="E48" s="19"/>
      <c r="F48" s="19"/>
      <c r="G48" s="19"/>
      <c r="H48" s="19"/>
      <c r="I48" s="21"/>
      <c r="J48" s="21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</row>
    <row r="49" spans="1:35" ht="13.15" x14ac:dyDescent="0.4">
      <c r="A49" s="19"/>
      <c r="B49" s="19"/>
      <c r="C49" s="19"/>
      <c r="D49" s="19"/>
      <c r="E49" s="19"/>
      <c r="F49" s="19"/>
      <c r="G49" s="19"/>
      <c r="H49" s="19"/>
      <c r="I49" s="21"/>
      <c r="J49" s="21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</row>
    <row r="50" spans="1:35" ht="13.15" x14ac:dyDescent="0.4">
      <c r="A50" s="19"/>
      <c r="B50" s="19"/>
      <c r="C50" s="19"/>
      <c r="D50" s="19"/>
      <c r="E50" s="19"/>
      <c r="F50" s="19"/>
      <c r="G50" s="19"/>
      <c r="H50" s="19"/>
      <c r="I50" s="21"/>
      <c r="J50" s="21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</row>
    <row r="51" spans="1:35" ht="13.15" x14ac:dyDescent="0.4">
      <c r="A51" s="19"/>
      <c r="B51" s="19"/>
      <c r="C51" s="19"/>
      <c r="D51" s="19"/>
      <c r="E51" s="19"/>
      <c r="F51" s="19"/>
      <c r="G51" s="19"/>
      <c r="H51" s="19"/>
      <c r="I51" s="21"/>
      <c r="J51" s="21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</row>
    <row r="52" spans="1:35" ht="13.15" x14ac:dyDescent="0.4">
      <c r="A52" s="19"/>
      <c r="B52" s="19"/>
      <c r="C52" s="19"/>
      <c r="D52" s="19"/>
      <c r="E52" s="19"/>
      <c r="F52" s="19"/>
      <c r="G52" s="19"/>
      <c r="H52" s="19"/>
      <c r="I52" s="21"/>
      <c r="J52" s="21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</row>
    <row r="53" spans="1:35" ht="13.15" x14ac:dyDescent="0.4">
      <c r="A53" s="19"/>
      <c r="B53" s="19"/>
      <c r="C53" s="19"/>
      <c r="D53" s="19"/>
      <c r="E53" s="19"/>
      <c r="F53" s="19"/>
      <c r="G53" s="19"/>
      <c r="H53" s="19"/>
      <c r="I53" s="21"/>
      <c r="J53" s="21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</row>
    <row r="54" spans="1:35" ht="13.15" x14ac:dyDescent="0.4">
      <c r="A54" s="19"/>
      <c r="B54" s="19"/>
      <c r="C54" s="19"/>
      <c r="D54" s="19"/>
      <c r="E54" s="19"/>
      <c r="F54" s="19"/>
      <c r="G54" s="19"/>
      <c r="H54" s="19"/>
      <c r="I54" s="21"/>
      <c r="J54" s="21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</row>
    <row r="55" spans="1:35" ht="13.15" x14ac:dyDescent="0.4">
      <c r="A55" s="19"/>
      <c r="B55" s="19"/>
      <c r="C55" s="19"/>
      <c r="D55" s="19"/>
      <c r="E55" s="19"/>
      <c r="F55" s="19"/>
      <c r="G55" s="19"/>
      <c r="H55" s="19"/>
      <c r="I55" s="21"/>
      <c r="J55" s="21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</row>
    <row r="56" spans="1:35" ht="13.15" x14ac:dyDescent="0.4">
      <c r="A56" s="19"/>
      <c r="B56" s="19"/>
      <c r="C56" s="19"/>
      <c r="D56" s="19"/>
      <c r="E56" s="19"/>
      <c r="F56" s="19"/>
      <c r="G56" s="19"/>
      <c r="H56" s="19"/>
      <c r="I56" s="21"/>
      <c r="J56" s="21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</row>
    <row r="57" spans="1:35" ht="13.15" x14ac:dyDescent="0.4">
      <c r="A57" s="19"/>
      <c r="B57" s="19"/>
      <c r="C57" s="19"/>
      <c r="D57" s="19"/>
      <c r="E57" s="19"/>
      <c r="F57" s="19"/>
      <c r="G57" s="19"/>
      <c r="H57" s="19"/>
      <c r="I57" s="21"/>
      <c r="J57" s="21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</row>
    <row r="58" spans="1:35" ht="13.15" x14ac:dyDescent="0.4">
      <c r="A58" s="19"/>
      <c r="B58" s="19"/>
      <c r="C58" s="19"/>
      <c r="D58" s="19"/>
      <c r="E58" s="19"/>
      <c r="F58" s="19"/>
      <c r="G58" s="19"/>
      <c r="H58" s="19"/>
      <c r="I58" s="21"/>
      <c r="J58" s="21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</row>
    <row r="59" spans="1:35" ht="13.15" x14ac:dyDescent="0.4">
      <c r="A59" s="19"/>
      <c r="B59" s="19"/>
      <c r="C59" s="19"/>
      <c r="D59" s="19"/>
      <c r="E59" s="19"/>
      <c r="F59" s="19"/>
      <c r="G59" s="19"/>
      <c r="H59" s="19"/>
      <c r="I59" s="21"/>
      <c r="J59" s="21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</row>
    <row r="60" spans="1:35" ht="13.15" x14ac:dyDescent="0.4">
      <c r="A60" s="19"/>
      <c r="B60" s="19"/>
      <c r="C60" s="19"/>
      <c r="D60" s="19"/>
      <c r="E60" s="19"/>
      <c r="F60" s="19"/>
      <c r="G60" s="19"/>
      <c r="H60" s="19"/>
      <c r="I60" s="21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</row>
    <row r="61" spans="1:35" ht="13.15" x14ac:dyDescent="0.4">
      <c r="A61" s="19"/>
      <c r="B61" s="19"/>
      <c r="C61" s="19"/>
      <c r="D61" s="19"/>
      <c r="E61" s="19"/>
      <c r="F61" s="19"/>
      <c r="G61" s="19"/>
      <c r="H61" s="19"/>
      <c r="I61" s="21"/>
      <c r="J61" s="21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</row>
    <row r="62" spans="1:35" ht="13.15" x14ac:dyDescent="0.4">
      <c r="A62" s="19"/>
      <c r="B62" s="19"/>
      <c r="C62" s="19"/>
      <c r="D62" s="19"/>
      <c r="E62" s="19"/>
      <c r="F62" s="19"/>
      <c r="G62" s="19"/>
      <c r="H62" s="19"/>
      <c r="I62" s="21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</row>
    <row r="63" spans="1:35" ht="13.15" x14ac:dyDescent="0.4">
      <c r="A63" s="19"/>
      <c r="B63" s="19"/>
      <c r="C63" s="19"/>
      <c r="D63" s="19"/>
      <c r="E63" s="19"/>
      <c r="F63" s="19"/>
      <c r="G63" s="19"/>
      <c r="H63" s="19"/>
      <c r="I63" s="21"/>
      <c r="J63" s="21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</row>
    <row r="64" spans="1:35" ht="13.15" x14ac:dyDescent="0.4">
      <c r="A64" s="19"/>
      <c r="B64" s="19"/>
      <c r="C64" s="19"/>
      <c r="D64" s="19"/>
      <c r="E64" s="19"/>
      <c r="F64" s="19"/>
      <c r="G64" s="19"/>
      <c r="H64" s="19"/>
      <c r="I64" s="21"/>
      <c r="J64" s="21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</row>
    <row r="65" spans="1:35" ht="13.15" x14ac:dyDescent="0.4">
      <c r="A65" s="19"/>
      <c r="B65" s="19"/>
      <c r="C65" s="19"/>
      <c r="D65" s="19"/>
      <c r="E65" s="19"/>
      <c r="F65" s="19"/>
      <c r="G65" s="19"/>
      <c r="H65" s="19"/>
      <c r="I65" s="21"/>
      <c r="J65" s="21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</row>
    <row r="66" spans="1:35" ht="13.15" x14ac:dyDescent="0.4">
      <c r="A66" s="19"/>
      <c r="B66" s="19"/>
      <c r="C66" s="19"/>
      <c r="D66" s="19"/>
      <c r="E66" s="19"/>
      <c r="F66" s="19"/>
      <c r="G66" s="19"/>
      <c r="H66" s="19"/>
      <c r="I66" s="21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</row>
    <row r="67" spans="1:35" ht="13.15" x14ac:dyDescent="0.4">
      <c r="A67" s="19"/>
      <c r="B67" s="19"/>
      <c r="C67" s="19"/>
      <c r="D67" s="19"/>
      <c r="E67" s="19"/>
      <c r="F67" s="19"/>
      <c r="G67" s="19"/>
      <c r="H67" s="19"/>
      <c r="I67" s="21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</row>
    <row r="68" spans="1:35" ht="13.15" x14ac:dyDescent="0.4">
      <c r="A68" s="19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</row>
    <row r="69" spans="1:35" ht="13.15" x14ac:dyDescent="0.4">
      <c r="A69" s="19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</row>
    <row r="70" spans="1:35" ht="13.15" x14ac:dyDescent="0.4">
      <c r="A70" s="19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</row>
    <row r="71" spans="1:35" ht="13.15" x14ac:dyDescent="0.4">
      <c r="A71" s="19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</row>
    <row r="72" spans="1:35" ht="13.15" x14ac:dyDescent="0.4">
      <c r="A72" s="19"/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</row>
    <row r="73" spans="1:35" ht="13.15" x14ac:dyDescent="0.4">
      <c r="A73" s="19"/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</row>
    <row r="74" spans="1:35" ht="13.15" x14ac:dyDescent="0.4">
      <c r="A74" s="19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</row>
    <row r="75" spans="1:35" ht="13.15" x14ac:dyDescent="0.4">
      <c r="A75" s="19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</row>
    <row r="76" spans="1:35" ht="13.15" x14ac:dyDescent="0.4">
      <c r="A76" s="19"/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</row>
    <row r="77" spans="1:35" ht="13.15" x14ac:dyDescent="0.4">
      <c r="A77" s="19"/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</row>
    <row r="78" spans="1:35" ht="13.15" x14ac:dyDescent="0.4">
      <c r="A78" s="19"/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</row>
    <row r="79" spans="1:35" ht="13.15" x14ac:dyDescent="0.4">
      <c r="A79" s="19"/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</row>
    <row r="80" spans="1:35" ht="13.15" x14ac:dyDescent="0.4">
      <c r="A80" s="19"/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</row>
    <row r="81" spans="1:35" ht="13.15" x14ac:dyDescent="0.4">
      <c r="A81" s="19"/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</row>
    <row r="82" spans="1:35" ht="13.15" x14ac:dyDescent="0.4">
      <c r="A82" s="19"/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</row>
    <row r="83" spans="1:35" ht="13.15" x14ac:dyDescent="0.4">
      <c r="A83" s="19"/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</row>
    <row r="84" spans="1:35" ht="13.15" x14ac:dyDescent="0.4">
      <c r="A84" s="19"/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</row>
    <row r="85" spans="1:35" ht="13.15" x14ac:dyDescent="0.4">
      <c r="A85" s="19"/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</row>
    <row r="86" spans="1:35" ht="13.15" x14ac:dyDescent="0.4">
      <c r="A86" s="19"/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</row>
    <row r="87" spans="1:35" ht="13.15" x14ac:dyDescent="0.4">
      <c r="A87" s="19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</row>
    <row r="88" spans="1:35" ht="13.15" x14ac:dyDescent="0.4">
      <c r="A88" s="19"/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</row>
    <row r="89" spans="1:35" ht="13.15" x14ac:dyDescent="0.4">
      <c r="A89" s="19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</row>
    <row r="90" spans="1:35" ht="13.15" x14ac:dyDescent="0.4">
      <c r="A90" s="19"/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</row>
    <row r="91" spans="1:35" ht="13.15" x14ac:dyDescent="0.4">
      <c r="A91" s="19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</row>
    <row r="92" spans="1:35" ht="13.15" x14ac:dyDescent="0.4">
      <c r="A92" s="19"/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</row>
    <row r="93" spans="1:35" ht="13.15" x14ac:dyDescent="0.4">
      <c r="A93" s="19"/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</row>
    <row r="94" spans="1:35" ht="13.15" x14ac:dyDescent="0.4">
      <c r="A94" s="19"/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</row>
    <row r="95" spans="1:35" ht="13.15" x14ac:dyDescent="0.4">
      <c r="A95" s="19"/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</row>
    <row r="96" spans="1:35" ht="13.15" x14ac:dyDescent="0.4">
      <c r="A96" s="19"/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</row>
    <row r="97" spans="1:35" ht="13.15" x14ac:dyDescent="0.4">
      <c r="A97" s="19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</row>
    <row r="98" spans="1:35" ht="13.15" x14ac:dyDescent="0.4">
      <c r="A98" s="19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</row>
    <row r="99" spans="1:35" ht="13.15" x14ac:dyDescent="0.4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</row>
    <row r="100" spans="1:35" ht="13.15" x14ac:dyDescent="0.4">
      <c r="A100" s="19"/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</row>
    <row r="101" spans="1:35" ht="13.15" x14ac:dyDescent="0.4">
      <c r="A101" s="19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</row>
    <row r="102" spans="1:35" ht="13.15" x14ac:dyDescent="0.4">
      <c r="A102" s="19"/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</row>
    <row r="103" spans="1:35" ht="13.15" x14ac:dyDescent="0.4">
      <c r="A103" s="19"/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</row>
    <row r="104" spans="1:35" ht="13.15" x14ac:dyDescent="0.4">
      <c r="A104" s="19"/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</row>
    <row r="105" spans="1:35" ht="13.15" x14ac:dyDescent="0.4">
      <c r="A105" s="19"/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</row>
    <row r="106" spans="1:35" ht="13.15" x14ac:dyDescent="0.4">
      <c r="A106" s="19"/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</row>
    <row r="107" spans="1:35" ht="13.15" x14ac:dyDescent="0.4">
      <c r="A107" s="19"/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</row>
    <row r="108" spans="1:35" ht="13.15" x14ac:dyDescent="0.4">
      <c r="A108" s="19"/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</row>
    <row r="109" spans="1:35" ht="13.15" x14ac:dyDescent="0.4">
      <c r="A109" s="19"/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</row>
    <row r="110" spans="1:35" ht="13.15" x14ac:dyDescent="0.4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</row>
    <row r="111" spans="1:35" ht="13.15" x14ac:dyDescent="0.4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</row>
    <row r="112" spans="1:35" ht="13.15" x14ac:dyDescent="0.4">
      <c r="A112" s="19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</row>
    <row r="113" spans="1:35" ht="13.15" x14ac:dyDescent="0.4">
      <c r="A113" s="19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</row>
    <row r="114" spans="1:35" ht="13.15" x14ac:dyDescent="0.4">
      <c r="A114" s="19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</row>
    <row r="115" spans="1:35" ht="13.15" x14ac:dyDescent="0.4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</row>
    <row r="116" spans="1:35" ht="13.15" x14ac:dyDescent="0.4">
      <c r="A116" s="19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</row>
    <row r="117" spans="1:35" ht="13.15" x14ac:dyDescent="0.4">
      <c r="A117" s="19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</row>
    <row r="118" spans="1:35" ht="13.15" x14ac:dyDescent="0.4">
      <c r="A118" s="19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</row>
    <row r="119" spans="1:35" ht="13.15" x14ac:dyDescent="0.4">
      <c r="A119" s="19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</row>
    <row r="120" spans="1:35" ht="13.15" x14ac:dyDescent="0.4">
      <c r="A120" s="19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</row>
    <row r="121" spans="1:35" ht="13.15" x14ac:dyDescent="0.4">
      <c r="A121" s="19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</row>
    <row r="122" spans="1:35" ht="13.15" x14ac:dyDescent="0.4">
      <c r="A122" s="19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</row>
    <row r="123" spans="1:35" ht="13.15" x14ac:dyDescent="0.4">
      <c r="A123" s="19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</row>
    <row r="124" spans="1:35" ht="13.15" x14ac:dyDescent="0.4">
      <c r="A124" s="19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</row>
    <row r="125" spans="1:35" ht="13.15" x14ac:dyDescent="0.4">
      <c r="A125" s="19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</row>
    <row r="126" spans="1:35" ht="13.15" x14ac:dyDescent="0.4">
      <c r="A126" s="19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</row>
    <row r="127" spans="1:35" ht="13.15" x14ac:dyDescent="0.4">
      <c r="A127" s="19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</row>
    <row r="128" spans="1:35" ht="13.15" x14ac:dyDescent="0.4">
      <c r="A128" s="19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</row>
    <row r="129" spans="1:35" ht="13.15" x14ac:dyDescent="0.4">
      <c r="A129" s="19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</row>
    <row r="130" spans="1:35" ht="13.15" x14ac:dyDescent="0.4">
      <c r="A130" s="19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</row>
    <row r="131" spans="1:35" ht="13.15" x14ac:dyDescent="0.4">
      <c r="A131" s="19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</row>
    <row r="132" spans="1:35" ht="13.15" x14ac:dyDescent="0.4">
      <c r="A132" s="19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</row>
    <row r="133" spans="1:35" ht="13.15" x14ac:dyDescent="0.4">
      <c r="A133" s="19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</row>
    <row r="134" spans="1:35" ht="13.15" x14ac:dyDescent="0.4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</row>
    <row r="135" spans="1:35" ht="13.15" x14ac:dyDescent="0.4">
      <c r="A135" s="19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</row>
    <row r="136" spans="1:35" ht="13.15" x14ac:dyDescent="0.4">
      <c r="A136" s="19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</row>
    <row r="137" spans="1:35" ht="13.15" x14ac:dyDescent="0.4">
      <c r="A137" s="19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</row>
    <row r="138" spans="1:35" ht="13.15" x14ac:dyDescent="0.4">
      <c r="A138" s="19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</row>
    <row r="139" spans="1:35" ht="13.15" x14ac:dyDescent="0.4">
      <c r="A139" s="19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</row>
    <row r="140" spans="1:35" ht="13.15" x14ac:dyDescent="0.4">
      <c r="A140" s="19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</row>
    <row r="141" spans="1:35" ht="13.15" x14ac:dyDescent="0.4">
      <c r="A141" s="19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</row>
    <row r="142" spans="1:35" ht="13.15" x14ac:dyDescent="0.4">
      <c r="A142" s="19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</row>
    <row r="143" spans="1:35" ht="13.15" x14ac:dyDescent="0.4">
      <c r="A143" s="19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</row>
    <row r="144" spans="1:35" ht="13.15" x14ac:dyDescent="0.4">
      <c r="A144" s="19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</row>
    <row r="145" spans="1:35" ht="13.15" x14ac:dyDescent="0.4">
      <c r="A145" s="19"/>
      <c r="B145" s="19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</row>
    <row r="146" spans="1:35" ht="13.15" x14ac:dyDescent="0.4">
      <c r="A146" s="19"/>
      <c r="B146" s="19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</row>
    <row r="147" spans="1:35" ht="13.15" x14ac:dyDescent="0.4">
      <c r="A147" s="19"/>
      <c r="B147" s="19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</row>
    <row r="148" spans="1:35" ht="13.15" x14ac:dyDescent="0.4">
      <c r="A148" s="19"/>
      <c r="B148" s="19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</row>
    <row r="149" spans="1:35" ht="13.15" x14ac:dyDescent="0.4">
      <c r="A149" s="19"/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</row>
    <row r="150" spans="1:35" ht="13.15" x14ac:dyDescent="0.4">
      <c r="A150" s="19"/>
      <c r="B150" s="19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</row>
    <row r="151" spans="1:35" ht="13.15" x14ac:dyDescent="0.4">
      <c r="A151" s="19"/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</row>
    <row r="152" spans="1:35" ht="13.15" x14ac:dyDescent="0.4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</row>
    <row r="153" spans="1:35" ht="13.15" x14ac:dyDescent="0.4">
      <c r="A153" s="19"/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</row>
    <row r="154" spans="1:35" ht="13.15" x14ac:dyDescent="0.4">
      <c r="A154" s="19"/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/>
      <c r="AD154" s="19"/>
      <c r="AE154" s="19"/>
      <c r="AF154" s="19"/>
      <c r="AG154" s="19"/>
      <c r="AH154" s="19"/>
      <c r="AI154" s="19"/>
    </row>
    <row r="155" spans="1:35" ht="13.15" x14ac:dyDescent="0.4">
      <c r="A155" s="19"/>
      <c r="B155" s="19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</row>
    <row r="156" spans="1:35" ht="13.15" x14ac:dyDescent="0.4">
      <c r="A156" s="19"/>
      <c r="B156" s="19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  <c r="AI156" s="19"/>
    </row>
    <row r="157" spans="1:35" ht="13.15" x14ac:dyDescent="0.4">
      <c r="A157" s="19"/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  <c r="AE157" s="19"/>
      <c r="AF157" s="19"/>
      <c r="AG157" s="19"/>
      <c r="AH157" s="19"/>
      <c r="AI157" s="19"/>
    </row>
    <row r="158" spans="1:35" ht="13.15" x14ac:dyDescent="0.4">
      <c r="A158" s="19"/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</row>
    <row r="159" spans="1:35" ht="13.15" x14ac:dyDescent="0.4">
      <c r="A159" s="19"/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</row>
    <row r="160" spans="1:35" ht="13.15" x14ac:dyDescent="0.4">
      <c r="A160" s="19"/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  <c r="AC160" s="19"/>
      <c r="AD160" s="19"/>
      <c r="AE160" s="19"/>
      <c r="AF160" s="19"/>
      <c r="AG160" s="19"/>
      <c r="AH160" s="19"/>
      <c r="AI160" s="19"/>
    </row>
    <row r="161" spans="1:35" ht="13.15" x14ac:dyDescent="0.4">
      <c r="A161" s="19"/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  <c r="AC161" s="19"/>
      <c r="AD161" s="19"/>
      <c r="AE161" s="19"/>
      <c r="AF161" s="19"/>
      <c r="AG161" s="19"/>
      <c r="AH161" s="19"/>
      <c r="AI161" s="19"/>
    </row>
    <row r="162" spans="1:35" ht="13.15" x14ac:dyDescent="0.4">
      <c r="A162" s="19"/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</row>
    <row r="163" spans="1:35" ht="13.15" x14ac:dyDescent="0.4">
      <c r="A163" s="19"/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  <c r="AC163" s="19"/>
      <c r="AD163" s="19"/>
      <c r="AE163" s="19"/>
      <c r="AF163" s="19"/>
      <c r="AG163" s="19"/>
      <c r="AH163" s="19"/>
      <c r="AI163" s="19"/>
    </row>
    <row r="164" spans="1:35" ht="13.15" x14ac:dyDescent="0.4">
      <c r="A164" s="19"/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  <c r="AC164" s="19"/>
      <c r="AD164" s="19"/>
      <c r="AE164" s="19"/>
      <c r="AF164" s="19"/>
      <c r="AG164" s="19"/>
      <c r="AH164" s="19"/>
      <c r="AI164" s="19"/>
    </row>
    <row r="165" spans="1:35" ht="13.15" x14ac:dyDescent="0.4">
      <c r="A165" s="19"/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  <c r="AI165" s="19"/>
    </row>
    <row r="166" spans="1:35" ht="13.15" x14ac:dyDescent="0.4">
      <c r="A166" s="19"/>
      <c r="B166" s="19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  <c r="AC166" s="19"/>
      <c r="AD166" s="19"/>
      <c r="AE166" s="19"/>
      <c r="AF166" s="19"/>
      <c r="AG166" s="19"/>
      <c r="AH166" s="19"/>
      <c r="AI166" s="19"/>
    </row>
    <row r="167" spans="1:35" ht="13.15" x14ac:dyDescent="0.4">
      <c r="A167" s="19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</row>
    <row r="168" spans="1:35" ht="13.15" x14ac:dyDescent="0.4">
      <c r="A168" s="19"/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</row>
    <row r="169" spans="1:35" ht="13.15" x14ac:dyDescent="0.4">
      <c r="A169" s="19"/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</row>
    <row r="170" spans="1:35" ht="13.15" x14ac:dyDescent="0.4">
      <c r="A170" s="19"/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</row>
    <row r="171" spans="1:35" ht="13.15" x14ac:dyDescent="0.4">
      <c r="A171" s="19"/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</row>
    <row r="172" spans="1:35" ht="13.15" x14ac:dyDescent="0.4">
      <c r="A172" s="19"/>
      <c r="B172" s="19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</row>
    <row r="173" spans="1:35" ht="13.15" x14ac:dyDescent="0.4">
      <c r="A173" s="19"/>
      <c r="B173" s="19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</row>
    <row r="174" spans="1:35" ht="13.15" x14ac:dyDescent="0.4">
      <c r="A174" s="19"/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</row>
    <row r="175" spans="1:35" ht="13.15" x14ac:dyDescent="0.4">
      <c r="A175" s="19"/>
      <c r="B175" s="19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</row>
    <row r="176" spans="1:35" ht="13.15" x14ac:dyDescent="0.4">
      <c r="A176" s="19"/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</row>
    <row r="177" spans="1:35" ht="13.15" x14ac:dyDescent="0.4">
      <c r="A177" s="19"/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  <c r="AE177" s="19"/>
      <c r="AF177" s="19"/>
      <c r="AG177" s="19"/>
      <c r="AH177" s="19"/>
      <c r="AI177" s="19"/>
    </row>
    <row r="178" spans="1:35" ht="13.15" x14ac:dyDescent="0.4">
      <c r="A178" s="19"/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</row>
    <row r="179" spans="1:35" ht="13.15" x14ac:dyDescent="0.4">
      <c r="A179" s="19"/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</row>
    <row r="180" spans="1:35" ht="13.15" x14ac:dyDescent="0.4">
      <c r="A180" s="19"/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  <c r="AE180" s="19"/>
      <c r="AF180" s="19"/>
      <c r="AG180" s="19"/>
      <c r="AH180" s="19"/>
      <c r="AI180" s="19"/>
    </row>
    <row r="181" spans="1:35" ht="13.15" x14ac:dyDescent="0.4">
      <c r="A181" s="19"/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19"/>
    </row>
    <row r="182" spans="1:35" ht="13.15" x14ac:dyDescent="0.4">
      <c r="A182" s="19"/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  <c r="AI182" s="19"/>
    </row>
    <row r="183" spans="1:35" ht="13.15" x14ac:dyDescent="0.4">
      <c r="A183" s="19"/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</row>
    <row r="184" spans="1:35" ht="13.15" x14ac:dyDescent="0.4">
      <c r="A184" s="19"/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</row>
    <row r="185" spans="1:35" ht="13.15" x14ac:dyDescent="0.4">
      <c r="A185" s="19"/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</row>
    <row r="186" spans="1:35" ht="13.15" x14ac:dyDescent="0.4">
      <c r="A186" s="19"/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</row>
    <row r="187" spans="1:35" ht="13.15" x14ac:dyDescent="0.4">
      <c r="A187" s="19"/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</row>
    <row r="188" spans="1:35" ht="13.15" x14ac:dyDescent="0.4">
      <c r="A188" s="19"/>
      <c r="B188" s="19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</row>
    <row r="189" spans="1:35" ht="13.15" x14ac:dyDescent="0.4">
      <c r="A189" s="19"/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</row>
    <row r="190" spans="1:35" ht="13.15" x14ac:dyDescent="0.4">
      <c r="A190" s="19"/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</row>
    <row r="191" spans="1:35" ht="13.15" x14ac:dyDescent="0.4">
      <c r="A191" s="19"/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</row>
    <row r="192" spans="1:35" ht="13.15" x14ac:dyDescent="0.4">
      <c r="A192" s="19"/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</row>
    <row r="193" spans="1:35" ht="13.15" x14ac:dyDescent="0.4">
      <c r="A193" s="19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</row>
    <row r="194" spans="1:35" ht="13.15" x14ac:dyDescent="0.4">
      <c r="A194" s="19"/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</row>
    <row r="195" spans="1:35" ht="13.15" x14ac:dyDescent="0.4">
      <c r="A195" s="19"/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</row>
    <row r="196" spans="1:35" ht="13.15" x14ac:dyDescent="0.4">
      <c r="A196" s="19"/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</row>
    <row r="197" spans="1:35" ht="13.15" x14ac:dyDescent="0.4">
      <c r="A197" s="19"/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</row>
    <row r="198" spans="1:35" ht="13.15" x14ac:dyDescent="0.4">
      <c r="A198" s="19"/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</row>
    <row r="199" spans="1:35" ht="13.15" x14ac:dyDescent="0.4">
      <c r="A199" s="19"/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</row>
    <row r="200" spans="1:35" ht="13.15" x14ac:dyDescent="0.4">
      <c r="A200" s="19"/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</row>
    <row r="201" spans="1:35" ht="13.15" x14ac:dyDescent="0.4">
      <c r="A201" s="19"/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</row>
    <row r="202" spans="1:35" ht="13.15" x14ac:dyDescent="0.4">
      <c r="A202" s="19"/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</row>
    <row r="203" spans="1:35" ht="13.15" x14ac:dyDescent="0.4">
      <c r="A203" s="19"/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</row>
    <row r="204" spans="1:35" ht="13.15" x14ac:dyDescent="0.4">
      <c r="A204" s="19"/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</row>
    <row r="205" spans="1:35" ht="13.15" x14ac:dyDescent="0.4">
      <c r="A205" s="19"/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</row>
    <row r="206" spans="1:35" ht="13.15" x14ac:dyDescent="0.4">
      <c r="A206" s="19"/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</row>
    <row r="207" spans="1:35" ht="13.15" x14ac:dyDescent="0.4">
      <c r="A207" s="19"/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</row>
    <row r="208" spans="1:35" ht="13.15" x14ac:dyDescent="0.4">
      <c r="A208" s="19"/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</row>
    <row r="209" spans="1:35" ht="13.15" x14ac:dyDescent="0.4">
      <c r="A209" s="19"/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</row>
    <row r="210" spans="1:35" ht="13.15" x14ac:dyDescent="0.4">
      <c r="A210" s="19"/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</row>
    <row r="211" spans="1:35" ht="13.15" x14ac:dyDescent="0.4">
      <c r="A211" s="19"/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</row>
    <row r="212" spans="1:35" ht="13.15" x14ac:dyDescent="0.4">
      <c r="A212" s="19"/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</row>
    <row r="213" spans="1:35" ht="13.15" x14ac:dyDescent="0.4">
      <c r="A213" s="19"/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</row>
    <row r="214" spans="1:35" ht="13.15" x14ac:dyDescent="0.4">
      <c r="A214" s="19"/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</row>
    <row r="215" spans="1:35" ht="13.15" x14ac:dyDescent="0.4">
      <c r="A215" s="19"/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  <c r="AF215" s="19"/>
      <c r="AG215" s="19"/>
      <c r="AH215" s="19"/>
      <c r="AI215" s="19"/>
    </row>
    <row r="216" spans="1:35" ht="13.15" x14ac:dyDescent="0.4">
      <c r="A216" s="19"/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</row>
    <row r="217" spans="1:35" ht="13.15" x14ac:dyDescent="0.4">
      <c r="A217" s="19"/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</row>
    <row r="218" spans="1:35" ht="13.15" x14ac:dyDescent="0.4">
      <c r="A218" s="19"/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</row>
    <row r="219" spans="1:35" ht="13.15" x14ac:dyDescent="0.4">
      <c r="A219" s="19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</row>
    <row r="220" spans="1:35" ht="13.15" x14ac:dyDescent="0.4">
      <c r="A220" s="19"/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</row>
    <row r="221" spans="1:35" ht="13.15" x14ac:dyDescent="0.4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</row>
    <row r="222" spans="1:35" ht="13.15" x14ac:dyDescent="0.4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</row>
    <row r="223" spans="1:35" ht="13.15" x14ac:dyDescent="0.4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</row>
    <row r="224" spans="1:35" ht="13.15" x14ac:dyDescent="0.4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</row>
    <row r="225" spans="1:35" ht="13.15" x14ac:dyDescent="0.4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  <c r="AH225" s="19"/>
      <c r="AI225" s="19"/>
    </row>
    <row r="226" spans="1:35" ht="13.15" x14ac:dyDescent="0.4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</row>
    <row r="227" spans="1:35" ht="13.15" x14ac:dyDescent="0.4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</row>
    <row r="228" spans="1:35" ht="13.15" x14ac:dyDescent="0.4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</row>
    <row r="229" spans="1:35" ht="13.15" x14ac:dyDescent="0.4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</row>
    <row r="230" spans="1:35" ht="13.15" x14ac:dyDescent="0.4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</row>
    <row r="231" spans="1:35" ht="13.15" x14ac:dyDescent="0.4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</row>
    <row r="232" spans="1:35" ht="13.15" x14ac:dyDescent="0.4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</row>
    <row r="233" spans="1:35" ht="13.15" x14ac:dyDescent="0.4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</row>
    <row r="234" spans="1:35" ht="13.15" x14ac:dyDescent="0.4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</row>
    <row r="235" spans="1:35" ht="13.15" x14ac:dyDescent="0.4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</row>
    <row r="236" spans="1:35" ht="13.15" x14ac:dyDescent="0.4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</row>
    <row r="237" spans="1:35" ht="13.15" x14ac:dyDescent="0.4">
      <c r="A237" s="19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</row>
    <row r="238" spans="1:35" ht="13.15" x14ac:dyDescent="0.4">
      <c r="A238" s="19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</row>
    <row r="239" spans="1:35" ht="13.15" x14ac:dyDescent="0.4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</row>
    <row r="240" spans="1:35" ht="13.15" x14ac:dyDescent="0.4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</row>
    <row r="241" spans="1:35" ht="13.15" x14ac:dyDescent="0.4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</row>
    <row r="242" spans="1:35" ht="13.15" x14ac:dyDescent="0.4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</row>
    <row r="243" spans="1:35" ht="13.15" x14ac:dyDescent="0.4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</row>
    <row r="244" spans="1:35" ht="13.15" x14ac:dyDescent="0.4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</row>
    <row r="245" spans="1:35" ht="13.15" x14ac:dyDescent="0.4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</row>
    <row r="246" spans="1:35" ht="13.15" x14ac:dyDescent="0.4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</row>
    <row r="247" spans="1:35" ht="13.15" x14ac:dyDescent="0.4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</row>
    <row r="248" spans="1:35" ht="13.15" x14ac:dyDescent="0.4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</row>
    <row r="249" spans="1:35" ht="13.15" x14ac:dyDescent="0.4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</row>
    <row r="250" spans="1:35" ht="13.15" x14ac:dyDescent="0.4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</row>
    <row r="251" spans="1:35" ht="13.15" x14ac:dyDescent="0.4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</row>
    <row r="252" spans="1:35" ht="13.15" x14ac:dyDescent="0.4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</row>
    <row r="253" spans="1:35" ht="13.15" x14ac:dyDescent="0.4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</row>
    <row r="254" spans="1:35" ht="13.15" x14ac:dyDescent="0.4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</row>
    <row r="255" spans="1:35" ht="13.15" x14ac:dyDescent="0.4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</row>
    <row r="256" spans="1:35" ht="13.15" x14ac:dyDescent="0.4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</row>
    <row r="257" spans="1:35" ht="13.15" x14ac:dyDescent="0.4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</row>
    <row r="258" spans="1:35" ht="13.15" x14ac:dyDescent="0.4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</row>
    <row r="259" spans="1:35" ht="13.15" x14ac:dyDescent="0.4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</row>
    <row r="260" spans="1:35" ht="13.15" x14ac:dyDescent="0.4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</row>
    <row r="261" spans="1:35" ht="13.15" x14ac:dyDescent="0.4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</row>
    <row r="262" spans="1:35" ht="13.15" x14ac:dyDescent="0.4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</row>
    <row r="263" spans="1:35" ht="13.15" x14ac:dyDescent="0.4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</row>
    <row r="264" spans="1:35" ht="13.15" x14ac:dyDescent="0.4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</row>
    <row r="265" spans="1:35" ht="13.15" x14ac:dyDescent="0.4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</row>
    <row r="266" spans="1:35" ht="13.15" x14ac:dyDescent="0.4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</row>
    <row r="267" spans="1:35" ht="13.15" x14ac:dyDescent="0.4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</row>
    <row r="268" spans="1:35" ht="13.15" x14ac:dyDescent="0.4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</row>
    <row r="269" spans="1:35" ht="13.15" x14ac:dyDescent="0.4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</row>
    <row r="270" spans="1:35" ht="13.15" x14ac:dyDescent="0.4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</row>
    <row r="271" spans="1:35" ht="13.15" x14ac:dyDescent="0.4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</row>
    <row r="272" spans="1:35" ht="13.15" x14ac:dyDescent="0.4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</row>
    <row r="273" spans="1:35" ht="13.15" x14ac:dyDescent="0.4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</row>
    <row r="274" spans="1:35" ht="13.15" x14ac:dyDescent="0.4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</row>
    <row r="275" spans="1:35" ht="13.15" x14ac:dyDescent="0.4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</row>
    <row r="276" spans="1:35" ht="13.15" x14ac:dyDescent="0.4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</row>
    <row r="277" spans="1:35" ht="13.15" x14ac:dyDescent="0.4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</row>
    <row r="278" spans="1:35" ht="13.15" x14ac:dyDescent="0.4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</row>
    <row r="279" spans="1:35" ht="13.15" x14ac:dyDescent="0.4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</row>
    <row r="280" spans="1:35" ht="13.15" x14ac:dyDescent="0.4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</row>
    <row r="281" spans="1:35" ht="13.15" x14ac:dyDescent="0.4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</row>
    <row r="282" spans="1:35" ht="13.15" x14ac:dyDescent="0.4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</row>
    <row r="283" spans="1:35" ht="13.15" x14ac:dyDescent="0.4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</row>
    <row r="284" spans="1:35" ht="13.15" x14ac:dyDescent="0.4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</row>
    <row r="285" spans="1:35" ht="13.15" x14ac:dyDescent="0.4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</row>
    <row r="286" spans="1:35" ht="13.15" x14ac:dyDescent="0.4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</row>
    <row r="287" spans="1:35" ht="13.15" x14ac:dyDescent="0.4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</row>
    <row r="288" spans="1:35" ht="13.15" x14ac:dyDescent="0.4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</row>
    <row r="289" spans="1:35" ht="13.15" x14ac:dyDescent="0.4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</row>
    <row r="290" spans="1:35" ht="13.15" x14ac:dyDescent="0.4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</row>
    <row r="291" spans="1:35" ht="13.15" x14ac:dyDescent="0.4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</row>
    <row r="292" spans="1:35" ht="13.15" x14ac:dyDescent="0.4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</row>
    <row r="293" spans="1:35" ht="13.15" x14ac:dyDescent="0.4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</row>
    <row r="294" spans="1:35" ht="13.15" x14ac:dyDescent="0.4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</row>
    <row r="295" spans="1:35" ht="13.15" x14ac:dyDescent="0.4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/>
      <c r="AE295" s="19"/>
      <c r="AF295" s="19"/>
      <c r="AG295" s="19"/>
      <c r="AH295" s="19"/>
      <c r="AI295" s="19"/>
    </row>
    <row r="296" spans="1:35" ht="13.15" x14ac:dyDescent="0.4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</row>
    <row r="297" spans="1:35" ht="13.15" x14ac:dyDescent="0.4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</row>
    <row r="298" spans="1:35" ht="13.15" x14ac:dyDescent="0.4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</row>
    <row r="299" spans="1:35" ht="13.15" x14ac:dyDescent="0.4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</row>
    <row r="300" spans="1:35" ht="13.15" x14ac:dyDescent="0.4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</row>
    <row r="301" spans="1:35" ht="13.15" x14ac:dyDescent="0.4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</row>
    <row r="302" spans="1:35" ht="13.15" x14ac:dyDescent="0.4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</row>
    <row r="303" spans="1:35" ht="13.15" x14ac:dyDescent="0.4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  <c r="AC303" s="19"/>
      <c r="AD303" s="19"/>
      <c r="AE303" s="19"/>
      <c r="AF303" s="19"/>
      <c r="AG303" s="19"/>
      <c r="AH303" s="19"/>
      <c r="AI303" s="19"/>
    </row>
    <row r="304" spans="1:35" ht="13.15" x14ac:dyDescent="0.4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  <c r="AC304" s="19"/>
      <c r="AD304" s="19"/>
      <c r="AE304" s="19"/>
      <c r="AF304" s="19"/>
      <c r="AG304" s="19"/>
      <c r="AH304" s="19"/>
      <c r="AI304" s="19"/>
    </row>
    <row r="305" spans="1:35" ht="13.15" x14ac:dyDescent="0.4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  <c r="AC305" s="19"/>
      <c r="AD305" s="19"/>
      <c r="AE305" s="19"/>
      <c r="AF305" s="19"/>
      <c r="AG305" s="19"/>
      <c r="AH305" s="19"/>
      <c r="AI305" s="19"/>
    </row>
    <row r="306" spans="1:35" ht="13.15" x14ac:dyDescent="0.4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  <c r="AC306" s="19"/>
      <c r="AD306" s="19"/>
      <c r="AE306" s="19"/>
      <c r="AF306" s="19"/>
      <c r="AG306" s="19"/>
      <c r="AH306" s="19"/>
      <c r="AI306" s="19"/>
    </row>
    <row r="307" spans="1:35" ht="13.15" x14ac:dyDescent="0.4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  <c r="AC307" s="19"/>
      <c r="AD307" s="19"/>
      <c r="AE307" s="19"/>
      <c r="AF307" s="19"/>
      <c r="AG307" s="19"/>
      <c r="AH307" s="19"/>
      <c r="AI307" s="19"/>
    </row>
    <row r="308" spans="1:35" ht="13.15" x14ac:dyDescent="0.4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  <c r="AC308" s="19"/>
      <c r="AD308" s="19"/>
      <c r="AE308" s="19"/>
      <c r="AF308" s="19"/>
      <c r="AG308" s="19"/>
      <c r="AH308" s="19"/>
      <c r="AI308" s="19"/>
    </row>
    <row r="309" spans="1:35" ht="13.15" x14ac:dyDescent="0.4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  <c r="AC309" s="19"/>
      <c r="AD309" s="19"/>
      <c r="AE309" s="19"/>
      <c r="AF309" s="19"/>
      <c r="AG309" s="19"/>
      <c r="AH309" s="19"/>
      <c r="AI309" s="19"/>
    </row>
    <row r="310" spans="1:35" ht="13.15" x14ac:dyDescent="0.4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  <c r="AC310" s="19"/>
      <c r="AD310" s="19"/>
      <c r="AE310" s="19"/>
      <c r="AF310" s="19"/>
      <c r="AG310" s="19"/>
      <c r="AH310" s="19"/>
      <c r="AI310" s="19"/>
    </row>
    <row r="311" spans="1:35" ht="13.15" x14ac:dyDescent="0.4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  <c r="AC311" s="19"/>
      <c r="AD311" s="19"/>
      <c r="AE311" s="19"/>
      <c r="AF311" s="19"/>
      <c r="AG311" s="19"/>
      <c r="AH311" s="19"/>
      <c r="AI311" s="19"/>
    </row>
    <row r="312" spans="1:35" ht="13.15" x14ac:dyDescent="0.4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</row>
    <row r="313" spans="1:35" ht="13.15" x14ac:dyDescent="0.4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</row>
    <row r="314" spans="1:35" ht="13.15" x14ac:dyDescent="0.4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</row>
    <row r="315" spans="1:35" ht="13.15" x14ac:dyDescent="0.4">
      <c r="A315" s="19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</row>
    <row r="316" spans="1:35" ht="13.15" x14ac:dyDescent="0.4">
      <c r="A316" s="19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</row>
    <row r="317" spans="1:35" ht="13.15" x14ac:dyDescent="0.4">
      <c r="A317" s="19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</row>
    <row r="318" spans="1:35" ht="13.15" x14ac:dyDescent="0.4">
      <c r="A318" s="19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</row>
    <row r="319" spans="1:35" ht="13.15" x14ac:dyDescent="0.4">
      <c r="A319" s="19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  <c r="AC319" s="19"/>
      <c r="AD319" s="19"/>
      <c r="AE319" s="19"/>
      <c r="AF319" s="19"/>
      <c r="AG319" s="19"/>
      <c r="AH319" s="19"/>
      <c r="AI319" s="19"/>
    </row>
    <row r="320" spans="1:35" ht="13.15" x14ac:dyDescent="0.4">
      <c r="A320" s="19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  <c r="AC320" s="19"/>
      <c r="AD320" s="19"/>
      <c r="AE320" s="19"/>
      <c r="AF320" s="19"/>
      <c r="AG320" s="19"/>
      <c r="AH320" s="19"/>
      <c r="AI320" s="19"/>
    </row>
    <row r="321" spans="1:35" ht="13.15" x14ac:dyDescent="0.4">
      <c r="A321" s="19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  <c r="AC321" s="19"/>
      <c r="AD321" s="19"/>
      <c r="AE321" s="19"/>
      <c r="AF321" s="19"/>
      <c r="AG321" s="19"/>
      <c r="AH321" s="19"/>
      <c r="AI321" s="19"/>
    </row>
    <row r="322" spans="1:35" ht="13.15" x14ac:dyDescent="0.4">
      <c r="A322" s="19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  <c r="AC322" s="19"/>
      <c r="AD322" s="19"/>
      <c r="AE322" s="19"/>
      <c r="AF322" s="19"/>
      <c r="AG322" s="19"/>
      <c r="AH322" s="19"/>
      <c r="AI322" s="19"/>
    </row>
    <row r="323" spans="1:35" ht="13.15" x14ac:dyDescent="0.4">
      <c r="A323" s="19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  <c r="AC323" s="19"/>
      <c r="AD323" s="19"/>
      <c r="AE323" s="19"/>
      <c r="AF323" s="19"/>
      <c r="AG323" s="19"/>
      <c r="AH323" s="19"/>
      <c r="AI323" s="19"/>
    </row>
    <row r="324" spans="1:35" ht="13.15" x14ac:dyDescent="0.4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  <c r="AC324" s="19"/>
      <c r="AD324" s="19"/>
      <c r="AE324" s="19"/>
      <c r="AF324" s="19"/>
      <c r="AG324" s="19"/>
      <c r="AH324" s="19"/>
      <c r="AI324" s="19"/>
    </row>
    <row r="325" spans="1:35" ht="13.15" x14ac:dyDescent="0.4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  <c r="AC325" s="19"/>
      <c r="AD325" s="19"/>
      <c r="AE325" s="19"/>
      <c r="AF325" s="19"/>
      <c r="AG325" s="19"/>
      <c r="AH325" s="19"/>
      <c r="AI325" s="19"/>
    </row>
    <row r="326" spans="1:35" ht="13.15" x14ac:dyDescent="0.4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  <c r="AD326" s="19"/>
      <c r="AE326" s="19"/>
      <c r="AF326" s="19"/>
      <c r="AG326" s="19"/>
      <c r="AH326" s="19"/>
      <c r="AI326" s="19"/>
    </row>
    <row r="327" spans="1:35" ht="13.15" x14ac:dyDescent="0.4">
      <c r="A327" s="19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  <c r="AC327" s="19"/>
      <c r="AD327" s="19"/>
      <c r="AE327" s="19"/>
      <c r="AF327" s="19"/>
      <c r="AG327" s="19"/>
      <c r="AH327" s="19"/>
      <c r="AI327" s="19"/>
    </row>
    <row r="328" spans="1:35" ht="13.15" x14ac:dyDescent="0.4">
      <c r="A328" s="19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  <c r="AC328" s="19"/>
      <c r="AD328" s="19"/>
      <c r="AE328" s="19"/>
      <c r="AF328" s="19"/>
      <c r="AG328" s="19"/>
      <c r="AH328" s="19"/>
      <c r="AI328" s="19"/>
    </row>
    <row r="329" spans="1:35" ht="13.15" x14ac:dyDescent="0.4">
      <c r="A329" s="19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  <c r="AC329" s="19"/>
      <c r="AD329" s="19"/>
      <c r="AE329" s="19"/>
      <c r="AF329" s="19"/>
      <c r="AG329" s="19"/>
      <c r="AH329" s="19"/>
      <c r="AI329" s="19"/>
    </row>
    <row r="330" spans="1:35" ht="13.15" x14ac:dyDescent="0.4">
      <c r="A330" s="19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  <c r="AC330" s="19"/>
      <c r="AD330" s="19"/>
      <c r="AE330" s="19"/>
      <c r="AF330" s="19"/>
      <c r="AG330" s="19"/>
      <c r="AH330" s="19"/>
      <c r="AI330" s="19"/>
    </row>
    <row r="331" spans="1:35" ht="13.15" x14ac:dyDescent="0.4">
      <c r="A331" s="19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  <c r="AC331" s="19"/>
      <c r="AD331" s="19"/>
      <c r="AE331" s="19"/>
      <c r="AF331" s="19"/>
      <c r="AG331" s="19"/>
      <c r="AH331" s="19"/>
      <c r="AI331" s="19"/>
    </row>
    <row r="332" spans="1:35" ht="13.15" x14ac:dyDescent="0.4">
      <c r="A332" s="19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  <c r="AC332" s="19"/>
      <c r="AD332" s="19"/>
      <c r="AE332" s="19"/>
      <c r="AF332" s="19"/>
      <c r="AG332" s="19"/>
      <c r="AH332" s="19"/>
      <c r="AI332" s="19"/>
    </row>
    <row r="333" spans="1:35" ht="13.15" x14ac:dyDescent="0.4">
      <c r="A333" s="19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  <c r="AC333" s="19"/>
      <c r="AD333" s="19"/>
      <c r="AE333" s="19"/>
      <c r="AF333" s="19"/>
      <c r="AG333" s="19"/>
      <c r="AH333" s="19"/>
      <c r="AI333" s="19"/>
    </row>
    <row r="334" spans="1:35" ht="13.15" x14ac:dyDescent="0.4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  <c r="AC334" s="19"/>
      <c r="AD334" s="19"/>
      <c r="AE334" s="19"/>
      <c r="AF334" s="19"/>
      <c r="AG334" s="19"/>
      <c r="AH334" s="19"/>
      <c r="AI334" s="19"/>
    </row>
    <row r="335" spans="1:35" ht="13.15" x14ac:dyDescent="0.4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  <c r="AC335" s="19"/>
      <c r="AD335" s="19"/>
      <c r="AE335" s="19"/>
      <c r="AF335" s="19"/>
      <c r="AG335" s="19"/>
      <c r="AH335" s="19"/>
      <c r="AI335" s="19"/>
    </row>
    <row r="336" spans="1:35" ht="13.15" x14ac:dyDescent="0.4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  <c r="AC336" s="19"/>
      <c r="AD336" s="19"/>
      <c r="AE336" s="19"/>
      <c r="AF336" s="19"/>
      <c r="AG336" s="19"/>
      <c r="AH336" s="19"/>
      <c r="AI336" s="19"/>
    </row>
    <row r="337" spans="1:35" ht="13.15" x14ac:dyDescent="0.4">
      <c r="A337" s="19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  <c r="AC337" s="19"/>
      <c r="AD337" s="19"/>
      <c r="AE337" s="19"/>
      <c r="AF337" s="19"/>
      <c r="AG337" s="19"/>
      <c r="AH337" s="19"/>
      <c r="AI337" s="19"/>
    </row>
    <row r="338" spans="1:35" ht="13.15" x14ac:dyDescent="0.4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  <c r="AC338" s="19"/>
      <c r="AD338" s="19"/>
      <c r="AE338" s="19"/>
      <c r="AF338" s="19"/>
      <c r="AG338" s="19"/>
      <c r="AH338" s="19"/>
      <c r="AI338" s="19"/>
    </row>
    <row r="339" spans="1:35" ht="13.15" x14ac:dyDescent="0.4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  <c r="AC339" s="19"/>
      <c r="AD339" s="19"/>
      <c r="AE339" s="19"/>
      <c r="AF339" s="19"/>
      <c r="AG339" s="19"/>
      <c r="AH339" s="19"/>
      <c r="AI339" s="19"/>
    </row>
    <row r="340" spans="1:35" ht="13.15" x14ac:dyDescent="0.4">
      <c r="A340" s="19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  <c r="AC340" s="19"/>
      <c r="AD340" s="19"/>
      <c r="AE340" s="19"/>
      <c r="AF340" s="19"/>
      <c r="AG340" s="19"/>
      <c r="AH340" s="19"/>
      <c r="AI340" s="19"/>
    </row>
    <row r="341" spans="1:35" ht="13.15" x14ac:dyDescent="0.4">
      <c r="A341" s="19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  <c r="AC341" s="19"/>
      <c r="AD341" s="19"/>
      <c r="AE341" s="19"/>
      <c r="AF341" s="19"/>
      <c r="AG341" s="19"/>
      <c r="AH341" s="19"/>
      <c r="AI341" s="19"/>
    </row>
    <row r="342" spans="1:35" ht="13.15" x14ac:dyDescent="0.4">
      <c r="A342" s="19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  <c r="AC342" s="19"/>
      <c r="AD342" s="19"/>
      <c r="AE342" s="19"/>
      <c r="AF342" s="19"/>
      <c r="AG342" s="19"/>
      <c r="AH342" s="19"/>
      <c r="AI342" s="19"/>
    </row>
    <row r="343" spans="1:35" ht="13.15" x14ac:dyDescent="0.4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  <c r="AC343" s="19"/>
      <c r="AD343" s="19"/>
      <c r="AE343" s="19"/>
      <c r="AF343" s="19"/>
      <c r="AG343" s="19"/>
      <c r="AH343" s="19"/>
      <c r="AI343" s="19"/>
    </row>
    <row r="344" spans="1:35" ht="13.15" x14ac:dyDescent="0.4">
      <c r="A344" s="19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  <c r="AC344" s="19"/>
      <c r="AD344" s="19"/>
      <c r="AE344" s="19"/>
      <c r="AF344" s="19"/>
      <c r="AG344" s="19"/>
      <c r="AH344" s="19"/>
      <c r="AI344" s="19"/>
    </row>
    <row r="345" spans="1:35" ht="13.15" x14ac:dyDescent="0.4">
      <c r="A345" s="19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  <c r="AC345" s="19"/>
      <c r="AD345" s="19"/>
      <c r="AE345" s="19"/>
      <c r="AF345" s="19"/>
      <c r="AG345" s="19"/>
      <c r="AH345" s="19"/>
      <c r="AI345" s="19"/>
    </row>
    <row r="346" spans="1:35" ht="13.15" x14ac:dyDescent="0.4">
      <c r="A346" s="19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  <c r="AC346" s="19"/>
      <c r="AD346" s="19"/>
      <c r="AE346" s="19"/>
      <c r="AF346" s="19"/>
      <c r="AG346" s="19"/>
      <c r="AH346" s="19"/>
      <c r="AI346" s="19"/>
    </row>
    <row r="347" spans="1:35" ht="13.15" x14ac:dyDescent="0.4">
      <c r="A347" s="19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  <c r="AC347" s="19"/>
      <c r="AD347" s="19"/>
      <c r="AE347" s="19"/>
      <c r="AF347" s="19"/>
      <c r="AG347" s="19"/>
      <c r="AH347" s="19"/>
      <c r="AI347" s="19"/>
    </row>
    <row r="348" spans="1:35" ht="13.15" x14ac:dyDescent="0.4">
      <c r="A348" s="19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  <c r="AC348" s="19"/>
      <c r="AD348" s="19"/>
      <c r="AE348" s="19"/>
      <c r="AF348" s="19"/>
      <c r="AG348" s="19"/>
      <c r="AH348" s="19"/>
      <c r="AI348" s="19"/>
    </row>
    <row r="349" spans="1:35" ht="13.15" x14ac:dyDescent="0.4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  <c r="AC349" s="19"/>
      <c r="AD349" s="19"/>
      <c r="AE349" s="19"/>
      <c r="AF349" s="19"/>
      <c r="AG349" s="19"/>
      <c r="AH349" s="19"/>
      <c r="AI349" s="19"/>
    </row>
    <row r="350" spans="1:35" ht="13.15" x14ac:dyDescent="0.4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  <c r="AC350" s="19"/>
      <c r="AD350" s="19"/>
      <c r="AE350" s="19"/>
      <c r="AF350" s="19"/>
      <c r="AG350" s="19"/>
      <c r="AH350" s="19"/>
      <c r="AI350" s="19"/>
    </row>
    <row r="351" spans="1:35" ht="13.15" x14ac:dyDescent="0.4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  <c r="AC351" s="19"/>
      <c r="AD351" s="19"/>
      <c r="AE351" s="19"/>
      <c r="AF351" s="19"/>
      <c r="AG351" s="19"/>
      <c r="AH351" s="19"/>
      <c r="AI351" s="19"/>
    </row>
    <row r="352" spans="1:35" ht="13.15" x14ac:dyDescent="0.4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  <c r="AC352" s="19"/>
      <c r="AD352" s="19"/>
      <c r="AE352" s="19"/>
      <c r="AF352" s="19"/>
      <c r="AG352" s="19"/>
      <c r="AH352" s="19"/>
      <c r="AI352" s="19"/>
    </row>
    <row r="353" spans="1:35" ht="13.15" x14ac:dyDescent="0.4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  <c r="AC353" s="19"/>
      <c r="AD353" s="19"/>
      <c r="AE353" s="19"/>
      <c r="AF353" s="19"/>
      <c r="AG353" s="19"/>
      <c r="AH353" s="19"/>
      <c r="AI353" s="19"/>
    </row>
    <row r="354" spans="1:35" ht="13.15" x14ac:dyDescent="0.4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  <c r="AC354" s="19"/>
      <c r="AD354" s="19"/>
      <c r="AE354" s="19"/>
      <c r="AF354" s="19"/>
      <c r="AG354" s="19"/>
      <c r="AH354" s="19"/>
      <c r="AI354" s="19"/>
    </row>
    <row r="355" spans="1:35" ht="13.15" x14ac:dyDescent="0.4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  <c r="AC355" s="19"/>
      <c r="AD355" s="19"/>
      <c r="AE355" s="19"/>
      <c r="AF355" s="19"/>
      <c r="AG355" s="19"/>
      <c r="AH355" s="19"/>
      <c r="AI355" s="19"/>
    </row>
    <row r="356" spans="1:35" ht="13.15" x14ac:dyDescent="0.4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  <c r="AC356" s="19"/>
      <c r="AD356" s="19"/>
      <c r="AE356" s="19"/>
      <c r="AF356" s="19"/>
      <c r="AG356" s="19"/>
      <c r="AH356" s="19"/>
      <c r="AI356" s="19"/>
    </row>
    <row r="357" spans="1:35" ht="13.15" x14ac:dyDescent="0.4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  <c r="AC357" s="19"/>
      <c r="AD357" s="19"/>
      <c r="AE357" s="19"/>
      <c r="AF357" s="19"/>
      <c r="AG357" s="19"/>
      <c r="AH357" s="19"/>
      <c r="AI357" s="19"/>
    </row>
    <row r="358" spans="1:35" ht="13.15" x14ac:dyDescent="0.4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19"/>
      <c r="AG358" s="19"/>
      <c r="AH358" s="19"/>
      <c r="AI358" s="19"/>
    </row>
    <row r="359" spans="1:35" ht="13.15" x14ac:dyDescent="0.4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  <c r="AF359" s="19"/>
      <c r="AG359" s="19"/>
      <c r="AH359" s="19"/>
      <c r="AI359" s="19"/>
    </row>
    <row r="360" spans="1:35" ht="13.15" x14ac:dyDescent="0.4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  <c r="AF360" s="19"/>
      <c r="AG360" s="19"/>
      <c r="AH360" s="19"/>
      <c r="AI360" s="19"/>
    </row>
    <row r="361" spans="1:35" ht="13.15" x14ac:dyDescent="0.4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  <c r="AC361" s="19"/>
      <c r="AD361" s="19"/>
      <c r="AE361" s="19"/>
      <c r="AF361" s="19"/>
      <c r="AG361" s="19"/>
      <c r="AH361" s="19"/>
      <c r="AI361" s="19"/>
    </row>
    <row r="362" spans="1:35" ht="13.15" x14ac:dyDescent="0.4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  <c r="AC362" s="19"/>
      <c r="AD362" s="19"/>
      <c r="AE362" s="19"/>
      <c r="AF362" s="19"/>
      <c r="AG362" s="19"/>
      <c r="AH362" s="19"/>
      <c r="AI362" s="19"/>
    </row>
    <row r="363" spans="1:35" ht="13.15" x14ac:dyDescent="0.4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  <c r="AF363" s="19"/>
      <c r="AG363" s="19"/>
      <c r="AH363" s="19"/>
      <c r="AI363" s="19"/>
    </row>
    <row r="364" spans="1:35" ht="13.15" x14ac:dyDescent="0.4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  <c r="AC364" s="19"/>
      <c r="AD364" s="19"/>
      <c r="AE364" s="19"/>
      <c r="AF364" s="19"/>
      <c r="AG364" s="19"/>
      <c r="AH364" s="19"/>
      <c r="AI364" s="19"/>
    </row>
    <row r="365" spans="1:35" ht="13.15" x14ac:dyDescent="0.4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  <c r="AC365" s="19"/>
      <c r="AD365" s="19"/>
      <c r="AE365" s="19"/>
      <c r="AF365" s="19"/>
      <c r="AG365" s="19"/>
      <c r="AH365" s="19"/>
      <c r="AI365" s="19"/>
    </row>
    <row r="366" spans="1:35" ht="13.15" x14ac:dyDescent="0.4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  <c r="AC366" s="19"/>
      <c r="AD366" s="19"/>
      <c r="AE366" s="19"/>
      <c r="AF366" s="19"/>
      <c r="AG366" s="19"/>
      <c r="AH366" s="19"/>
      <c r="AI366" s="19"/>
    </row>
    <row r="367" spans="1:35" ht="13.15" x14ac:dyDescent="0.4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  <c r="AC367" s="19"/>
      <c r="AD367" s="19"/>
      <c r="AE367" s="19"/>
      <c r="AF367" s="19"/>
      <c r="AG367" s="19"/>
      <c r="AH367" s="19"/>
      <c r="AI367" s="19"/>
    </row>
    <row r="368" spans="1:35" ht="13.15" x14ac:dyDescent="0.4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  <c r="AC368" s="19"/>
      <c r="AD368" s="19"/>
      <c r="AE368" s="19"/>
      <c r="AF368" s="19"/>
      <c r="AG368" s="19"/>
      <c r="AH368" s="19"/>
      <c r="AI368" s="19"/>
    </row>
    <row r="369" spans="1:35" ht="13.15" x14ac:dyDescent="0.4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  <c r="AC369" s="19"/>
      <c r="AD369" s="19"/>
      <c r="AE369" s="19"/>
      <c r="AF369" s="19"/>
      <c r="AG369" s="19"/>
      <c r="AH369" s="19"/>
      <c r="AI369" s="19"/>
    </row>
    <row r="370" spans="1:35" ht="13.15" x14ac:dyDescent="0.4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  <c r="AC370" s="19"/>
      <c r="AD370" s="19"/>
      <c r="AE370" s="19"/>
      <c r="AF370" s="19"/>
      <c r="AG370" s="19"/>
      <c r="AH370" s="19"/>
      <c r="AI370" s="19"/>
    </row>
    <row r="371" spans="1:35" ht="13.15" x14ac:dyDescent="0.4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  <c r="AF371" s="19"/>
      <c r="AG371" s="19"/>
      <c r="AH371" s="19"/>
      <c r="AI371" s="19"/>
    </row>
    <row r="372" spans="1:35" ht="13.15" x14ac:dyDescent="0.4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  <c r="AC372" s="19"/>
      <c r="AD372" s="19"/>
      <c r="AE372" s="19"/>
      <c r="AF372" s="19"/>
      <c r="AG372" s="19"/>
      <c r="AH372" s="19"/>
      <c r="AI372" s="19"/>
    </row>
    <row r="373" spans="1:35" ht="13.15" x14ac:dyDescent="0.4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  <c r="AC373" s="19"/>
      <c r="AD373" s="19"/>
      <c r="AE373" s="19"/>
      <c r="AF373" s="19"/>
      <c r="AG373" s="19"/>
      <c r="AH373" s="19"/>
      <c r="AI373" s="19"/>
    </row>
    <row r="374" spans="1:35" ht="13.15" x14ac:dyDescent="0.4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  <c r="AC374" s="19"/>
      <c r="AD374" s="19"/>
      <c r="AE374" s="19"/>
      <c r="AF374" s="19"/>
      <c r="AG374" s="19"/>
      <c r="AH374" s="19"/>
      <c r="AI374" s="19"/>
    </row>
    <row r="375" spans="1:35" ht="13.15" x14ac:dyDescent="0.4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  <c r="AC375" s="19"/>
      <c r="AD375" s="19"/>
      <c r="AE375" s="19"/>
      <c r="AF375" s="19"/>
      <c r="AG375" s="19"/>
      <c r="AH375" s="19"/>
      <c r="AI375" s="19"/>
    </row>
    <row r="376" spans="1:35" ht="13.15" x14ac:dyDescent="0.4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  <c r="AC376" s="19"/>
      <c r="AD376" s="19"/>
      <c r="AE376" s="19"/>
      <c r="AF376" s="19"/>
      <c r="AG376" s="19"/>
      <c r="AH376" s="19"/>
      <c r="AI376" s="19"/>
    </row>
    <row r="377" spans="1:35" ht="13.15" x14ac:dyDescent="0.4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  <c r="AC377" s="19"/>
      <c r="AD377" s="19"/>
      <c r="AE377" s="19"/>
      <c r="AF377" s="19"/>
      <c r="AG377" s="19"/>
      <c r="AH377" s="19"/>
      <c r="AI377" s="19"/>
    </row>
    <row r="378" spans="1:35" ht="13.15" x14ac:dyDescent="0.4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  <c r="AC378" s="19"/>
      <c r="AD378" s="19"/>
      <c r="AE378" s="19"/>
      <c r="AF378" s="19"/>
      <c r="AG378" s="19"/>
      <c r="AH378" s="19"/>
      <c r="AI378" s="19"/>
    </row>
    <row r="379" spans="1:35" ht="13.15" x14ac:dyDescent="0.4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  <c r="AC379" s="19"/>
      <c r="AD379" s="19"/>
      <c r="AE379" s="19"/>
      <c r="AF379" s="19"/>
      <c r="AG379" s="19"/>
      <c r="AH379" s="19"/>
      <c r="AI379" s="19"/>
    </row>
    <row r="380" spans="1:35" ht="13.15" x14ac:dyDescent="0.4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  <c r="AC380" s="19"/>
      <c r="AD380" s="19"/>
      <c r="AE380" s="19"/>
      <c r="AF380" s="19"/>
      <c r="AG380" s="19"/>
      <c r="AH380" s="19"/>
      <c r="AI380" s="19"/>
    </row>
    <row r="381" spans="1:35" ht="13.15" x14ac:dyDescent="0.4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E381" s="19"/>
      <c r="AF381" s="19"/>
      <c r="AG381" s="19"/>
      <c r="AH381" s="19"/>
      <c r="AI381" s="19"/>
    </row>
    <row r="382" spans="1:35" ht="13.15" x14ac:dyDescent="0.4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  <c r="AC382" s="19"/>
      <c r="AD382" s="19"/>
      <c r="AE382" s="19"/>
      <c r="AF382" s="19"/>
      <c r="AG382" s="19"/>
      <c r="AH382" s="19"/>
      <c r="AI382" s="19"/>
    </row>
    <row r="383" spans="1:35" ht="13.15" x14ac:dyDescent="0.4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  <c r="AC383" s="19"/>
      <c r="AD383" s="19"/>
      <c r="AE383" s="19"/>
      <c r="AF383" s="19"/>
      <c r="AG383" s="19"/>
      <c r="AH383" s="19"/>
      <c r="AI383" s="19"/>
    </row>
    <row r="384" spans="1:35" ht="13.15" x14ac:dyDescent="0.4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  <c r="AC384" s="19"/>
      <c r="AD384" s="19"/>
      <c r="AE384" s="19"/>
      <c r="AF384" s="19"/>
      <c r="AG384" s="19"/>
      <c r="AH384" s="19"/>
      <c r="AI384" s="19"/>
    </row>
    <row r="385" spans="1:35" ht="13.15" x14ac:dyDescent="0.4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  <c r="AE385" s="19"/>
      <c r="AF385" s="19"/>
      <c r="AG385" s="19"/>
      <c r="AH385" s="19"/>
      <c r="AI385" s="19"/>
    </row>
    <row r="386" spans="1:35" ht="13.15" x14ac:dyDescent="0.4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9"/>
      <c r="AE386" s="19"/>
      <c r="AF386" s="19"/>
      <c r="AG386" s="19"/>
      <c r="AH386" s="19"/>
      <c r="AI386" s="19"/>
    </row>
    <row r="387" spans="1:35" ht="13.15" x14ac:dyDescent="0.4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  <c r="AE387" s="19"/>
      <c r="AF387" s="19"/>
      <c r="AG387" s="19"/>
      <c r="AH387" s="19"/>
      <c r="AI387" s="19"/>
    </row>
    <row r="388" spans="1:35" ht="13.15" x14ac:dyDescent="0.4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  <c r="AC388" s="19"/>
      <c r="AD388" s="19"/>
      <c r="AE388" s="19"/>
      <c r="AF388" s="19"/>
      <c r="AG388" s="19"/>
      <c r="AH388" s="19"/>
      <c r="AI388" s="19"/>
    </row>
    <row r="389" spans="1:35" ht="13.15" x14ac:dyDescent="0.4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  <c r="AC389" s="19"/>
      <c r="AD389" s="19"/>
      <c r="AE389" s="19"/>
      <c r="AF389" s="19"/>
      <c r="AG389" s="19"/>
      <c r="AH389" s="19"/>
      <c r="AI389" s="19"/>
    </row>
    <row r="390" spans="1:35" ht="13.15" x14ac:dyDescent="0.4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  <c r="AC390" s="19"/>
      <c r="AD390" s="19"/>
      <c r="AE390" s="19"/>
      <c r="AF390" s="19"/>
      <c r="AG390" s="19"/>
      <c r="AH390" s="19"/>
      <c r="AI390" s="19"/>
    </row>
    <row r="391" spans="1:35" ht="13.15" x14ac:dyDescent="0.4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  <c r="AC391" s="19"/>
      <c r="AD391" s="19"/>
      <c r="AE391" s="19"/>
      <c r="AF391" s="19"/>
      <c r="AG391" s="19"/>
      <c r="AH391" s="19"/>
      <c r="AI391" s="19"/>
    </row>
    <row r="392" spans="1:35" ht="13.15" x14ac:dyDescent="0.4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E392" s="19"/>
      <c r="AF392" s="19"/>
      <c r="AG392" s="19"/>
      <c r="AH392" s="19"/>
      <c r="AI392" s="19"/>
    </row>
    <row r="393" spans="1:35" ht="13.15" x14ac:dyDescent="0.4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/>
      <c r="AE393" s="19"/>
      <c r="AF393" s="19"/>
      <c r="AG393" s="19"/>
      <c r="AH393" s="19"/>
      <c r="AI393" s="19"/>
    </row>
    <row r="394" spans="1:35" ht="13.15" x14ac:dyDescent="0.4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  <c r="AF394" s="19"/>
      <c r="AG394" s="19"/>
      <c r="AH394" s="19"/>
      <c r="AI394" s="19"/>
    </row>
    <row r="395" spans="1:35" ht="13.15" x14ac:dyDescent="0.4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19"/>
      <c r="AD395" s="19"/>
      <c r="AE395" s="19"/>
      <c r="AF395" s="19"/>
      <c r="AG395" s="19"/>
      <c r="AH395" s="19"/>
      <c r="AI395" s="19"/>
    </row>
    <row r="396" spans="1:35" ht="13.15" x14ac:dyDescent="0.4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/>
      <c r="AD396" s="19"/>
      <c r="AE396" s="19"/>
      <c r="AF396" s="19"/>
      <c r="AG396" s="19"/>
      <c r="AH396" s="19"/>
      <c r="AI396" s="19"/>
    </row>
    <row r="397" spans="1:35" ht="13.15" x14ac:dyDescent="0.4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  <c r="AC397" s="19"/>
      <c r="AD397" s="19"/>
      <c r="AE397" s="19"/>
      <c r="AF397" s="19"/>
      <c r="AG397" s="19"/>
      <c r="AH397" s="19"/>
      <c r="AI397" s="19"/>
    </row>
    <row r="398" spans="1:35" ht="13.15" x14ac:dyDescent="0.4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  <c r="AC398" s="19"/>
      <c r="AD398" s="19"/>
      <c r="AE398" s="19"/>
      <c r="AF398" s="19"/>
      <c r="AG398" s="19"/>
      <c r="AH398" s="19"/>
      <c r="AI398" s="19"/>
    </row>
    <row r="399" spans="1:35" ht="13.15" x14ac:dyDescent="0.4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  <c r="AC399" s="19"/>
      <c r="AD399" s="19"/>
      <c r="AE399" s="19"/>
      <c r="AF399" s="19"/>
      <c r="AG399" s="19"/>
      <c r="AH399" s="19"/>
      <c r="AI399" s="19"/>
    </row>
    <row r="400" spans="1:35" ht="13.15" x14ac:dyDescent="0.4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  <c r="AC400" s="19"/>
      <c r="AD400" s="19"/>
      <c r="AE400" s="19"/>
      <c r="AF400" s="19"/>
      <c r="AG400" s="19"/>
      <c r="AH400" s="19"/>
      <c r="AI400" s="19"/>
    </row>
    <row r="401" spans="1:35" ht="13.15" x14ac:dyDescent="0.4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  <c r="AC401" s="19"/>
      <c r="AD401" s="19"/>
      <c r="AE401" s="19"/>
      <c r="AF401" s="19"/>
      <c r="AG401" s="19"/>
      <c r="AH401" s="19"/>
      <c r="AI401" s="19"/>
    </row>
    <row r="402" spans="1:35" ht="13.15" x14ac:dyDescent="0.4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  <c r="AC402" s="19"/>
      <c r="AD402" s="19"/>
      <c r="AE402" s="19"/>
      <c r="AF402" s="19"/>
      <c r="AG402" s="19"/>
      <c r="AH402" s="19"/>
      <c r="AI402" s="19"/>
    </row>
    <row r="403" spans="1:35" ht="13.15" x14ac:dyDescent="0.4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/>
      <c r="AD403" s="19"/>
      <c r="AE403" s="19"/>
      <c r="AF403" s="19"/>
      <c r="AG403" s="19"/>
      <c r="AH403" s="19"/>
      <c r="AI403" s="19"/>
    </row>
    <row r="404" spans="1:35" ht="13.15" x14ac:dyDescent="0.4">
      <c r="A404" s="19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  <c r="AC404" s="19"/>
      <c r="AD404" s="19"/>
      <c r="AE404" s="19"/>
      <c r="AF404" s="19"/>
      <c r="AG404" s="19"/>
      <c r="AH404" s="19"/>
      <c r="AI404" s="19"/>
    </row>
    <row r="405" spans="1:35" ht="13.15" x14ac:dyDescent="0.4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  <c r="AC405" s="19"/>
      <c r="AD405" s="19"/>
      <c r="AE405" s="19"/>
      <c r="AF405" s="19"/>
      <c r="AG405" s="19"/>
      <c r="AH405" s="19"/>
      <c r="AI405" s="19"/>
    </row>
    <row r="406" spans="1:35" ht="13.15" x14ac:dyDescent="0.4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  <c r="AC406" s="19"/>
      <c r="AD406" s="19"/>
      <c r="AE406" s="19"/>
      <c r="AF406" s="19"/>
      <c r="AG406" s="19"/>
      <c r="AH406" s="19"/>
      <c r="AI406" s="19"/>
    </row>
    <row r="407" spans="1:35" ht="13.15" x14ac:dyDescent="0.4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  <c r="AC407" s="19"/>
      <c r="AD407" s="19"/>
      <c r="AE407" s="19"/>
      <c r="AF407" s="19"/>
      <c r="AG407" s="19"/>
      <c r="AH407" s="19"/>
      <c r="AI407" s="19"/>
    </row>
    <row r="408" spans="1:35" ht="13.15" x14ac:dyDescent="0.4">
      <c r="A408" s="19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  <c r="AC408" s="19"/>
      <c r="AD408" s="19"/>
      <c r="AE408" s="19"/>
      <c r="AF408" s="19"/>
      <c r="AG408" s="19"/>
      <c r="AH408" s="19"/>
      <c r="AI408" s="19"/>
    </row>
    <row r="409" spans="1:35" ht="13.15" x14ac:dyDescent="0.4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  <c r="AC409" s="19"/>
      <c r="AD409" s="19"/>
      <c r="AE409" s="19"/>
      <c r="AF409" s="19"/>
      <c r="AG409" s="19"/>
      <c r="AH409" s="19"/>
      <c r="AI409" s="19"/>
    </row>
    <row r="410" spans="1:35" ht="13.15" x14ac:dyDescent="0.4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  <c r="AC410" s="19"/>
      <c r="AD410" s="19"/>
      <c r="AE410" s="19"/>
      <c r="AF410" s="19"/>
      <c r="AG410" s="19"/>
      <c r="AH410" s="19"/>
      <c r="AI410" s="19"/>
    </row>
    <row r="411" spans="1:35" ht="13.15" x14ac:dyDescent="0.4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  <c r="AC411" s="19"/>
      <c r="AD411" s="19"/>
      <c r="AE411" s="19"/>
      <c r="AF411" s="19"/>
      <c r="AG411" s="19"/>
      <c r="AH411" s="19"/>
      <c r="AI411" s="19"/>
    </row>
    <row r="412" spans="1:35" ht="13.15" x14ac:dyDescent="0.4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  <c r="AC412" s="19"/>
      <c r="AD412" s="19"/>
      <c r="AE412" s="19"/>
      <c r="AF412" s="19"/>
      <c r="AG412" s="19"/>
      <c r="AH412" s="19"/>
      <c r="AI412" s="19"/>
    </row>
    <row r="413" spans="1:35" ht="13.15" x14ac:dyDescent="0.4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  <c r="AC413" s="19"/>
      <c r="AD413" s="19"/>
      <c r="AE413" s="19"/>
      <c r="AF413" s="19"/>
      <c r="AG413" s="19"/>
      <c r="AH413" s="19"/>
      <c r="AI413" s="19"/>
    </row>
    <row r="414" spans="1:35" ht="13.15" x14ac:dyDescent="0.4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  <c r="AC414" s="19"/>
      <c r="AD414" s="19"/>
      <c r="AE414" s="19"/>
      <c r="AF414" s="19"/>
      <c r="AG414" s="19"/>
      <c r="AH414" s="19"/>
      <c r="AI414" s="19"/>
    </row>
    <row r="415" spans="1:35" ht="13.15" x14ac:dyDescent="0.4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  <c r="AC415" s="19"/>
      <c r="AD415" s="19"/>
      <c r="AE415" s="19"/>
      <c r="AF415" s="19"/>
      <c r="AG415" s="19"/>
      <c r="AH415" s="19"/>
      <c r="AI415" s="19"/>
    </row>
    <row r="416" spans="1:35" ht="13.15" x14ac:dyDescent="0.4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  <c r="AC416" s="19"/>
      <c r="AD416" s="19"/>
      <c r="AE416" s="19"/>
      <c r="AF416" s="19"/>
      <c r="AG416" s="19"/>
      <c r="AH416" s="19"/>
      <c r="AI416" s="19"/>
    </row>
    <row r="417" spans="1:35" ht="13.15" x14ac:dyDescent="0.4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  <c r="AC417" s="19"/>
      <c r="AD417" s="19"/>
      <c r="AE417" s="19"/>
      <c r="AF417" s="19"/>
      <c r="AG417" s="19"/>
      <c r="AH417" s="19"/>
      <c r="AI417" s="19"/>
    </row>
    <row r="418" spans="1:35" ht="13.15" x14ac:dyDescent="0.4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  <c r="AC418" s="19"/>
      <c r="AD418" s="19"/>
      <c r="AE418" s="19"/>
      <c r="AF418" s="19"/>
      <c r="AG418" s="19"/>
      <c r="AH418" s="19"/>
      <c r="AI418" s="19"/>
    </row>
    <row r="419" spans="1:35" ht="13.15" x14ac:dyDescent="0.4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  <c r="AC419" s="19"/>
      <c r="AD419" s="19"/>
      <c r="AE419" s="19"/>
      <c r="AF419" s="19"/>
      <c r="AG419" s="19"/>
      <c r="AH419" s="19"/>
      <c r="AI419" s="19"/>
    </row>
    <row r="420" spans="1:35" ht="13.15" x14ac:dyDescent="0.4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  <c r="AC420" s="19"/>
      <c r="AD420" s="19"/>
      <c r="AE420" s="19"/>
      <c r="AF420" s="19"/>
      <c r="AG420" s="19"/>
      <c r="AH420" s="19"/>
      <c r="AI420" s="19"/>
    </row>
    <row r="421" spans="1:35" ht="13.15" x14ac:dyDescent="0.4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  <c r="AC421" s="19"/>
      <c r="AD421" s="19"/>
      <c r="AE421" s="19"/>
      <c r="AF421" s="19"/>
      <c r="AG421" s="19"/>
      <c r="AH421" s="19"/>
      <c r="AI421" s="19"/>
    </row>
    <row r="422" spans="1:35" ht="13.15" x14ac:dyDescent="0.4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  <c r="AC422" s="19"/>
      <c r="AD422" s="19"/>
      <c r="AE422" s="19"/>
      <c r="AF422" s="19"/>
      <c r="AG422" s="19"/>
      <c r="AH422" s="19"/>
      <c r="AI422" s="19"/>
    </row>
    <row r="423" spans="1:35" ht="13.15" x14ac:dyDescent="0.4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  <c r="AC423" s="19"/>
      <c r="AD423" s="19"/>
      <c r="AE423" s="19"/>
      <c r="AF423" s="19"/>
      <c r="AG423" s="19"/>
      <c r="AH423" s="19"/>
      <c r="AI423" s="19"/>
    </row>
    <row r="424" spans="1:35" ht="13.15" x14ac:dyDescent="0.4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  <c r="AC424" s="19"/>
      <c r="AD424" s="19"/>
      <c r="AE424" s="19"/>
      <c r="AF424" s="19"/>
      <c r="AG424" s="19"/>
      <c r="AH424" s="19"/>
      <c r="AI424" s="19"/>
    </row>
    <row r="425" spans="1:35" ht="13.15" x14ac:dyDescent="0.4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  <c r="AB425" s="19"/>
      <c r="AC425" s="19"/>
      <c r="AD425" s="19"/>
      <c r="AE425" s="19"/>
      <c r="AF425" s="19"/>
      <c r="AG425" s="19"/>
      <c r="AH425" s="19"/>
      <c r="AI425" s="19"/>
    </row>
    <row r="426" spans="1:35" ht="13.15" x14ac:dyDescent="0.4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  <c r="AB426" s="19"/>
      <c r="AC426" s="19"/>
      <c r="AD426" s="19"/>
      <c r="AE426" s="19"/>
      <c r="AF426" s="19"/>
      <c r="AG426" s="19"/>
      <c r="AH426" s="19"/>
      <c r="AI426" s="19"/>
    </row>
    <row r="427" spans="1:35" ht="13.15" x14ac:dyDescent="0.4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/>
      <c r="AC427" s="19"/>
      <c r="AD427" s="19"/>
      <c r="AE427" s="19"/>
      <c r="AF427" s="19"/>
      <c r="AG427" s="19"/>
      <c r="AH427" s="19"/>
      <c r="AI427" s="19"/>
    </row>
    <row r="428" spans="1:35" ht="13.15" x14ac:dyDescent="0.4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  <c r="AC428" s="19"/>
      <c r="AD428" s="19"/>
      <c r="AE428" s="19"/>
      <c r="AF428" s="19"/>
      <c r="AG428" s="19"/>
      <c r="AH428" s="19"/>
      <c r="AI428" s="19"/>
    </row>
    <row r="429" spans="1:35" ht="13.15" x14ac:dyDescent="0.4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  <c r="AC429" s="19"/>
      <c r="AD429" s="19"/>
      <c r="AE429" s="19"/>
      <c r="AF429" s="19"/>
      <c r="AG429" s="19"/>
      <c r="AH429" s="19"/>
      <c r="AI429" s="19"/>
    </row>
    <row r="430" spans="1:35" ht="13.15" x14ac:dyDescent="0.4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  <c r="AC430" s="19"/>
      <c r="AD430" s="19"/>
      <c r="AE430" s="19"/>
      <c r="AF430" s="19"/>
      <c r="AG430" s="19"/>
      <c r="AH430" s="19"/>
      <c r="AI430" s="19"/>
    </row>
    <row r="431" spans="1:35" ht="13.15" x14ac:dyDescent="0.4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  <c r="AC431" s="19"/>
      <c r="AD431" s="19"/>
      <c r="AE431" s="19"/>
      <c r="AF431" s="19"/>
      <c r="AG431" s="19"/>
      <c r="AH431" s="19"/>
      <c r="AI431" s="19"/>
    </row>
    <row r="432" spans="1:35" ht="13.15" x14ac:dyDescent="0.4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  <c r="AB432" s="19"/>
      <c r="AC432" s="19"/>
      <c r="AD432" s="19"/>
      <c r="AE432" s="19"/>
      <c r="AF432" s="19"/>
      <c r="AG432" s="19"/>
      <c r="AH432" s="19"/>
      <c r="AI432" s="19"/>
    </row>
    <row r="433" spans="1:35" ht="13.15" x14ac:dyDescent="0.4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  <c r="AC433" s="19"/>
      <c r="AD433" s="19"/>
      <c r="AE433" s="19"/>
      <c r="AF433" s="19"/>
      <c r="AG433" s="19"/>
      <c r="AH433" s="19"/>
      <c r="AI433" s="19"/>
    </row>
    <row r="434" spans="1:35" ht="13.15" x14ac:dyDescent="0.4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/>
      <c r="AC434" s="19"/>
      <c r="AD434" s="19"/>
      <c r="AE434" s="19"/>
      <c r="AF434" s="19"/>
      <c r="AG434" s="19"/>
      <c r="AH434" s="19"/>
      <c r="AI434" s="19"/>
    </row>
    <row r="435" spans="1:35" ht="13.15" x14ac:dyDescent="0.4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  <c r="AC435" s="19"/>
      <c r="AD435" s="19"/>
      <c r="AE435" s="19"/>
      <c r="AF435" s="19"/>
      <c r="AG435" s="19"/>
      <c r="AH435" s="19"/>
      <c r="AI435" s="19"/>
    </row>
    <row r="436" spans="1:35" ht="13.15" x14ac:dyDescent="0.4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  <c r="AC436" s="19"/>
      <c r="AD436" s="19"/>
      <c r="AE436" s="19"/>
      <c r="AF436" s="19"/>
      <c r="AG436" s="19"/>
      <c r="AH436" s="19"/>
      <c r="AI436" s="19"/>
    </row>
    <row r="437" spans="1:35" ht="13.15" x14ac:dyDescent="0.4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  <c r="AC437" s="19"/>
      <c r="AD437" s="19"/>
      <c r="AE437" s="19"/>
      <c r="AF437" s="19"/>
      <c r="AG437" s="19"/>
      <c r="AH437" s="19"/>
      <c r="AI437" s="19"/>
    </row>
    <row r="438" spans="1:35" ht="13.15" x14ac:dyDescent="0.4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  <c r="AC438" s="19"/>
      <c r="AD438" s="19"/>
      <c r="AE438" s="19"/>
      <c r="AF438" s="19"/>
      <c r="AG438" s="19"/>
      <c r="AH438" s="19"/>
      <c r="AI438" s="19"/>
    </row>
    <row r="439" spans="1:35" ht="13.15" x14ac:dyDescent="0.4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  <c r="AC439" s="19"/>
      <c r="AD439" s="19"/>
      <c r="AE439" s="19"/>
      <c r="AF439" s="19"/>
      <c r="AG439" s="19"/>
      <c r="AH439" s="19"/>
      <c r="AI439" s="19"/>
    </row>
    <row r="440" spans="1:35" ht="13.15" x14ac:dyDescent="0.4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  <c r="AC440" s="19"/>
      <c r="AD440" s="19"/>
      <c r="AE440" s="19"/>
      <c r="AF440" s="19"/>
      <c r="AG440" s="19"/>
      <c r="AH440" s="19"/>
      <c r="AI440" s="19"/>
    </row>
    <row r="441" spans="1:35" ht="13.15" x14ac:dyDescent="0.4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  <c r="AC441" s="19"/>
      <c r="AD441" s="19"/>
      <c r="AE441" s="19"/>
      <c r="AF441" s="19"/>
      <c r="AG441" s="19"/>
      <c r="AH441" s="19"/>
      <c r="AI441" s="19"/>
    </row>
    <row r="442" spans="1:35" ht="13.15" x14ac:dyDescent="0.4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  <c r="AC442" s="19"/>
      <c r="AD442" s="19"/>
      <c r="AE442" s="19"/>
      <c r="AF442" s="19"/>
      <c r="AG442" s="19"/>
      <c r="AH442" s="19"/>
      <c r="AI442" s="19"/>
    </row>
    <row r="443" spans="1:35" ht="13.15" x14ac:dyDescent="0.4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  <c r="AC443" s="19"/>
      <c r="AD443" s="19"/>
      <c r="AE443" s="19"/>
      <c r="AF443" s="19"/>
      <c r="AG443" s="19"/>
      <c r="AH443" s="19"/>
      <c r="AI443" s="19"/>
    </row>
    <row r="444" spans="1:35" ht="13.15" x14ac:dyDescent="0.4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  <c r="AC444" s="19"/>
      <c r="AD444" s="19"/>
      <c r="AE444" s="19"/>
      <c r="AF444" s="19"/>
      <c r="AG444" s="19"/>
      <c r="AH444" s="19"/>
      <c r="AI444" s="19"/>
    </row>
    <row r="445" spans="1:35" ht="13.15" x14ac:dyDescent="0.4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  <c r="AC445" s="19"/>
      <c r="AD445" s="19"/>
      <c r="AE445" s="19"/>
      <c r="AF445" s="19"/>
      <c r="AG445" s="19"/>
      <c r="AH445" s="19"/>
      <c r="AI445" s="19"/>
    </row>
    <row r="446" spans="1:35" ht="13.15" x14ac:dyDescent="0.4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  <c r="AB446" s="19"/>
      <c r="AC446" s="19"/>
      <c r="AD446" s="19"/>
      <c r="AE446" s="19"/>
      <c r="AF446" s="19"/>
      <c r="AG446" s="19"/>
      <c r="AH446" s="19"/>
      <c r="AI446" s="19"/>
    </row>
    <row r="447" spans="1:35" ht="13.15" x14ac:dyDescent="0.4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  <c r="AC447" s="19"/>
      <c r="AD447" s="19"/>
      <c r="AE447" s="19"/>
      <c r="AF447" s="19"/>
      <c r="AG447" s="19"/>
      <c r="AH447" s="19"/>
      <c r="AI447" s="19"/>
    </row>
    <row r="448" spans="1:35" ht="13.15" x14ac:dyDescent="0.4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  <c r="AC448" s="19"/>
      <c r="AD448" s="19"/>
      <c r="AE448" s="19"/>
      <c r="AF448" s="19"/>
      <c r="AG448" s="19"/>
      <c r="AH448" s="19"/>
      <c r="AI448" s="19"/>
    </row>
    <row r="449" spans="1:35" ht="13.15" x14ac:dyDescent="0.4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  <c r="AC449" s="19"/>
      <c r="AD449" s="19"/>
      <c r="AE449" s="19"/>
      <c r="AF449" s="19"/>
      <c r="AG449" s="19"/>
      <c r="AH449" s="19"/>
      <c r="AI449" s="19"/>
    </row>
    <row r="450" spans="1:35" ht="13.15" x14ac:dyDescent="0.4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/>
      <c r="AC450" s="19"/>
      <c r="AD450" s="19"/>
      <c r="AE450" s="19"/>
      <c r="AF450" s="19"/>
      <c r="AG450" s="19"/>
      <c r="AH450" s="19"/>
      <c r="AI450" s="19"/>
    </row>
    <row r="451" spans="1:35" ht="13.15" x14ac:dyDescent="0.4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  <c r="AB451" s="19"/>
      <c r="AC451" s="19"/>
      <c r="AD451" s="19"/>
      <c r="AE451" s="19"/>
      <c r="AF451" s="19"/>
      <c r="AG451" s="19"/>
      <c r="AH451" s="19"/>
      <c r="AI451" s="19"/>
    </row>
    <row r="452" spans="1:35" ht="13.15" x14ac:dyDescent="0.4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  <c r="AB452" s="19"/>
      <c r="AC452" s="19"/>
      <c r="AD452" s="19"/>
      <c r="AE452" s="19"/>
      <c r="AF452" s="19"/>
      <c r="AG452" s="19"/>
      <c r="AH452" s="19"/>
      <c r="AI452" s="19"/>
    </row>
    <row r="453" spans="1:35" ht="13.15" x14ac:dyDescent="0.4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  <c r="AB453" s="19"/>
      <c r="AC453" s="19"/>
      <c r="AD453" s="19"/>
      <c r="AE453" s="19"/>
      <c r="AF453" s="19"/>
      <c r="AG453" s="19"/>
      <c r="AH453" s="19"/>
      <c r="AI453" s="19"/>
    </row>
    <row r="454" spans="1:35" ht="13.15" x14ac:dyDescent="0.4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  <c r="AB454" s="19"/>
      <c r="AC454" s="19"/>
      <c r="AD454" s="19"/>
      <c r="AE454" s="19"/>
      <c r="AF454" s="19"/>
      <c r="AG454" s="19"/>
      <c r="AH454" s="19"/>
      <c r="AI454" s="19"/>
    </row>
    <row r="455" spans="1:35" ht="13.15" x14ac:dyDescent="0.4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  <c r="AB455" s="19"/>
      <c r="AC455" s="19"/>
      <c r="AD455" s="19"/>
      <c r="AE455" s="19"/>
      <c r="AF455" s="19"/>
      <c r="AG455" s="19"/>
      <c r="AH455" s="19"/>
      <c r="AI455" s="19"/>
    </row>
    <row r="456" spans="1:35" ht="13.15" x14ac:dyDescent="0.4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  <c r="AC456" s="19"/>
      <c r="AD456" s="19"/>
      <c r="AE456" s="19"/>
      <c r="AF456" s="19"/>
      <c r="AG456" s="19"/>
      <c r="AH456" s="19"/>
      <c r="AI456" s="19"/>
    </row>
    <row r="457" spans="1:35" ht="13.15" x14ac:dyDescent="0.4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  <c r="AA457" s="19"/>
      <c r="AB457" s="19"/>
      <c r="AC457" s="19"/>
      <c r="AD457" s="19"/>
      <c r="AE457" s="19"/>
      <c r="AF457" s="19"/>
      <c r="AG457" s="19"/>
      <c r="AH457" s="19"/>
      <c r="AI457" s="19"/>
    </row>
    <row r="458" spans="1:35" ht="13.15" x14ac:dyDescent="0.4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  <c r="AA458" s="19"/>
      <c r="AB458" s="19"/>
      <c r="AC458" s="19"/>
      <c r="AD458" s="19"/>
      <c r="AE458" s="19"/>
      <c r="AF458" s="19"/>
      <c r="AG458" s="19"/>
      <c r="AH458" s="19"/>
      <c r="AI458" s="19"/>
    </row>
    <row r="459" spans="1:35" ht="13.15" x14ac:dyDescent="0.4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  <c r="AB459" s="19"/>
      <c r="AC459" s="19"/>
      <c r="AD459" s="19"/>
      <c r="AE459" s="19"/>
      <c r="AF459" s="19"/>
      <c r="AG459" s="19"/>
      <c r="AH459" s="19"/>
      <c r="AI459" s="19"/>
    </row>
    <row r="460" spans="1:35" ht="13.15" x14ac:dyDescent="0.4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  <c r="AB460" s="19"/>
      <c r="AC460" s="19"/>
      <c r="AD460" s="19"/>
      <c r="AE460" s="19"/>
      <c r="AF460" s="19"/>
      <c r="AG460" s="19"/>
      <c r="AH460" s="19"/>
      <c r="AI460" s="19"/>
    </row>
    <row r="461" spans="1:35" ht="13.15" x14ac:dyDescent="0.4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  <c r="AB461" s="19"/>
      <c r="AC461" s="19"/>
      <c r="AD461" s="19"/>
      <c r="AE461" s="19"/>
      <c r="AF461" s="19"/>
      <c r="AG461" s="19"/>
      <c r="AH461" s="19"/>
      <c r="AI461" s="19"/>
    </row>
    <row r="462" spans="1:35" ht="13.15" x14ac:dyDescent="0.4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  <c r="AC462" s="19"/>
      <c r="AD462" s="19"/>
      <c r="AE462" s="19"/>
      <c r="AF462" s="19"/>
      <c r="AG462" s="19"/>
      <c r="AH462" s="19"/>
      <c r="AI462" s="19"/>
    </row>
    <row r="463" spans="1:35" ht="13.15" x14ac:dyDescent="0.4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  <c r="AB463" s="19"/>
      <c r="AC463" s="19"/>
      <c r="AD463" s="19"/>
      <c r="AE463" s="19"/>
      <c r="AF463" s="19"/>
      <c r="AG463" s="19"/>
      <c r="AH463" s="19"/>
      <c r="AI463" s="19"/>
    </row>
    <row r="464" spans="1:35" ht="13.15" x14ac:dyDescent="0.4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  <c r="AC464" s="19"/>
      <c r="AD464" s="19"/>
      <c r="AE464" s="19"/>
      <c r="AF464" s="19"/>
      <c r="AG464" s="19"/>
      <c r="AH464" s="19"/>
      <c r="AI464" s="19"/>
    </row>
    <row r="465" spans="1:35" ht="13.15" x14ac:dyDescent="0.4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/>
      <c r="AC465" s="19"/>
      <c r="AD465" s="19"/>
      <c r="AE465" s="19"/>
      <c r="AF465" s="19"/>
      <c r="AG465" s="19"/>
      <c r="AH465" s="19"/>
      <c r="AI465" s="19"/>
    </row>
    <row r="466" spans="1:35" ht="13.15" x14ac:dyDescent="0.4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  <c r="AB466" s="19"/>
      <c r="AC466" s="19"/>
      <c r="AD466" s="19"/>
      <c r="AE466" s="19"/>
      <c r="AF466" s="19"/>
      <c r="AG466" s="19"/>
      <c r="AH466" s="19"/>
      <c r="AI466" s="19"/>
    </row>
    <row r="467" spans="1:35" ht="13.15" x14ac:dyDescent="0.4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  <c r="AC467" s="19"/>
      <c r="AD467" s="19"/>
      <c r="AE467" s="19"/>
      <c r="AF467" s="19"/>
      <c r="AG467" s="19"/>
      <c r="AH467" s="19"/>
      <c r="AI467" s="19"/>
    </row>
    <row r="468" spans="1:35" ht="13.15" x14ac:dyDescent="0.4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  <c r="AB468" s="19"/>
      <c r="AC468" s="19"/>
      <c r="AD468" s="19"/>
      <c r="AE468" s="19"/>
      <c r="AF468" s="19"/>
      <c r="AG468" s="19"/>
      <c r="AH468" s="19"/>
      <c r="AI468" s="19"/>
    </row>
    <row r="469" spans="1:35" ht="13.15" x14ac:dyDescent="0.4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  <c r="AB469" s="19"/>
      <c r="AC469" s="19"/>
      <c r="AD469" s="19"/>
      <c r="AE469" s="19"/>
      <c r="AF469" s="19"/>
      <c r="AG469" s="19"/>
      <c r="AH469" s="19"/>
      <c r="AI469" s="19"/>
    </row>
    <row r="470" spans="1:35" ht="13.15" x14ac:dyDescent="0.4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  <c r="AB470" s="19"/>
      <c r="AC470" s="19"/>
      <c r="AD470" s="19"/>
      <c r="AE470" s="19"/>
      <c r="AF470" s="19"/>
      <c r="AG470" s="19"/>
      <c r="AH470" s="19"/>
      <c r="AI470" s="19"/>
    </row>
    <row r="471" spans="1:35" ht="13.15" x14ac:dyDescent="0.4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  <c r="AC471" s="19"/>
      <c r="AD471" s="19"/>
      <c r="AE471" s="19"/>
      <c r="AF471" s="19"/>
      <c r="AG471" s="19"/>
      <c r="AH471" s="19"/>
      <c r="AI471" s="19"/>
    </row>
    <row r="472" spans="1:35" ht="13.15" x14ac:dyDescent="0.4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  <c r="AB472" s="19"/>
      <c r="AC472" s="19"/>
      <c r="AD472" s="19"/>
      <c r="AE472" s="19"/>
      <c r="AF472" s="19"/>
      <c r="AG472" s="19"/>
      <c r="AH472" s="19"/>
      <c r="AI472" s="19"/>
    </row>
    <row r="473" spans="1:35" ht="13.15" x14ac:dyDescent="0.4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  <c r="AC473" s="19"/>
      <c r="AD473" s="19"/>
      <c r="AE473" s="19"/>
      <c r="AF473" s="19"/>
      <c r="AG473" s="19"/>
      <c r="AH473" s="19"/>
      <c r="AI473" s="19"/>
    </row>
    <row r="474" spans="1:35" ht="13.15" x14ac:dyDescent="0.4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/>
      <c r="AC474" s="19"/>
      <c r="AD474" s="19"/>
      <c r="AE474" s="19"/>
      <c r="AF474" s="19"/>
      <c r="AG474" s="19"/>
      <c r="AH474" s="19"/>
      <c r="AI474" s="19"/>
    </row>
    <row r="475" spans="1:35" ht="13.15" x14ac:dyDescent="0.4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  <c r="AC475" s="19"/>
      <c r="AD475" s="19"/>
      <c r="AE475" s="19"/>
      <c r="AF475" s="19"/>
      <c r="AG475" s="19"/>
      <c r="AH475" s="19"/>
      <c r="AI475" s="19"/>
    </row>
    <row r="476" spans="1:35" ht="13.15" x14ac:dyDescent="0.4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/>
      <c r="AC476" s="19"/>
      <c r="AD476" s="19"/>
      <c r="AE476" s="19"/>
      <c r="AF476" s="19"/>
      <c r="AG476" s="19"/>
      <c r="AH476" s="19"/>
      <c r="AI476" s="19"/>
    </row>
    <row r="477" spans="1:35" ht="13.15" x14ac:dyDescent="0.4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  <c r="AC477" s="19"/>
      <c r="AD477" s="19"/>
      <c r="AE477" s="19"/>
      <c r="AF477" s="19"/>
      <c r="AG477" s="19"/>
      <c r="AH477" s="19"/>
      <c r="AI477" s="19"/>
    </row>
    <row r="478" spans="1:35" ht="13.15" x14ac:dyDescent="0.4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  <c r="AC478" s="19"/>
      <c r="AD478" s="19"/>
      <c r="AE478" s="19"/>
      <c r="AF478" s="19"/>
      <c r="AG478" s="19"/>
      <c r="AH478" s="19"/>
      <c r="AI478" s="19"/>
    </row>
    <row r="479" spans="1:35" ht="13.15" x14ac:dyDescent="0.4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  <c r="AC479" s="19"/>
      <c r="AD479" s="19"/>
      <c r="AE479" s="19"/>
      <c r="AF479" s="19"/>
      <c r="AG479" s="19"/>
      <c r="AH479" s="19"/>
      <c r="AI479" s="19"/>
    </row>
    <row r="480" spans="1:35" ht="13.15" x14ac:dyDescent="0.4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  <c r="AC480" s="19"/>
      <c r="AD480" s="19"/>
      <c r="AE480" s="19"/>
      <c r="AF480" s="19"/>
      <c r="AG480" s="19"/>
      <c r="AH480" s="19"/>
      <c r="AI480" s="19"/>
    </row>
    <row r="481" spans="1:35" ht="13.15" x14ac:dyDescent="0.4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  <c r="AB481" s="19"/>
      <c r="AC481" s="19"/>
      <c r="AD481" s="19"/>
      <c r="AE481" s="19"/>
      <c r="AF481" s="19"/>
      <c r="AG481" s="19"/>
      <c r="AH481" s="19"/>
      <c r="AI481" s="19"/>
    </row>
    <row r="482" spans="1:35" ht="13.15" x14ac:dyDescent="0.4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  <c r="AC482" s="19"/>
      <c r="AD482" s="19"/>
      <c r="AE482" s="19"/>
      <c r="AF482" s="19"/>
      <c r="AG482" s="19"/>
      <c r="AH482" s="19"/>
      <c r="AI482" s="19"/>
    </row>
    <row r="483" spans="1:35" ht="13.15" x14ac:dyDescent="0.4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19"/>
      <c r="AC483" s="19"/>
      <c r="AD483" s="19"/>
      <c r="AE483" s="19"/>
      <c r="AF483" s="19"/>
      <c r="AG483" s="19"/>
      <c r="AH483" s="19"/>
      <c r="AI483" s="19"/>
    </row>
    <row r="484" spans="1:35" ht="13.15" x14ac:dyDescent="0.4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  <c r="AB484" s="19"/>
      <c r="AC484" s="19"/>
      <c r="AD484" s="19"/>
      <c r="AE484" s="19"/>
      <c r="AF484" s="19"/>
      <c r="AG484" s="19"/>
      <c r="AH484" s="19"/>
      <c r="AI484" s="19"/>
    </row>
    <row r="485" spans="1:35" ht="13.15" x14ac:dyDescent="0.4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  <c r="AA485" s="19"/>
      <c r="AB485" s="19"/>
      <c r="AC485" s="19"/>
      <c r="AD485" s="19"/>
      <c r="AE485" s="19"/>
      <c r="AF485" s="19"/>
      <c r="AG485" s="19"/>
      <c r="AH485" s="19"/>
      <c r="AI485" s="19"/>
    </row>
    <row r="486" spans="1:35" ht="13.15" x14ac:dyDescent="0.4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  <c r="AB486" s="19"/>
      <c r="AC486" s="19"/>
      <c r="AD486" s="19"/>
      <c r="AE486" s="19"/>
      <c r="AF486" s="19"/>
      <c r="AG486" s="19"/>
      <c r="AH486" s="19"/>
      <c r="AI486" s="19"/>
    </row>
    <row r="487" spans="1:35" ht="13.15" x14ac:dyDescent="0.4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  <c r="AA487" s="19"/>
      <c r="AB487" s="19"/>
      <c r="AC487" s="19"/>
      <c r="AD487" s="19"/>
      <c r="AE487" s="19"/>
      <c r="AF487" s="19"/>
      <c r="AG487" s="19"/>
      <c r="AH487" s="19"/>
      <c r="AI487" s="19"/>
    </row>
    <row r="488" spans="1:35" ht="13.15" x14ac:dyDescent="0.4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  <c r="AC488" s="19"/>
      <c r="AD488" s="19"/>
      <c r="AE488" s="19"/>
      <c r="AF488" s="19"/>
      <c r="AG488" s="19"/>
      <c r="AH488" s="19"/>
      <c r="AI488" s="19"/>
    </row>
    <row r="489" spans="1:35" ht="13.15" x14ac:dyDescent="0.4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  <c r="AB489" s="19"/>
      <c r="AC489" s="19"/>
      <c r="AD489" s="19"/>
      <c r="AE489" s="19"/>
      <c r="AF489" s="19"/>
      <c r="AG489" s="19"/>
      <c r="AH489" s="19"/>
      <c r="AI489" s="19"/>
    </row>
    <row r="490" spans="1:35" ht="13.15" x14ac:dyDescent="0.4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  <c r="AC490" s="19"/>
      <c r="AD490" s="19"/>
      <c r="AE490" s="19"/>
      <c r="AF490" s="19"/>
      <c r="AG490" s="19"/>
      <c r="AH490" s="19"/>
      <c r="AI490" s="19"/>
    </row>
    <row r="491" spans="1:35" ht="13.15" x14ac:dyDescent="0.4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  <c r="AB491" s="19"/>
      <c r="AC491" s="19"/>
      <c r="AD491" s="19"/>
      <c r="AE491" s="19"/>
      <c r="AF491" s="19"/>
      <c r="AG491" s="19"/>
      <c r="AH491" s="19"/>
      <c r="AI491" s="19"/>
    </row>
    <row r="492" spans="1:35" ht="13.15" x14ac:dyDescent="0.4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  <c r="AB492" s="19"/>
      <c r="AC492" s="19"/>
      <c r="AD492" s="19"/>
      <c r="AE492" s="19"/>
      <c r="AF492" s="19"/>
      <c r="AG492" s="19"/>
      <c r="AH492" s="19"/>
      <c r="AI492" s="19"/>
    </row>
    <row r="493" spans="1:35" ht="13.15" x14ac:dyDescent="0.4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  <c r="AB493" s="19"/>
      <c r="AC493" s="19"/>
      <c r="AD493" s="19"/>
      <c r="AE493" s="19"/>
      <c r="AF493" s="19"/>
      <c r="AG493" s="19"/>
      <c r="AH493" s="19"/>
      <c r="AI493" s="19"/>
    </row>
    <row r="494" spans="1:35" ht="13.15" x14ac:dyDescent="0.4">
      <c r="A494" s="19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  <c r="AA494" s="19"/>
      <c r="AB494" s="19"/>
      <c r="AC494" s="19"/>
      <c r="AD494" s="19"/>
      <c r="AE494" s="19"/>
      <c r="AF494" s="19"/>
      <c r="AG494" s="19"/>
      <c r="AH494" s="19"/>
      <c r="AI494" s="19"/>
    </row>
    <row r="495" spans="1:35" ht="13.15" x14ac:dyDescent="0.4">
      <c r="A495" s="19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  <c r="AA495" s="19"/>
      <c r="AB495" s="19"/>
      <c r="AC495" s="19"/>
      <c r="AD495" s="19"/>
      <c r="AE495" s="19"/>
      <c r="AF495" s="19"/>
      <c r="AG495" s="19"/>
      <c r="AH495" s="19"/>
      <c r="AI495" s="19"/>
    </row>
    <row r="496" spans="1:35" ht="13.15" x14ac:dyDescent="0.4">
      <c r="A496" s="19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  <c r="AA496" s="19"/>
      <c r="AB496" s="19"/>
      <c r="AC496" s="19"/>
      <c r="AD496" s="19"/>
      <c r="AE496" s="19"/>
      <c r="AF496" s="19"/>
      <c r="AG496" s="19"/>
      <c r="AH496" s="19"/>
      <c r="AI496" s="19"/>
    </row>
    <row r="497" spans="1:35" ht="13.15" x14ac:dyDescent="0.4">
      <c r="A497" s="19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  <c r="AA497" s="19"/>
      <c r="AB497" s="19"/>
      <c r="AC497" s="19"/>
      <c r="AD497" s="19"/>
      <c r="AE497" s="19"/>
      <c r="AF497" s="19"/>
      <c r="AG497" s="19"/>
      <c r="AH497" s="19"/>
      <c r="AI497" s="19"/>
    </row>
    <row r="498" spans="1:35" ht="13.15" x14ac:dyDescent="0.4">
      <c r="A498" s="19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  <c r="AA498" s="19"/>
      <c r="AB498" s="19"/>
      <c r="AC498" s="19"/>
      <c r="AD498" s="19"/>
      <c r="AE498" s="19"/>
      <c r="AF498" s="19"/>
      <c r="AG498" s="19"/>
      <c r="AH498" s="19"/>
      <c r="AI498" s="19"/>
    </row>
    <row r="499" spans="1:35" ht="13.15" x14ac:dyDescent="0.4">
      <c r="A499" s="19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  <c r="AB499" s="19"/>
      <c r="AC499" s="19"/>
      <c r="AD499" s="19"/>
      <c r="AE499" s="19"/>
      <c r="AF499" s="19"/>
      <c r="AG499" s="19"/>
      <c r="AH499" s="19"/>
      <c r="AI499" s="19"/>
    </row>
    <row r="500" spans="1:35" ht="13.15" x14ac:dyDescent="0.4">
      <c r="A500" s="19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  <c r="AA500" s="19"/>
      <c r="AB500" s="19"/>
      <c r="AC500" s="19"/>
      <c r="AD500" s="19"/>
      <c r="AE500" s="19"/>
      <c r="AF500" s="19"/>
      <c r="AG500" s="19"/>
      <c r="AH500" s="19"/>
      <c r="AI500" s="19"/>
    </row>
    <row r="501" spans="1:35" ht="13.15" x14ac:dyDescent="0.4">
      <c r="A501" s="19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  <c r="AA501" s="19"/>
      <c r="AB501" s="19"/>
      <c r="AC501" s="19"/>
      <c r="AD501" s="19"/>
      <c r="AE501" s="19"/>
      <c r="AF501" s="19"/>
      <c r="AG501" s="19"/>
      <c r="AH501" s="19"/>
      <c r="AI501" s="19"/>
    </row>
    <row r="502" spans="1:35" ht="13.15" x14ac:dyDescent="0.4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  <c r="AA502" s="19"/>
      <c r="AB502" s="19"/>
      <c r="AC502" s="19"/>
      <c r="AD502" s="19"/>
      <c r="AE502" s="19"/>
      <c r="AF502" s="19"/>
      <c r="AG502" s="19"/>
      <c r="AH502" s="19"/>
      <c r="AI502" s="19"/>
    </row>
    <row r="503" spans="1:35" ht="13.15" x14ac:dyDescent="0.4">
      <c r="A503" s="19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  <c r="AB503" s="19"/>
      <c r="AC503" s="19"/>
      <c r="AD503" s="19"/>
      <c r="AE503" s="19"/>
      <c r="AF503" s="19"/>
      <c r="AG503" s="19"/>
      <c r="AH503" s="19"/>
      <c r="AI503" s="19"/>
    </row>
    <row r="504" spans="1:35" ht="13.15" x14ac:dyDescent="0.4">
      <c r="A504" s="19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  <c r="AB504" s="19"/>
      <c r="AC504" s="19"/>
      <c r="AD504" s="19"/>
      <c r="AE504" s="19"/>
      <c r="AF504" s="19"/>
      <c r="AG504" s="19"/>
      <c r="AH504" s="19"/>
      <c r="AI504" s="19"/>
    </row>
    <row r="505" spans="1:35" ht="13.15" x14ac:dyDescent="0.4">
      <c r="A505" s="19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  <c r="AB505" s="19"/>
      <c r="AC505" s="19"/>
      <c r="AD505" s="19"/>
      <c r="AE505" s="19"/>
      <c r="AF505" s="19"/>
      <c r="AG505" s="19"/>
      <c r="AH505" s="19"/>
      <c r="AI505" s="19"/>
    </row>
    <row r="506" spans="1:35" ht="13.15" x14ac:dyDescent="0.4">
      <c r="A506" s="19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  <c r="AB506" s="19"/>
      <c r="AC506" s="19"/>
      <c r="AD506" s="19"/>
      <c r="AE506" s="19"/>
      <c r="AF506" s="19"/>
      <c r="AG506" s="19"/>
      <c r="AH506" s="19"/>
      <c r="AI506" s="19"/>
    </row>
    <row r="507" spans="1:35" ht="13.15" x14ac:dyDescent="0.4">
      <c r="A507" s="19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  <c r="AB507" s="19"/>
      <c r="AC507" s="19"/>
      <c r="AD507" s="19"/>
      <c r="AE507" s="19"/>
      <c r="AF507" s="19"/>
      <c r="AG507" s="19"/>
      <c r="AH507" s="19"/>
      <c r="AI507" s="19"/>
    </row>
    <row r="508" spans="1:35" ht="13.15" x14ac:dyDescent="0.4">
      <c r="A508" s="19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  <c r="AC508" s="19"/>
      <c r="AD508" s="19"/>
      <c r="AE508" s="19"/>
      <c r="AF508" s="19"/>
      <c r="AG508" s="19"/>
      <c r="AH508" s="19"/>
      <c r="AI508" s="19"/>
    </row>
    <row r="509" spans="1:35" ht="13.15" x14ac:dyDescent="0.4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AB509" s="19"/>
      <c r="AC509" s="19"/>
      <c r="AD509" s="19"/>
      <c r="AE509" s="19"/>
      <c r="AF509" s="19"/>
      <c r="AG509" s="19"/>
      <c r="AH509" s="19"/>
      <c r="AI509" s="19"/>
    </row>
    <row r="510" spans="1:35" ht="13.15" x14ac:dyDescent="0.4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  <c r="AC510" s="19"/>
      <c r="AD510" s="19"/>
      <c r="AE510" s="19"/>
      <c r="AF510" s="19"/>
      <c r="AG510" s="19"/>
      <c r="AH510" s="19"/>
      <c r="AI510" s="19"/>
    </row>
    <row r="511" spans="1:35" ht="13.15" x14ac:dyDescent="0.4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  <c r="AC511" s="19"/>
      <c r="AD511" s="19"/>
      <c r="AE511" s="19"/>
      <c r="AF511" s="19"/>
      <c r="AG511" s="19"/>
      <c r="AH511" s="19"/>
      <c r="AI511" s="19"/>
    </row>
    <row r="512" spans="1:35" ht="13.15" x14ac:dyDescent="0.4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  <c r="AC512" s="19"/>
      <c r="AD512" s="19"/>
      <c r="AE512" s="19"/>
      <c r="AF512" s="19"/>
      <c r="AG512" s="19"/>
      <c r="AH512" s="19"/>
      <c r="AI512" s="19"/>
    </row>
    <row r="513" spans="1:35" ht="13.15" x14ac:dyDescent="0.4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AB513" s="19"/>
      <c r="AC513" s="19"/>
      <c r="AD513" s="19"/>
      <c r="AE513" s="19"/>
      <c r="AF513" s="19"/>
      <c r="AG513" s="19"/>
      <c r="AH513" s="19"/>
      <c r="AI513" s="19"/>
    </row>
    <row r="514" spans="1:35" ht="13.15" x14ac:dyDescent="0.4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  <c r="AB514" s="19"/>
      <c r="AC514" s="19"/>
      <c r="AD514" s="19"/>
      <c r="AE514" s="19"/>
      <c r="AF514" s="19"/>
      <c r="AG514" s="19"/>
      <c r="AH514" s="19"/>
      <c r="AI514" s="19"/>
    </row>
    <row r="515" spans="1:35" ht="13.15" x14ac:dyDescent="0.4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/>
      <c r="AC515" s="19"/>
      <c r="AD515" s="19"/>
      <c r="AE515" s="19"/>
      <c r="AF515" s="19"/>
      <c r="AG515" s="19"/>
      <c r="AH515" s="19"/>
      <c r="AI515" s="19"/>
    </row>
    <row r="516" spans="1:35" ht="13.15" x14ac:dyDescent="0.4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  <c r="AC516" s="19"/>
      <c r="AD516" s="19"/>
      <c r="AE516" s="19"/>
      <c r="AF516" s="19"/>
      <c r="AG516" s="19"/>
      <c r="AH516" s="19"/>
      <c r="AI516" s="19"/>
    </row>
    <row r="517" spans="1:35" ht="13.15" x14ac:dyDescent="0.4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  <c r="AB517" s="19"/>
      <c r="AC517" s="19"/>
      <c r="AD517" s="19"/>
      <c r="AE517" s="19"/>
      <c r="AF517" s="19"/>
      <c r="AG517" s="19"/>
      <c r="AH517" s="19"/>
      <c r="AI517" s="19"/>
    </row>
    <row r="518" spans="1:35" ht="13.15" x14ac:dyDescent="0.4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  <c r="AB518" s="19"/>
      <c r="AC518" s="19"/>
      <c r="AD518" s="19"/>
      <c r="AE518" s="19"/>
      <c r="AF518" s="19"/>
      <c r="AG518" s="19"/>
      <c r="AH518" s="19"/>
      <c r="AI518" s="19"/>
    </row>
    <row r="519" spans="1:35" ht="13.15" x14ac:dyDescent="0.4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  <c r="AA519" s="19"/>
      <c r="AB519" s="19"/>
      <c r="AC519" s="19"/>
      <c r="AD519" s="19"/>
      <c r="AE519" s="19"/>
      <c r="AF519" s="19"/>
      <c r="AG519" s="19"/>
      <c r="AH519" s="19"/>
      <c r="AI519" s="19"/>
    </row>
    <row r="520" spans="1:35" ht="13.15" x14ac:dyDescent="0.4">
      <c r="A520" s="19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  <c r="AB520" s="19"/>
      <c r="AC520" s="19"/>
      <c r="AD520" s="19"/>
      <c r="AE520" s="19"/>
      <c r="AF520" s="19"/>
      <c r="AG520" s="19"/>
      <c r="AH520" s="19"/>
      <c r="AI520" s="19"/>
    </row>
    <row r="521" spans="1:35" ht="13.15" x14ac:dyDescent="0.4">
      <c r="A521" s="19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  <c r="AB521" s="19"/>
      <c r="AC521" s="19"/>
      <c r="AD521" s="19"/>
      <c r="AE521" s="19"/>
      <c r="AF521" s="19"/>
      <c r="AG521" s="19"/>
      <c r="AH521" s="19"/>
      <c r="AI521" s="19"/>
    </row>
    <row r="522" spans="1:35" ht="13.15" x14ac:dyDescent="0.4">
      <c r="A522" s="19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  <c r="AA522" s="19"/>
      <c r="AB522" s="19"/>
      <c r="AC522" s="19"/>
      <c r="AD522" s="19"/>
      <c r="AE522" s="19"/>
      <c r="AF522" s="19"/>
      <c r="AG522" s="19"/>
      <c r="AH522" s="19"/>
      <c r="AI522" s="19"/>
    </row>
    <row r="523" spans="1:35" ht="13.15" x14ac:dyDescent="0.4">
      <c r="A523" s="19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  <c r="AB523" s="19"/>
      <c r="AC523" s="19"/>
      <c r="AD523" s="19"/>
      <c r="AE523" s="19"/>
      <c r="AF523" s="19"/>
      <c r="AG523" s="19"/>
      <c r="AH523" s="19"/>
      <c r="AI523" s="19"/>
    </row>
    <row r="524" spans="1:35" ht="13.15" x14ac:dyDescent="0.4">
      <c r="A524" s="19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  <c r="AA524" s="19"/>
      <c r="AB524" s="19"/>
      <c r="AC524" s="19"/>
      <c r="AD524" s="19"/>
      <c r="AE524" s="19"/>
      <c r="AF524" s="19"/>
      <c r="AG524" s="19"/>
      <c r="AH524" s="19"/>
      <c r="AI524" s="19"/>
    </row>
    <row r="525" spans="1:35" ht="13.15" x14ac:dyDescent="0.4">
      <c r="A525" s="19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  <c r="AC525" s="19"/>
      <c r="AD525" s="19"/>
      <c r="AE525" s="19"/>
      <c r="AF525" s="19"/>
      <c r="AG525" s="19"/>
      <c r="AH525" s="19"/>
      <c r="AI525" s="19"/>
    </row>
    <row r="526" spans="1:35" ht="13.15" x14ac:dyDescent="0.4">
      <c r="A526" s="19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  <c r="AC526" s="19"/>
      <c r="AD526" s="19"/>
      <c r="AE526" s="19"/>
      <c r="AF526" s="19"/>
      <c r="AG526" s="19"/>
      <c r="AH526" s="19"/>
      <c r="AI526" s="19"/>
    </row>
    <row r="527" spans="1:35" ht="13.15" x14ac:dyDescent="0.4">
      <c r="A527" s="19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  <c r="AC527" s="19"/>
      <c r="AD527" s="19"/>
      <c r="AE527" s="19"/>
      <c r="AF527" s="19"/>
      <c r="AG527" s="19"/>
      <c r="AH527" s="19"/>
      <c r="AI527" s="19"/>
    </row>
    <row r="528" spans="1:35" ht="13.15" x14ac:dyDescent="0.4">
      <c r="A528" s="19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  <c r="AC528" s="19"/>
      <c r="AD528" s="19"/>
      <c r="AE528" s="19"/>
      <c r="AF528" s="19"/>
      <c r="AG528" s="19"/>
      <c r="AH528" s="19"/>
      <c r="AI528" s="19"/>
    </row>
    <row r="529" spans="1:35" ht="13.15" x14ac:dyDescent="0.4">
      <c r="A529" s="19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  <c r="AB529" s="19"/>
      <c r="AC529" s="19"/>
      <c r="AD529" s="19"/>
      <c r="AE529" s="19"/>
      <c r="AF529" s="19"/>
      <c r="AG529" s="19"/>
      <c r="AH529" s="19"/>
      <c r="AI529" s="19"/>
    </row>
    <row r="530" spans="1:35" ht="13.15" x14ac:dyDescent="0.4">
      <c r="A530" s="19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  <c r="AC530" s="19"/>
      <c r="AD530" s="19"/>
      <c r="AE530" s="19"/>
      <c r="AF530" s="19"/>
      <c r="AG530" s="19"/>
      <c r="AH530" s="19"/>
      <c r="AI530" s="19"/>
    </row>
    <row r="531" spans="1:35" ht="13.15" x14ac:dyDescent="0.4">
      <c r="A531" s="19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  <c r="AC531" s="19"/>
      <c r="AD531" s="19"/>
      <c r="AE531" s="19"/>
      <c r="AF531" s="19"/>
      <c r="AG531" s="19"/>
      <c r="AH531" s="19"/>
      <c r="AI531" s="19"/>
    </row>
    <row r="532" spans="1:35" ht="13.15" x14ac:dyDescent="0.4">
      <c r="A532" s="19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  <c r="AC532" s="19"/>
      <c r="AD532" s="19"/>
      <c r="AE532" s="19"/>
      <c r="AF532" s="19"/>
      <c r="AG532" s="19"/>
      <c r="AH532" s="19"/>
      <c r="AI532" s="19"/>
    </row>
    <row r="533" spans="1:35" ht="13.15" x14ac:dyDescent="0.4">
      <c r="A533" s="19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  <c r="AC533" s="19"/>
      <c r="AD533" s="19"/>
      <c r="AE533" s="19"/>
      <c r="AF533" s="19"/>
      <c r="AG533" s="19"/>
      <c r="AH533" s="19"/>
      <c r="AI533" s="19"/>
    </row>
    <row r="534" spans="1:35" ht="13.15" x14ac:dyDescent="0.4">
      <c r="A534" s="19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  <c r="AC534" s="19"/>
      <c r="AD534" s="19"/>
      <c r="AE534" s="19"/>
      <c r="AF534" s="19"/>
      <c r="AG534" s="19"/>
      <c r="AH534" s="19"/>
      <c r="AI534" s="19"/>
    </row>
    <row r="535" spans="1:35" ht="13.15" x14ac:dyDescent="0.4">
      <c r="A535" s="19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  <c r="AB535" s="19"/>
      <c r="AC535" s="19"/>
      <c r="AD535" s="19"/>
      <c r="AE535" s="19"/>
      <c r="AF535" s="19"/>
      <c r="AG535" s="19"/>
      <c r="AH535" s="19"/>
      <c r="AI535" s="19"/>
    </row>
    <row r="536" spans="1:35" ht="13.15" x14ac:dyDescent="0.4">
      <c r="A536" s="19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  <c r="AC536" s="19"/>
      <c r="AD536" s="19"/>
      <c r="AE536" s="19"/>
      <c r="AF536" s="19"/>
      <c r="AG536" s="19"/>
      <c r="AH536" s="19"/>
      <c r="AI536" s="19"/>
    </row>
    <row r="537" spans="1:35" ht="13.15" x14ac:dyDescent="0.4">
      <c r="A537" s="19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  <c r="AC537" s="19"/>
      <c r="AD537" s="19"/>
      <c r="AE537" s="19"/>
      <c r="AF537" s="19"/>
      <c r="AG537" s="19"/>
      <c r="AH537" s="19"/>
      <c r="AI537" s="19"/>
    </row>
    <row r="538" spans="1:35" ht="13.15" x14ac:dyDescent="0.4">
      <c r="A538" s="19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  <c r="AC538" s="19"/>
      <c r="AD538" s="19"/>
      <c r="AE538" s="19"/>
      <c r="AF538" s="19"/>
      <c r="AG538" s="19"/>
      <c r="AH538" s="19"/>
      <c r="AI538" s="19"/>
    </row>
    <row r="539" spans="1:35" ht="13.15" x14ac:dyDescent="0.4">
      <c r="A539" s="19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  <c r="AC539" s="19"/>
      <c r="AD539" s="19"/>
      <c r="AE539" s="19"/>
      <c r="AF539" s="19"/>
      <c r="AG539" s="19"/>
      <c r="AH539" s="19"/>
      <c r="AI539" s="19"/>
    </row>
    <row r="540" spans="1:35" ht="13.15" x14ac:dyDescent="0.4">
      <c r="A540" s="19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  <c r="AA540" s="19"/>
      <c r="AB540" s="19"/>
      <c r="AC540" s="19"/>
      <c r="AD540" s="19"/>
      <c r="AE540" s="19"/>
      <c r="AF540" s="19"/>
      <c r="AG540" s="19"/>
      <c r="AH540" s="19"/>
      <c r="AI540" s="19"/>
    </row>
    <row r="541" spans="1:35" ht="13.15" x14ac:dyDescent="0.4">
      <c r="A541" s="19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  <c r="AC541" s="19"/>
      <c r="AD541" s="19"/>
      <c r="AE541" s="19"/>
      <c r="AF541" s="19"/>
      <c r="AG541" s="19"/>
      <c r="AH541" s="19"/>
      <c r="AI541" s="19"/>
    </row>
    <row r="542" spans="1:35" ht="13.15" x14ac:dyDescent="0.4">
      <c r="A542" s="19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  <c r="AF542" s="19"/>
      <c r="AG542" s="19"/>
      <c r="AH542" s="19"/>
      <c r="AI542" s="19"/>
    </row>
    <row r="543" spans="1:35" ht="13.15" x14ac:dyDescent="0.4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  <c r="AB543" s="19"/>
      <c r="AC543" s="19"/>
      <c r="AD543" s="19"/>
      <c r="AE543" s="19"/>
      <c r="AF543" s="19"/>
      <c r="AG543" s="19"/>
      <c r="AH543" s="19"/>
      <c r="AI543" s="19"/>
    </row>
    <row r="544" spans="1:35" ht="13.15" x14ac:dyDescent="0.4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  <c r="AA544" s="19"/>
      <c r="AB544" s="19"/>
      <c r="AC544" s="19"/>
      <c r="AD544" s="19"/>
      <c r="AE544" s="19"/>
      <c r="AF544" s="19"/>
      <c r="AG544" s="19"/>
      <c r="AH544" s="19"/>
      <c r="AI544" s="19"/>
    </row>
    <row r="545" spans="1:35" ht="13.15" x14ac:dyDescent="0.4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  <c r="AA545" s="19"/>
      <c r="AB545" s="19"/>
      <c r="AC545" s="19"/>
      <c r="AD545" s="19"/>
      <c r="AE545" s="19"/>
      <c r="AF545" s="19"/>
      <c r="AG545" s="19"/>
      <c r="AH545" s="19"/>
      <c r="AI545" s="19"/>
    </row>
    <row r="546" spans="1:35" ht="13.15" x14ac:dyDescent="0.4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  <c r="AA546" s="19"/>
      <c r="AB546" s="19"/>
      <c r="AC546" s="19"/>
      <c r="AD546" s="19"/>
      <c r="AE546" s="19"/>
      <c r="AF546" s="19"/>
      <c r="AG546" s="19"/>
      <c r="AH546" s="19"/>
      <c r="AI546" s="19"/>
    </row>
    <row r="547" spans="1:35" ht="13.15" x14ac:dyDescent="0.4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  <c r="AC547" s="19"/>
      <c r="AD547" s="19"/>
      <c r="AE547" s="19"/>
      <c r="AF547" s="19"/>
      <c r="AG547" s="19"/>
      <c r="AH547" s="19"/>
      <c r="AI547" s="19"/>
    </row>
    <row r="548" spans="1:35" ht="13.15" x14ac:dyDescent="0.4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  <c r="AA548" s="19"/>
      <c r="AB548" s="19"/>
      <c r="AC548" s="19"/>
      <c r="AD548" s="19"/>
      <c r="AE548" s="19"/>
      <c r="AF548" s="19"/>
      <c r="AG548" s="19"/>
      <c r="AH548" s="19"/>
      <c r="AI548" s="19"/>
    </row>
    <row r="549" spans="1:35" ht="13.15" x14ac:dyDescent="0.4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  <c r="AA549" s="19"/>
      <c r="AB549" s="19"/>
      <c r="AC549" s="19"/>
      <c r="AD549" s="19"/>
      <c r="AE549" s="19"/>
      <c r="AF549" s="19"/>
      <c r="AG549" s="19"/>
      <c r="AH549" s="19"/>
      <c r="AI549" s="19"/>
    </row>
    <row r="550" spans="1:35" ht="13.15" x14ac:dyDescent="0.4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  <c r="AA550" s="19"/>
      <c r="AB550" s="19"/>
      <c r="AC550" s="19"/>
      <c r="AD550" s="19"/>
      <c r="AE550" s="19"/>
      <c r="AF550" s="19"/>
      <c r="AG550" s="19"/>
      <c r="AH550" s="19"/>
      <c r="AI550" s="19"/>
    </row>
    <row r="551" spans="1:35" ht="13.15" x14ac:dyDescent="0.4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  <c r="AA551" s="19"/>
      <c r="AB551" s="19"/>
      <c r="AC551" s="19"/>
      <c r="AD551" s="19"/>
      <c r="AE551" s="19"/>
      <c r="AF551" s="19"/>
      <c r="AG551" s="19"/>
      <c r="AH551" s="19"/>
      <c r="AI551" s="19"/>
    </row>
    <row r="552" spans="1:35" ht="13.15" x14ac:dyDescent="0.4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  <c r="AA552" s="19"/>
      <c r="AB552" s="19"/>
      <c r="AC552" s="19"/>
      <c r="AD552" s="19"/>
      <c r="AE552" s="19"/>
      <c r="AF552" s="19"/>
      <c r="AG552" s="19"/>
      <c r="AH552" s="19"/>
      <c r="AI552" s="19"/>
    </row>
    <row r="553" spans="1:35" ht="13.15" x14ac:dyDescent="0.4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  <c r="AA553" s="19"/>
      <c r="AB553" s="19"/>
      <c r="AC553" s="19"/>
      <c r="AD553" s="19"/>
      <c r="AE553" s="19"/>
      <c r="AF553" s="19"/>
      <c r="AG553" s="19"/>
      <c r="AH553" s="19"/>
      <c r="AI553" s="19"/>
    </row>
    <row r="554" spans="1:35" ht="13.15" x14ac:dyDescent="0.4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  <c r="AA554" s="19"/>
      <c r="AB554" s="19"/>
      <c r="AC554" s="19"/>
      <c r="AD554" s="19"/>
      <c r="AE554" s="19"/>
      <c r="AF554" s="19"/>
      <c r="AG554" s="19"/>
      <c r="AH554" s="19"/>
      <c r="AI554" s="19"/>
    </row>
    <row r="555" spans="1:35" ht="13.15" x14ac:dyDescent="0.4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  <c r="AA555" s="19"/>
      <c r="AB555" s="19"/>
      <c r="AC555" s="19"/>
      <c r="AD555" s="19"/>
      <c r="AE555" s="19"/>
      <c r="AF555" s="19"/>
      <c r="AG555" s="19"/>
      <c r="AH555" s="19"/>
      <c r="AI555" s="19"/>
    </row>
    <row r="556" spans="1:35" ht="13.15" x14ac:dyDescent="0.4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  <c r="AB556" s="19"/>
      <c r="AC556" s="19"/>
      <c r="AD556" s="19"/>
      <c r="AE556" s="19"/>
      <c r="AF556" s="19"/>
      <c r="AG556" s="19"/>
      <c r="AH556" s="19"/>
      <c r="AI556" s="19"/>
    </row>
    <row r="557" spans="1:35" ht="13.15" x14ac:dyDescent="0.4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  <c r="AA557" s="19"/>
      <c r="AB557" s="19"/>
      <c r="AC557" s="19"/>
      <c r="AD557" s="19"/>
      <c r="AE557" s="19"/>
      <c r="AF557" s="19"/>
      <c r="AG557" s="19"/>
      <c r="AH557" s="19"/>
      <c r="AI557" s="19"/>
    </row>
    <row r="558" spans="1:35" ht="13.15" x14ac:dyDescent="0.4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  <c r="AA558" s="19"/>
      <c r="AB558" s="19"/>
      <c r="AC558" s="19"/>
      <c r="AD558" s="19"/>
      <c r="AE558" s="19"/>
      <c r="AF558" s="19"/>
      <c r="AG558" s="19"/>
      <c r="AH558" s="19"/>
      <c r="AI558" s="19"/>
    </row>
    <row r="559" spans="1:35" ht="13.15" x14ac:dyDescent="0.4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  <c r="AA559" s="19"/>
      <c r="AB559" s="19"/>
      <c r="AC559" s="19"/>
      <c r="AD559" s="19"/>
      <c r="AE559" s="19"/>
      <c r="AF559" s="19"/>
      <c r="AG559" s="19"/>
      <c r="AH559" s="19"/>
      <c r="AI559" s="19"/>
    </row>
    <row r="560" spans="1:35" ht="13.15" x14ac:dyDescent="0.4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  <c r="AA560" s="19"/>
      <c r="AB560" s="19"/>
      <c r="AC560" s="19"/>
      <c r="AD560" s="19"/>
      <c r="AE560" s="19"/>
      <c r="AF560" s="19"/>
      <c r="AG560" s="19"/>
      <c r="AH560" s="19"/>
      <c r="AI560" s="19"/>
    </row>
    <row r="561" spans="1:35" ht="13.15" x14ac:dyDescent="0.4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  <c r="AA561" s="19"/>
      <c r="AB561" s="19"/>
      <c r="AC561" s="19"/>
      <c r="AD561" s="19"/>
      <c r="AE561" s="19"/>
      <c r="AF561" s="19"/>
      <c r="AG561" s="19"/>
      <c r="AH561" s="19"/>
      <c r="AI561" s="19"/>
    </row>
    <row r="562" spans="1:35" ht="13.15" x14ac:dyDescent="0.4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  <c r="AA562" s="19"/>
      <c r="AB562" s="19"/>
      <c r="AC562" s="19"/>
      <c r="AD562" s="19"/>
      <c r="AE562" s="19"/>
      <c r="AF562" s="19"/>
      <c r="AG562" s="19"/>
      <c r="AH562" s="19"/>
      <c r="AI562" s="19"/>
    </row>
    <row r="563" spans="1:35" ht="13.15" x14ac:dyDescent="0.4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  <c r="AB563" s="19"/>
      <c r="AC563" s="19"/>
      <c r="AD563" s="19"/>
      <c r="AE563" s="19"/>
      <c r="AF563" s="19"/>
      <c r="AG563" s="19"/>
      <c r="AH563" s="19"/>
      <c r="AI563" s="19"/>
    </row>
    <row r="564" spans="1:35" ht="13.15" x14ac:dyDescent="0.4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  <c r="AA564" s="19"/>
      <c r="AB564" s="19"/>
      <c r="AC564" s="19"/>
      <c r="AD564" s="19"/>
      <c r="AE564" s="19"/>
      <c r="AF564" s="19"/>
      <c r="AG564" s="19"/>
      <c r="AH564" s="19"/>
      <c r="AI564" s="19"/>
    </row>
    <row r="565" spans="1:35" ht="13.15" x14ac:dyDescent="0.4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  <c r="AA565" s="19"/>
      <c r="AB565" s="19"/>
      <c r="AC565" s="19"/>
      <c r="AD565" s="19"/>
      <c r="AE565" s="19"/>
      <c r="AF565" s="19"/>
      <c r="AG565" s="19"/>
      <c r="AH565" s="19"/>
      <c r="AI565" s="19"/>
    </row>
    <row r="566" spans="1:35" ht="13.15" x14ac:dyDescent="0.4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  <c r="AA566" s="19"/>
      <c r="AB566" s="19"/>
      <c r="AC566" s="19"/>
      <c r="AD566" s="19"/>
      <c r="AE566" s="19"/>
      <c r="AF566" s="19"/>
      <c r="AG566" s="19"/>
      <c r="AH566" s="19"/>
      <c r="AI566" s="19"/>
    </row>
    <row r="567" spans="1:35" ht="13.15" x14ac:dyDescent="0.4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  <c r="AA567" s="19"/>
      <c r="AB567" s="19"/>
      <c r="AC567" s="19"/>
      <c r="AD567" s="19"/>
      <c r="AE567" s="19"/>
      <c r="AF567" s="19"/>
      <c r="AG567" s="19"/>
      <c r="AH567" s="19"/>
      <c r="AI567" s="19"/>
    </row>
    <row r="568" spans="1:35" ht="13.15" x14ac:dyDescent="0.4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  <c r="AA568" s="19"/>
      <c r="AB568" s="19"/>
      <c r="AC568" s="19"/>
      <c r="AD568" s="19"/>
      <c r="AE568" s="19"/>
      <c r="AF568" s="19"/>
      <c r="AG568" s="19"/>
      <c r="AH568" s="19"/>
      <c r="AI568" s="19"/>
    </row>
    <row r="569" spans="1:35" ht="13.15" x14ac:dyDescent="0.4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  <c r="AC569" s="19"/>
      <c r="AD569" s="19"/>
      <c r="AE569" s="19"/>
      <c r="AF569" s="19"/>
      <c r="AG569" s="19"/>
      <c r="AH569" s="19"/>
      <c r="AI569" s="19"/>
    </row>
    <row r="570" spans="1:35" ht="13.15" x14ac:dyDescent="0.4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  <c r="AA570" s="19"/>
      <c r="AB570" s="19"/>
      <c r="AC570" s="19"/>
      <c r="AD570" s="19"/>
      <c r="AE570" s="19"/>
      <c r="AF570" s="19"/>
      <c r="AG570" s="19"/>
      <c r="AH570" s="19"/>
      <c r="AI570" s="19"/>
    </row>
    <row r="571" spans="1:35" ht="13.15" x14ac:dyDescent="0.4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  <c r="AA571" s="19"/>
      <c r="AB571" s="19"/>
      <c r="AC571" s="19"/>
      <c r="AD571" s="19"/>
      <c r="AE571" s="19"/>
      <c r="AF571" s="19"/>
      <c r="AG571" s="19"/>
      <c r="AH571" s="19"/>
      <c r="AI571" s="19"/>
    </row>
    <row r="572" spans="1:35" ht="13.15" x14ac:dyDescent="0.4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  <c r="AA572" s="19"/>
      <c r="AB572" s="19"/>
      <c r="AC572" s="19"/>
      <c r="AD572" s="19"/>
      <c r="AE572" s="19"/>
      <c r="AF572" s="19"/>
      <c r="AG572" s="19"/>
      <c r="AH572" s="19"/>
      <c r="AI572" s="19"/>
    </row>
    <row r="573" spans="1:35" ht="13.15" x14ac:dyDescent="0.4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  <c r="AA573" s="19"/>
      <c r="AB573" s="19"/>
      <c r="AC573" s="19"/>
      <c r="AD573" s="19"/>
      <c r="AE573" s="19"/>
      <c r="AF573" s="19"/>
      <c r="AG573" s="19"/>
      <c r="AH573" s="19"/>
      <c r="AI573" s="19"/>
    </row>
    <row r="574" spans="1:35" ht="13.15" x14ac:dyDescent="0.4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  <c r="AC574" s="19"/>
      <c r="AD574" s="19"/>
      <c r="AE574" s="19"/>
      <c r="AF574" s="19"/>
      <c r="AG574" s="19"/>
      <c r="AH574" s="19"/>
      <c r="AI574" s="19"/>
    </row>
    <row r="575" spans="1:35" ht="13.15" x14ac:dyDescent="0.4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  <c r="AA575" s="19"/>
      <c r="AB575" s="19"/>
      <c r="AC575" s="19"/>
      <c r="AD575" s="19"/>
      <c r="AE575" s="19"/>
      <c r="AF575" s="19"/>
      <c r="AG575" s="19"/>
      <c r="AH575" s="19"/>
      <c r="AI575" s="19"/>
    </row>
    <row r="576" spans="1:35" ht="13.15" x14ac:dyDescent="0.4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  <c r="AA576" s="19"/>
      <c r="AB576" s="19"/>
      <c r="AC576" s="19"/>
      <c r="AD576" s="19"/>
      <c r="AE576" s="19"/>
      <c r="AF576" s="19"/>
      <c r="AG576" s="19"/>
      <c r="AH576" s="19"/>
      <c r="AI576" s="19"/>
    </row>
    <row r="577" spans="1:35" ht="13.15" x14ac:dyDescent="0.4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  <c r="AA577" s="19"/>
      <c r="AB577" s="19"/>
      <c r="AC577" s="19"/>
      <c r="AD577" s="19"/>
      <c r="AE577" s="19"/>
      <c r="AF577" s="19"/>
      <c r="AG577" s="19"/>
      <c r="AH577" s="19"/>
      <c r="AI577" s="19"/>
    </row>
    <row r="578" spans="1:35" ht="13.15" x14ac:dyDescent="0.4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  <c r="AA578" s="19"/>
      <c r="AB578" s="19"/>
      <c r="AC578" s="19"/>
      <c r="AD578" s="19"/>
      <c r="AE578" s="19"/>
      <c r="AF578" s="19"/>
      <c r="AG578" s="19"/>
      <c r="AH578" s="19"/>
      <c r="AI578" s="19"/>
    </row>
    <row r="579" spans="1:35" ht="13.15" x14ac:dyDescent="0.4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  <c r="AA579" s="19"/>
      <c r="AB579" s="19"/>
      <c r="AC579" s="19"/>
      <c r="AD579" s="19"/>
      <c r="AE579" s="19"/>
      <c r="AF579" s="19"/>
      <c r="AG579" s="19"/>
      <c r="AH579" s="19"/>
      <c r="AI579" s="19"/>
    </row>
    <row r="580" spans="1:35" ht="13.15" x14ac:dyDescent="0.4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  <c r="AA580" s="19"/>
      <c r="AB580" s="19"/>
      <c r="AC580" s="19"/>
      <c r="AD580" s="19"/>
      <c r="AE580" s="19"/>
      <c r="AF580" s="19"/>
      <c r="AG580" s="19"/>
      <c r="AH580" s="19"/>
      <c r="AI580" s="19"/>
    </row>
    <row r="581" spans="1:35" ht="13.15" x14ac:dyDescent="0.4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  <c r="AA581" s="19"/>
      <c r="AB581" s="19"/>
      <c r="AC581" s="19"/>
      <c r="AD581" s="19"/>
      <c r="AE581" s="19"/>
      <c r="AF581" s="19"/>
      <c r="AG581" s="19"/>
      <c r="AH581" s="19"/>
      <c r="AI581" s="19"/>
    </row>
    <row r="582" spans="1:35" ht="13.15" x14ac:dyDescent="0.4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  <c r="AA582" s="19"/>
      <c r="AB582" s="19"/>
      <c r="AC582" s="19"/>
      <c r="AD582" s="19"/>
      <c r="AE582" s="19"/>
      <c r="AF582" s="19"/>
      <c r="AG582" s="19"/>
      <c r="AH582" s="19"/>
      <c r="AI582" s="19"/>
    </row>
    <row r="583" spans="1:35" ht="13.15" x14ac:dyDescent="0.4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  <c r="AB583" s="19"/>
      <c r="AC583" s="19"/>
      <c r="AD583" s="19"/>
      <c r="AE583" s="19"/>
      <c r="AF583" s="19"/>
      <c r="AG583" s="19"/>
      <c r="AH583" s="19"/>
      <c r="AI583" s="19"/>
    </row>
    <row r="584" spans="1:35" ht="13.15" x14ac:dyDescent="0.4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  <c r="AA584" s="19"/>
      <c r="AB584" s="19"/>
      <c r="AC584" s="19"/>
      <c r="AD584" s="19"/>
      <c r="AE584" s="19"/>
      <c r="AF584" s="19"/>
      <c r="AG584" s="19"/>
      <c r="AH584" s="19"/>
      <c r="AI584" s="19"/>
    </row>
    <row r="585" spans="1:35" ht="13.15" x14ac:dyDescent="0.4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  <c r="AA585" s="19"/>
      <c r="AB585" s="19"/>
      <c r="AC585" s="19"/>
      <c r="AD585" s="19"/>
      <c r="AE585" s="19"/>
      <c r="AF585" s="19"/>
      <c r="AG585" s="19"/>
      <c r="AH585" s="19"/>
      <c r="AI585" s="19"/>
    </row>
    <row r="586" spans="1:35" ht="13.15" x14ac:dyDescent="0.4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  <c r="AA586" s="19"/>
      <c r="AB586" s="19"/>
      <c r="AC586" s="19"/>
      <c r="AD586" s="19"/>
      <c r="AE586" s="19"/>
      <c r="AF586" s="19"/>
      <c r="AG586" s="19"/>
      <c r="AH586" s="19"/>
      <c r="AI586" s="19"/>
    </row>
    <row r="587" spans="1:35" ht="13.15" x14ac:dyDescent="0.4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  <c r="AA587" s="19"/>
      <c r="AB587" s="19"/>
      <c r="AC587" s="19"/>
      <c r="AD587" s="19"/>
      <c r="AE587" s="19"/>
      <c r="AF587" s="19"/>
      <c r="AG587" s="19"/>
      <c r="AH587" s="19"/>
      <c r="AI587" s="19"/>
    </row>
    <row r="588" spans="1:35" ht="13.15" x14ac:dyDescent="0.4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  <c r="AA588" s="19"/>
      <c r="AB588" s="19"/>
      <c r="AC588" s="19"/>
      <c r="AD588" s="19"/>
      <c r="AE588" s="19"/>
      <c r="AF588" s="19"/>
      <c r="AG588" s="19"/>
      <c r="AH588" s="19"/>
      <c r="AI588" s="19"/>
    </row>
    <row r="589" spans="1:35" ht="13.15" x14ac:dyDescent="0.4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  <c r="AA589" s="19"/>
      <c r="AB589" s="19"/>
      <c r="AC589" s="19"/>
      <c r="AD589" s="19"/>
      <c r="AE589" s="19"/>
      <c r="AF589" s="19"/>
      <c r="AG589" s="19"/>
      <c r="AH589" s="19"/>
      <c r="AI589" s="19"/>
    </row>
    <row r="590" spans="1:35" ht="13.15" x14ac:dyDescent="0.4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  <c r="AA590" s="19"/>
      <c r="AB590" s="19"/>
      <c r="AC590" s="19"/>
      <c r="AD590" s="19"/>
      <c r="AE590" s="19"/>
      <c r="AF590" s="19"/>
      <c r="AG590" s="19"/>
      <c r="AH590" s="19"/>
      <c r="AI590" s="19"/>
    </row>
    <row r="591" spans="1:35" ht="13.15" x14ac:dyDescent="0.4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  <c r="AA591" s="19"/>
      <c r="AB591" s="19"/>
      <c r="AC591" s="19"/>
      <c r="AD591" s="19"/>
      <c r="AE591" s="19"/>
      <c r="AF591" s="19"/>
      <c r="AG591" s="19"/>
      <c r="AH591" s="19"/>
      <c r="AI591" s="19"/>
    </row>
    <row r="592" spans="1:35" ht="13.15" x14ac:dyDescent="0.4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  <c r="AA592" s="19"/>
      <c r="AB592" s="19"/>
      <c r="AC592" s="19"/>
      <c r="AD592" s="19"/>
      <c r="AE592" s="19"/>
      <c r="AF592" s="19"/>
      <c r="AG592" s="19"/>
      <c r="AH592" s="19"/>
      <c r="AI592" s="19"/>
    </row>
    <row r="593" spans="1:35" ht="13.15" x14ac:dyDescent="0.4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  <c r="AA593" s="19"/>
      <c r="AB593" s="19"/>
      <c r="AC593" s="19"/>
      <c r="AD593" s="19"/>
      <c r="AE593" s="19"/>
      <c r="AF593" s="19"/>
      <c r="AG593" s="19"/>
      <c r="AH593" s="19"/>
      <c r="AI593" s="19"/>
    </row>
    <row r="594" spans="1:35" ht="13.15" x14ac:dyDescent="0.4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  <c r="AA594" s="19"/>
      <c r="AB594" s="19"/>
      <c r="AC594" s="19"/>
      <c r="AD594" s="19"/>
      <c r="AE594" s="19"/>
      <c r="AF594" s="19"/>
      <c r="AG594" s="19"/>
      <c r="AH594" s="19"/>
      <c r="AI594" s="19"/>
    </row>
    <row r="595" spans="1:35" ht="13.15" x14ac:dyDescent="0.4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  <c r="AA595" s="19"/>
      <c r="AB595" s="19"/>
      <c r="AC595" s="19"/>
      <c r="AD595" s="19"/>
      <c r="AE595" s="19"/>
      <c r="AF595" s="19"/>
      <c r="AG595" s="19"/>
      <c r="AH595" s="19"/>
      <c r="AI595" s="19"/>
    </row>
    <row r="596" spans="1:35" ht="13.15" x14ac:dyDescent="0.4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  <c r="AA596" s="19"/>
      <c r="AB596" s="19"/>
      <c r="AC596" s="19"/>
      <c r="AD596" s="19"/>
      <c r="AE596" s="19"/>
      <c r="AF596" s="19"/>
      <c r="AG596" s="19"/>
      <c r="AH596" s="19"/>
      <c r="AI596" s="19"/>
    </row>
    <row r="597" spans="1:35" ht="13.15" x14ac:dyDescent="0.4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  <c r="AA597" s="19"/>
      <c r="AB597" s="19"/>
      <c r="AC597" s="19"/>
      <c r="AD597" s="19"/>
      <c r="AE597" s="19"/>
      <c r="AF597" s="19"/>
      <c r="AG597" s="19"/>
      <c r="AH597" s="19"/>
      <c r="AI597" s="19"/>
    </row>
    <row r="598" spans="1:35" ht="13.15" x14ac:dyDescent="0.4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  <c r="AA598" s="19"/>
      <c r="AB598" s="19"/>
      <c r="AC598" s="19"/>
      <c r="AD598" s="19"/>
      <c r="AE598" s="19"/>
      <c r="AF598" s="19"/>
      <c r="AG598" s="19"/>
      <c r="AH598" s="19"/>
      <c r="AI598" s="19"/>
    </row>
    <row r="599" spans="1:35" ht="13.15" x14ac:dyDescent="0.4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  <c r="AA599" s="19"/>
      <c r="AB599" s="19"/>
      <c r="AC599" s="19"/>
      <c r="AD599" s="19"/>
      <c r="AE599" s="19"/>
      <c r="AF599" s="19"/>
      <c r="AG599" s="19"/>
      <c r="AH599" s="19"/>
      <c r="AI599" s="19"/>
    </row>
    <row r="600" spans="1:35" ht="13.15" x14ac:dyDescent="0.4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  <c r="AA600" s="19"/>
      <c r="AB600" s="19"/>
      <c r="AC600" s="19"/>
      <c r="AD600" s="19"/>
      <c r="AE600" s="19"/>
      <c r="AF600" s="19"/>
      <c r="AG600" s="19"/>
      <c r="AH600" s="19"/>
      <c r="AI600" s="19"/>
    </row>
    <row r="601" spans="1:35" ht="13.15" x14ac:dyDescent="0.4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  <c r="AB601" s="19"/>
      <c r="AC601" s="19"/>
      <c r="AD601" s="19"/>
      <c r="AE601" s="19"/>
      <c r="AF601" s="19"/>
      <c r="AG601" s="19"/>
      <c r="AH601" s="19"/>
      <c r="AI601" s="19"/>
    </row>
    <row r="602" spans="1:35" ht="13.15" x14ac:dyDescent="0.4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  <c r="AA602" s="19"/>
      <c r="AB602" s="19"/>
      <c r="AC602" s="19"/>
      <c r="AD602" s="19"/>
      <c r="AE602" s="19"/>
      <c r="AF602" s="19"/>
      <c r="AG602" s="19"/>
      <c r="AH602" s="19"/>
      <c r="AI602" s="19"/>
    </row>
    <row r="603" spans="1:35" ht="13.15" x14ac:dyDescent="0.4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  <c r="AA603" s="19"/>
      <c r="AB603" s="19"/>
      <c r="AC603" s="19"/>
      <c r="AD603" s="19"/>
      <c r="AE603" s="19"/>
      <c r="AF603" s="19"/>
      <c r="AG603" s="19"/>
      <c r="AH603" s="19"/>
      <c r="AI603" s="19"/>
    </row>
    <row r="604" spans="1:35" ht="13.15" x14ac:dyDescent="0.4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  <c r="AA604" s="19"/>
      <c r="AB604" s="19"/>
      <c r="AC604" s="19"/>
      <c r="AD604" s="19"/>
      <c r="AE604" s="19"/>
      <c r="AF604" s="19"/>
      <c r="AG604" s="19"/>
      <c r="AH604" s="19"/>
      <c r="AI604" s="19"/>
    </row>
    <row r="605" spans="1:35" ht="13.15" x14ac:dyDescent="0.4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  <c r="AA605" s="19"/>
      <c r="AB605" s="19"/>
      <c r="AC605" s="19"/>
      <c r="AD605" s="19"/>
      <c r="AE605" s="19"/>
      <c r="AF605" s="19"/>
      <c r="AG605" s="19"/>
      <c r="AH605" s="19"/>
      <c r="AI605" s="19"/>
    </row>
    <row r="606" spans="1:35" ht="13.15" x14ac:dyDescent="0.4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  <c r="AA606" s="19"/>
      <c r="AB606" s="19"/>
      <c r="AC606" s="19"/>
      <c r="AD606" s="19"/>
      <c r="AE606" s="19"/>
      <c r="AF606" s="19"/>
      <c r="AG606" s="19"/>
      <c r="AH606" s="19"/>
      <c r="AI606" s="19"/>
    </row>
    <row r="607" spans="1:35" ht="13.15" x14ac:dyDescent="0.4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  <c r="AA607" s="19"/>
      <c r="AB607" s="19"/>
      <c r="AC607" s="19"/>
      <c r="AD607" s="19"/>
      <c r="AE607" s="19"/>
      <c r="AF607" s="19"/>
      <c r="AG607" s="19"/>
      <c r="AH607" s="19"/>
      <c r="AI607" s="19"/>
    </row>
    <row r="608" spans="1:35" ht="13.15" x14ac:dyDescent="0.4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  <c r="AB608" s="19"/>
      <c r="AC608" s="19"/>
      <c r="AD608" s="19"/>
      <c r="AE608" s="19"/>
      <c r="AF608" s="19"/>
      <c r="AG608" s="19"/>
      <c r="AH608" s="19"/>
      <c r="AI608" s="19"/>
    </row>
    <row r="609" spans="1:35" ht="13.15" x14ac:dyDescent="0.4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  <c r="AA609" s="19"/>
      <c r="AB609" s="19"/>
      <c r="AC609" s="19"/>
      <c r="AD609" s="19"/>
      <c r="AE609" s="19"/>
      <c r="AF609" s="19"/>
      <c r="AG609" s="19"/>
      <c r="AH609" s="19"/>
      <c r="AI609" s="19"/>
    </row>
    <row r="610" spans="1:35" ht="13.15" x14ac:dyDescent="0.4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  <c r="AA610" s="19"/>
      <c r="AB610" s="19"/>
      <c r="AC610" s="19"/>
      <c r="AD610" s="19"/>
      <c r="AE610" s="19"/>
      <c r="AF610" s="19"/>
      <c r="AG610" s="19"/>
      <c r="AH610" s="19"/>
      <c r="AI610" s="19"/>
    </row>
    <row r="611" spans="1:35" ht="13.15" x14ac:dyDescent="0.4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  <c r="AA611" s="19"/>
      <c r="AB611" s="19"/>
      <c r="AC611" s="19"/>
      <c r="AD611" s="19"/>
      <c r="AE611" s="19"/>
      <c r="AF611" s="19"/>
      <c r="AG611" s="19"/>
      <c r="AH611" s="19"/>
      <c r="AI611" s="19"/>
    </row>
    <row r="612" spans="1:35" ht="13.15" x14ac:dyDescent="0.4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  <c r="AA612" s="19"/>
      <c r="AB612" s="19"/>
      <c r="AC612" s="19"/>
      <c r="AD612" s="19"/>
      <c r="AE612" s="19"/>
      <c r="AF612" s="19"/>
      <c r="AG612" s="19"/>
      <c r="AH612" s="19"/>
      <c r="AI612" s="19"/>
    </row>
    <row r="613" spans="1:35" ht="13.15" x14ac:dyDescent="0.4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  <c r="AC613" s="19"/>
      <c r="AD613" s="19"/>
      <c r="AE613" s="19"/>
      <c r="AF613" s="19"/>
      <c r="AG613" s="19"/>
      <c r="AH613" s="19"/>
      <c r="AI613" s="19"/>
    </row>
    <row r="614" spans="1:35" ht="13.15" x14ac:dyDescent="0.4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  <c r="AC614" s="19"/>
      <c r="AD614" s="19"/>
      <c r="AE614" s="19"/>
      <c r="AF614" s="19"/>
      <c r="AG614" s="19"/>
      <c r="AH614" s="19"/>
      <c r="AI614" s="19"/>
    </row>
    <row r="615" spans="1:35" ht="13.15" x14ac:dyDescent="0.4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  <c r="AC615" s="19"/>
      <c r="AD615" s="19"/>
      <c r="AE615" s="19"/>
      <c r="AF615" s="19"/>
      <c r="AG615" s="19"/>
      <c r="AH615" s="19"/>
      <c r="AI615" s="19"/>
    </row>
    <row r="616" spans="1:35" ht="13.15" x14ac:dyDescent="0.4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  <c r="AC616" s="19"/>
      <c r="AD616" s="19"/>
      <c r="AE616" s="19"/>
      <c r="AF616" s="19"/>
      <c r="AG616" s="19"/>
      <c r="AH616" s="19"/>
      <c r="AI616" s="19"/>
    </row>
    <row r="617" spans="1:35" ht="13.15" x14ac:dyDescent="0.4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  <c r="AA617" s="19"/>
      <c r="AB617" s="19"/>
      <c r="AC617" s="19"/>
      <c r="AD617" s="19"/>
      <c r="AE617" s="19"/>
      <c r="AF617" s="19"/>
      <c r="AG617" s="19"/>
      <c r="AH617" s="19"/>
      <c r="AI617" s="19"/>
    </row>
    <row r="618" spans="1:35" ht="13.15" x14ac:dyDescent="0.4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  <c r="AA618" s="19"/>
      <c r="AB618" s="19"/>
      <c r="AC618" s="19"/>
      <c r="AD618" s="19"/>
      <c r="AE618" s="19"/>
      <c r="AF618" s="19"/>
      <c r="AG618" s="19"/>
      <c r="AH618" s="19"/>
      <c r="AI618" s="19"/>
    </row>
    <row r="619" spans="1:35" ht="13.15" x14ac:dyDescent="0.4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  <c r="AA619" s="19"/>
      <c r="AB619" s="19"/>
      <c r="AC619" s="19"/>
      <c r="AD619" s="19"/>
      <c r="AE619" s="19"/>
      <c r="AF619" s="19"/>
      <c r="AG619" s="19"/>
      <c r="AH619" s="19"/>
      <c r="AI619" s="19"/>
    </row>
    <row r="620" spans="1:35" ht="13.15" x14ac:dyDescent="0.4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  <c r="AB620" s="19"/>
      <c r="AC620" s="19"/>
      <c r="AD620" s="19"/>
      <c r="AE620" s="19"/>
      <c r="AF620" s="19"/>
      <c r="AG620" s="19"/>
      <c r="AH620" s="19"/>
      <c r="AI620" s="19"/>
    </row>
    <row r="621" spans="1:35" ht="13.15" x14ac:dyDescent="0.4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  <c r="AA621" s="19"/>
      <c r="AB621" s="19"/>
      <c r="AC621" s="19"/>
      <c r="AD621" s="19"/>
      <c r="AE621" s="19"/>
      <c r="AF621" s="19"/>
      <c r="AG621" s="19"/>
      <c r="AH621" s="19"/>
      <c r="AI621" s="19"/>
    </row>
    <row r="622" spans="1:35" ht="13.15" x14ac:dyDescent="0.4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  <c r="AA622" s="19"/>
      <c r="AB622" s="19"/>
      <c r="AC622" s="19"/>
      <c r="AD622" s="19"/>
      <c r="AE622" s="19"/>
      <c r="AF622" s="19"/>
      <c r="AG622" s="19"/>
      <c r="AH622" s="19"/>
      <c r="AI622" s="19"/>
    </row>
    <row r="623" spans="1:35" ht="13.15" x14ac:dyDescent="0.4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  <c r="AA623" s="19"/>
      <c r="AB623" s="19"/>
      <c r="AC623" s="19"/>
      <c r="AD623" s="19"/>
      <c r="AE623" s="19"/>
      <c r="AF623" s="19"/>
      <c r="AG623" s="19"/>
      <c r="AH623" s="19"/>
      <c r="AI623" s="19"/>
    </row>
    <row r="624" spans="1:35" ht="13.15" x14ac:dyDescent="0.4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  <c r="AA624" s="19"/>
      <c r="AB624" s="19"/>
      <c r="AC624" s="19"/>
      <c r="AD624" s="19"/>
      <c r="AE624" s="19"/>
      <c r="AF624" s="19"/>
      <c r="AG624" s="19"/>
      <c r="AH624" s="19"/>
      <c r="AI624" s="19"/>
    </row>
    <row r="625" spans="1:35" ht="13.15" x14ac:dyDescent="0.4">
      <c r="A625" s="19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  <c r="AA625" s="19"/>
      <c r="AB625" s="19"/>
      <c r="AC625" s="19"/>
      <c r="AD625" s="19"/>
      <c r="AE625" s="19"/>
      <c r="AF625" s="19"/>
      <c r="AG625" s="19"/>
      <c r="AH625" s="19"/>
      <c r="AI625" s="19"/>
    </row>
    <row r="626" spans="1:35" ht="13.15" x14ac:dyDescent="0.4">
      <c r="A626" s="19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  <c r="AA626" s="19"/>
      <c r="AB626" s="19"/>
      <c r="AC626" s="19"/>
      <c r="AD626" s="19"/>
      <c r="AE626" s="19"/>
      <c r="AF626" s="19"/>
      <c r="AG626" s="19"/>
      <c r="AH626" s="19"/>
      <c r="AI626" s="19"/>
    </row>
    <row r="627" spans="1:35" ht="13.15" x14ac:dyDescent="0.4">
      <c r="A627" s="19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  <c r="AA627" s="19"/>
      <c r="AB627" s="19"/>
      <c r="AC627" s="19"/>
      <c r="AD627" s="19"/>
      <c r="AE627" s="19"/>
      <c r="AF627" s="19"/>
      <c r="AG627" s="19"/>
      <c r="AH627" s="19"/>
      <c r="AI627" s="19"/>
    </row>
    <row r="628" spans="1:35" ht="13.15" x14ac:dyDescent="0.4">
      <c r="A628" s="19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  <c r="AA628" s="19"/>
      <c r="AB628" s="19"/>
      <c r="AC628" s="19"/>
      <c r="AD628" s="19"/>
      <c r="AE628" s="19"/>
      <c r="AF628" s="19"/>
      <c r="AG628" s="19"/>
      <c r="AH628" s="19"/>
      <c r="AI628" s="19"/>
    </row>
    <row r="629" spans="1:35" ht="13.15" x14ac:dyDescent="0.4">
      <c r="A629" s="19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  <c r="AA629" s="19"/>
      <c r="AB629" s="19"/>
      <c r="AC629" s="19"/>
      <c r="AD629" s="19"/>
      <c r="AE629" s="19"/>
      <c r="AF629" s="19"/>
      <c r="AG629" s="19"/>
      <c r="AH629" s="19"/>
      <c r="AI629" s="19"/>
    </row>
    <row r="630" spans="1:35" ht="13.15" x14ac:dyDescent="0.4">
      <c r="A630" s="19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  <c r="AA630" s="19"/>
      <c r="AB630" s="19"/>
      <c r="AC630" s="19"/>
      <c r="AD630" s="19"/>
      <c r="AE630" s="19"/>
      <c r="AF630" s="19"/>
      <c r="AG630" s="19"/>
      <c r="AH630" s="19"/>
      <c r="AI630" s="19"/>
    </row>
    <row r="631" spans="1:35" ht="13.15" x14ac:dyDescent="0.4">
      <c r="A631" s="19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  <c r="AC631" s="19"/>
      <c r="AD631" s="19"/>
      <c r="AE631" s="19"/>
      <c r="AF631" s="19"/>
      <c r="AG631" s="19"/>
      <c r="AH631" s="19"/>
      <c r="AI631" s="19"/>
    </row>
    <row r="632" spans="1:35" ht="13.15" x14ac:dyDescent="0.4">
      <c r="A632" s="19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  <c r="AA632" s="19"/>
      <c r="AB632" s="19"/>
      <c r="AC632" s="19"/>
      <c r="AD632" s="19"/>
      <c r="AE632" s="19"/>
      <c r="AF632" s="19"/>
      <c r="AG632" s="19"/>
      <c r="AH632" s="19"/>
      <c r="AI632" s="19"/>
    </row>
    <row r="633" spans="1:35" ht="13.15" x14ac:dyDescent="0.4">
      <c r="A633" s="19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  <c r="AA633" s="19"/>
      <c r="AB633" s="19"/>
      <c r="AC633" s="19"/>
      <c r="AD633" s="19"/>
      <c r="AE633" s="19"/>
      <c r="AF633" s="19"/>
      <c r="AG633" s="19"/>
      <c r="AH633" s="19"/>
      <c r="AI633" s="19"/>
    </row>
    <row r="634" spans="1:35" ht="13.15" x14ac:dyDescent="0.4">
      <c r="A634" s="19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  <c r="AA634" s="19"/>
      <c r="AB634" s="19"/>
      <c r="AC634" s="19"/>
      <c r="AD634" s="19"/>
      <c r="AE634" s="19"/>
      <c r="AF634" s="19"/>
      <c r="AG634" s="19"/>
      <c r="AH634" s="19"/>
      <c r="AI634" s="19"/>
    </row>
    <row r="635" spans="1:35" ht="13.15" x14ac:dyDescent="0.4">
      <c r="A635" s="19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  <c r="AA635" s="19"/>
      <c r="AB635" s="19"/>
      <c r="AC635" s="19"/>
      <c r="AD635" s="19"/>
      <c r="AE635" s="19"/>
      <c r="AF635" s="19"/>
      <c r="AG635" s="19"/>
      <c r="AH635" s="19"/>
      <c r="AI635" s="19"/>
    </row>
    <row r="636" spans="1:35" ht="13.15" x14ac:dyDescent="0.4">
      <c r="A636" s="19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  <c r="AA636" s="19"/>
      <c r="AB636" s="19"/>
      <c r="AC636" s="19"/>
      <c r="AD636" s="19"/>
      <c r="AE636" s="19"/>
      <c r="AF636" s="19"/>
      <c r="AG636" s="19"/>
      <c r="AH636" s="19"/>
      <c r="AI636" s="19"/>
    </row>
    <row r="637" spans="1:35" ht="13.15" x14ac:dyDescent="0.4">
      <c r="A637" s="19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  <c r="AA637" s="19"/>
      <c r="AB637" s="19"/>
      <c r="AC637" s="19"/>
      <c r="AD637" s="19"/>
      <c r="AE637" s="19"/>
      <c r="AF637" s="19"/>
      <c r="AG637" s="19"/>
      <c r="AH637" s="19"/>
      <c r="AI637" s="19"/>
    </row>
    <row r="638" spans="1:35" ht="13.15" x14ac:dyDescent="0.4">
      <c r="A638" s="19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  <c r="AA638" s="19"/>
      <c r="AB638" s="19"/>
      <c r="AC638" s="19"/>
      <c r="AD638" s="19"/>
      <c r="AE638" s="19"/>
      <c r="AF638" s="19"/>
      <c r="AG638" s="19"/>
      <c r="AH638" s="19"/>
      <c r="AI638" s="19"/>
    </row>
    <row r="639" spans="1:35" ht="13.15" x14ac:dyDescent="0.4">
      <c r="A639" s="19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  <c r="AA639" s="19"/>
      <c r="AB639" s="19"/>
      <c r="AC639" s="19"/>
      <c r="AD639" s="19"/>
      <c r="AE639" s="19"/>
      <c r="AF639" s="19"/>
      <c r="AG639" s="19"/>
      <c r="AH639" s="19"/>
      <c r="AI639" s="19"/>
    </row>
    <row r="640" spans="1:35" ht="13.15" x14ac:dyDescent="0.4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  <c r="AA640" s="19"/>
      <c r="AB640" s="19"/>
      <c r="AC640" s="19"/>
      <c r="AD640" s="19"/>
      <c r="AE640" s="19"/>
      <c r="AF640" s="19"/>
      <c r="AG640" s="19"/>
      <c r="AH640" s="19"/>
      <c r="AI640" s="19"/>
    </row>
    <row r="641" spans="1:35" ht="13.15" x14ac:dyDescent="0.4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  <c r="AA641" s="19"/>
      <c r="AB641" s="19"/>
      <c r="AC641" s="19"/>
      <c r="AD641" s="19"/>
      <c r="AE641" s="19"/>
      <c r="AF641" s="19"/>
      <c r="AG641" s="19"/>
      <c r="AH641" s="19"/>
      <c r="AI641" s="19"/>
    </row>
    <row r="642" spans="1:35" ht="13.15" x14ac:dyDescent="0.4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  <c r="AA642" s="19"/>
      <c r="AB642" s="19"/>
      <c r="AC642" s="19"/>
      <c r="AD642" s="19"/>
      <c r="AE642" s="19"/>
      <c r="AF642" s="19"/>
      <c r="AG642" s="19"/>
      <c r="AH642" s="19"/>
      <c r="AI642" s="19"/>
    </row>
    <row r="643" spans="1:35" ht="13.15" x14ac:dyDescent="0.4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  <c r="AA643" s="19"/>
      <c r="AB643" s="19"/>
      <c r="AC643" s="19"/>
      <c r="AD643" s="19"/>
      <c r="AE643" s="19"/>
      <c r="AF643" s="19"/>
      <c r="AG643" s="19"/>
      <c r="AH643" s="19"/>
      <c r="AI643" s="19"/>
    </row>
    <row r="644" spans="1:35" ht="13.15" x14ac:dyDescent="0.4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  <c r="AA644" s="19"/>
      <c r="AB644" s="19"/>
      <c r="AC644" s="19"/>
      <c r="AD644" s="19"/>
      <c r="AE644" s="19"/>
      <c r="AF644" s="19"/>
      <c r="AG644" s="19"/>
      <c r="AH644" s="19"/>
      <c r="AI644" s="19"/>
    </row>
    <row r="645" spans="1:35" ht="13.15" x14ac:dyDescent="0.4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  <c r="AA645" s="19"/>
      <c r="AB645" s="19"/>
      <c r="AC645" s="19"/>
      <c r="AD645" s="19"/>
      <c r="AE645" s="19"/>
      <c r="AF645" s="19"/>
      <c r="AG645" s="19"/>
      <c r="AH645" s="19"/>
      <c r="AI645" s="19"/>
    </row>
    <row r="646" spans="1:35" ht="13.15" x14ac:dyDescent="0.4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  <c r="AB646" s="19"/>
      <c r="AC646" s="19"/>
      <c r="AD646" s="19"/>
      <c r="AE646" s="19"/>
      <c r="AF646" s="19"/>
      <c r="AG646" s="19"/>
      <c r="AH646" s="19"/>
      <c r="AI646" s="19"/>
    </row>
    <row r="647" spans="1:35" ht="13.15" x14ac:dyDescent="0.4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  <c r="AA647" s="19"/>
      <c r="AB647" s="19"/>
      <c r="AC647" s="19"/>
      <c r="AD647" s="19"/>
      <c r="AE647" s="19"/>
      <c r="AF647" s="19"/>
      <c r="AG647" s="19"/>
      <c r="AH647" s="19"/>
      <c r="AI647" s="19"/>
    </row>
    <row r="648" spans="1:35" ht="13.15" x14ac:dyDescent="0.4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  <c r="AA648" s="19"/>
      <c r="AB648" s="19"/>
      <c r="AC648" s="19"/>
      <c r="AD648" s="19"/>
      <c r="AE648" s="19"/>
      <c r="AF648" s="19"/>
      <c r="AG648" s="19"/>
      <c r="AH648" s="19"/>
      <c r="AI648" s="19"/>
    </row>
    <row r="649" spans="1:35" ht="13.15" x14ac:dyDescent="0.4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  <c r="AA649" s="19"/>
      <c r="AB649" s="19"/>
      <c r="AC649" s="19"/>
      <c r="AD649" s="19"/>
      <c r="AE649" s="19"/>
      <c r="AF649" s="19"/>
      <c r="AG649" s="19"/>
      <c r="AH649" s="19"/>
      <c r="AI649" s="19"/>
    </row>
    <row r="650" spans="1:35" ht="13.15" x14ac:dyDescent="0.4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  <c r="AA650" s="19"/>
      <c r="AB650" s="19"/>
      <c r="AC650" s="19"/>
      <c r="AD650" s="19"/>
      <c r="AE650" s="19"/>
      <c r="AF650" s="19"/>
      <c r="AG650" s="19"/>
      <c r="AH650" s="19"/>
      <c r="AI650" s="19"/>
    </row>
    <row r="651" spans="1:35" ht="13.15" x14ac:dyDescent="0.4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  <c r="AA651" s="19"/>
      <c r="AB651" s="19"/>
      <c r="AC651" s="19"/>
      <c r="AD651" s="19"/>
      <c r="AE651" s="19"/>
      <c r="AF651" s="19"/>
      <c r="AG651" s="19"/>
      <c r="AH651" s="19"/>
      <c r="AI651" s="19"/>
    </row>
    <row r="652" spans="1:35" ht="13.15" x14ac:dyDescent="0.4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  <c r="AA652" s="19"/>
      <c r="AB652" s="19"/>
      <c r="AC652" s="19"/>
      <c r="AD652" s="19"/>
      <c r="AE652" s="19"/>
      <c r="AF652" s="19"/>
      <c r="AG652" s="19"/>
      <c r="AH652" s="19"/>
      <c r="AI652" s="19"/>
    </row>
    <row r="653" spans="1:35" ht="13.15" x14ac:dyDescent="0.4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  <c r="AA653" s="19"/>
      <c r="AB653" s="19"/>
      <c r="AC653" s="19"/>
      <c r="AD653" s="19"/>
      <c r="AE653" s="19"/>
      <c r="AF653" s="19"/>
      <c r="AG653" s="19"/>
      <c r="AH653" s="19"/>
      <c r="AI653" s="19"/>
    </row>
    <row r="654" spans="1:35" ht="13.15" x14ac:dyDescent="0.4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  <c r="AA654" s="19"/>
      <c r="AB654" s="19"/>
      <c r="AC654" s="19"/>
      <c r="AD654" s="19"/>
      <c r="AE654" s="19"/>
      <c r="AF654" s="19"/>
      <c r="AG654" s="19"/>
      <c r="AH654" s="19"/>
      <c r="AI654" s="19"/>
    </row>
    <row r="655" spans="1:35" ht="13.15" x14ac:dyDescent="0.4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  <c r="AA655" s="19"/>
      <c r="AB655" s="19"/>
      <c r="AC655" s="19"/>
      <c r="AD655" s="19"/>
      <c r="AE655" s="19"/>
      <c r="AF655" s="19"/>
      <c r="AG655" s="19"/>
      <c r="AH655" s="19"/>
      <c r="AI655" s="19"/>
    </row>
    <row r="656" spans="1:35" ht="13.15" x14ac:dyDescent="0.4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  <c r="AA656" s="19"/>
      <c r="AB656" s="19"/>
      <c r="AC656" s="19"/>
      <c r="AD656" s="19"/>
      <c r="AE656" s="19"/>
      <c r="AF656" s="19"/>
      <c r="AG656" s="19"/>
      <c r="AH656" s="19"/>
      <c r="AI656" s="19"/>
    </row>
    <row r="657" spans="1:35" ht="13.15" x14ac:dyDescent="0.4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  <c r="AA657" s="19"/>
      <c r="AB657" s="19"/>
      <c r="AC657" s="19"/>
      <c r="AD657" s="19"/>
      <c r="AE657" s="19"/>
      <c r="AF657" s="19"/>
      <c r="AG657" s="19"/>
      <c r="AH657" s="19"/>
      <c r="AI657" s="19"/>
    </row>
    <row r="658" spans="1:35" ht="13.15" x14ac:dyDescent="0.4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  <c r="AA658" s="19"/>
      <c r="AB658" s="19"/>
      <c r="AC658" s="19"/>
      <c r="AD658" s="19"/>
      <c r="AE658" s="19"/>
      <c r="AF658" s="19"/>
      <c r="AG658" s="19"/>
      <c r="AH658" s="19"/>
      <c r="AI658" s="19"/>
    </row>
    <row r="659" spans="1:35" ht="13.15" x14ac:dyDescent="0.4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  <c r="AA659" s="19"/>
      <c r="AB659" s="19"/>
      <c r="AC659" s="19"/>
      <c r="AD659" s="19"/>
      <c r="AE659" s="19"/>
      <c r="AF659" s="19"/>
      <c r="AG659" s="19"/>
      <c r="AH659" s="19"/>
      <c r="AI659" s="19"/>
    </row>
    <row r="660" spans="1:35" ht="13.15" x14ac:dyDescent="0.4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  <c r="AA660" s="19"/>
      <c r="AB660" s="19"/>
      <c r="AC660" s="19"/>
      <c r="AD660" s="19"/>
      <c r="AE660" s="19"/>
      <c r="AF660" s="19"/>
      <c r="AG660" s="19"/>
      <c r="AH660" s="19"/>
      <c r="AI660" s="19"/>
    </row>
    <row r="661" spans="1:35" ht="13.15" x14ac:dyDescent="0.4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  <c r="AA661" s="19"/>
      <c r="AB661" s="19"/>
      <c r="AC661" s="19"/>
      <c r="AD661" s="19"/>
      <c r="AE661" s="19"/>
      <c r="AF661" s="19"/>
      <c r="AG661" s="19"/>
      <c r="AH661" s="19"/>
      <c r="AI661" s="19"/>
    </row>
    <row r="662" spans="1:35" ht="13.15" x14ac:dyDescent="0.4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  <c r="AA662" s="19"/>
      <c r="AB662" s="19"/>
      <c r="AC662" s="19"/>
      <c r="AD662" s="19"/>
      <c r="AE662" s="19"/>
      <c r="AF662" s="19"/>
      <c r="AG662" s="19"/>
      <c r="AH662" s="19"/>
      <c r="AI662" s="19"/>
    </row>
    <row r="663" spans="1:35" ht="13.15" x14ac:dyDescent="0.4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  <c r="AA663" s="19"/>
      <c r="AB663" s="19"/>
      <c r="AC663" s="19"/>
      <c r="AD663" s="19"/>
      <c r="AE663" s="19"/>
      <c r="AF663" s="19"/>
      <c r="AG663" s="19"/>
      <c r="AH663" s="19"/>
      <c r="AI663" s="19"/>
    </row>
    <row r="664" spans="1:35" ht="13.15" x14ac:dyDescent="0.4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  <c r="AA664" s="19"/>
      <c r="AB664" s="19"/>
      <c r="AC664" s="19"/>
      <c r="AD664" s="19"/>
      <c r="AE664" s="19"/>
      <c r="AF664" s="19"/>
      <c r="AG664" s="19"/>
      <c r="AH664" s="19"/>
      <c r="AI664" s="19"/>
    </row>
    <row r="665" spans="1:35" ht="13.15" x14ac:dyDescent="0.4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  <c r="AA665" s="19"/>
      <c r="AB665" s="19"/>
      <c r="AC665" s="19"/>
      <c r="AD665" s="19"/>
      <c r="AE665" s="19"/>
      <c r="AF665" s="19"/>
      <c r="AG665" s="19"/>
      <c r="AH665" s="19"/>
      <c r="AI665" s="19"/>
    </row>
    <row r="666" spans="1:35" ht="13.15" x14ac:dyDescent="0.4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  <c r="AA666" s="19"/>
      <c r="AB666" s="19"/>
      <c r="AC666" s="19"/>
      <c r="AD666" s="19"/>
      <c r="AE666" s="19"/>
      <c r="AF666" s="19"/>
      <c r="AG666" s="19"/>
      <c r="AH666" s="19"/>
      <c r="AI666" s="19"/>
    </row>
    <row r="667" spans="1:35" ht="13.15" x14ac:dyDescent="0.4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  <c r="AA667" s="19"/>
      <c r="AB667" s="19"/>
      <c r="AC667" s="19"/>
      <c r="AD667" s="19"/>
      <c r="AE667" s="19"/>
      <c r="AF667" s="19"/>
      <c r="AG667" s="19"/>
      <c r="AH667" s="19"/>
      <c r="AI667" s="19"/>
    </row>
    <row r="668" spans="1:35" ht="13.15" x14ac:dyDescent="0.4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  <c r="AA668" s="19"/>
      <c r="AB668" s="19"/>
      <c r="AC668" s="19"/>
      <c r="AD668" s="19"/>
      <c r="AE668" s="19"/>
      <c r="AF668" s="19"/>
      <c r="AG668" s="19"/>
      <c r="AH668" s="19"/>
      <c r="AI668" s="19"/>
    </row>
    <row r="669" spans="1:35" ht="13.15" x14ac:dyDescent="0.4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  <c r="AA669" s="19"/>
      <c r="AB669" s="19"/>
      <c r="AC669" s="19"/>
      <c r="AD669" s="19"/>
      <c r="AE669" s="19"/>
      <c r="AF669" s="19"/>
      <c r="AG669" s="19"/>
      <c r="AH669" s="19"/>
      <c r="AI669" s="19"/>
    </row>
    <row r="670" spans="1:35" ht="13.15" x14ac:dyDescent="0.4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  <c r="AA670" s="19"/>
      <c r="AB670" s="19"/>
      <c r="AC670" s="19"/>
      <c r="AD670" s="19"/>
      <c r="AE670" s="19"/>
      <c r="AF670" s="19"/>
      <c r="AG670" s="19"/>
      <c r="AH670" s="19"/>
      <c r="AI670" s="19"/>
    </row>
    <row r="671" spans="1:35" ht="13.15" x14ac:dyDescent="0.4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  <c r="AA671" s="19"/>
      <c r="AB671" s="19"/>
      <c r="AC671" s="19"/>
      <c r="AD671" s="19"/>
      <c r="AE671" s="19"/>
      <c r="AF671" s="19"/>
      <c r="AG671" s="19"/>
      <c r="AH671" s="19"/>
      <c r="AI671" s="19"/>
    </row>
    <row r="672" spans="1:35" ht="13.15" x14ac:dyDescent="0.4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  <c r="AA672" s="19"/>
      <c r="AB672" s="19"/>
      <c r="AC672" s="19"/>
      <c r="AD672" s="19"/>
      <c r="AE672" s="19"/>
      <c r="AF672" s="19"/>
      <c r="AG672" s="19"/>
      <c r="AH672" s="19"/>
      <c r="AI672" s="19"/>
    </row>
    <row r="673" spans="1:35" ht="13.15" x14ac:dyDescent="0.4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  <c r="AA673" s="19"/>
      <c r="AB673" s="19"/>
      <c r="AC673" s="19"/>
      <c r="AD673" s="19"/>
      <c r="AE673" s="19"/>
      <c r="AF673" s="19"/>
      <c r="AG673" s="19"/>
      <c r="AH673" s="19"/>
      <c r="AI673" s="19"/>
    </row>
    <row r="674" spans="1:35" ht="13.15" x14ac:dyDescent="0.4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  <c r="AA674" s="19"/>
      <c r="AB674" s="19"/>
      <c r="AC674" s="19"/>
      <c r="AD674" s="19"/>
      <c r="AE674" s="19"/>
      <c r="AF674" s="19"/>
      <c r="AG674" s="19"/>
      <c r="AH674" s="19"/>
      <c r="AI674" s="19"/>
    </row>
    <row r="675" spans="1:35" ht="13.15" x14ac:dyDescent="0.4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  <c r="AA675" s="19"/>
      <c r="AB675" s="19"/>
      <c r="AC675" s="19"/>
      <c r="AD675" s="19"/>
      <c r="AE675" s="19"/>
      <c r="AF675" s="19"/>
      <c r="AG675" s="19"/>
      <c r="AH675" s="19"/>
      <c r="AI675" s="19"/>
    </row>
    <row r="676" spans="1:35" ht="13.15" x14ac:dyDescent="0.4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  <c r="AA676" s="19"/>
      <c r="AB676" s="19"/>
      <c r="AC676" s="19"/>
      <c r="AD676" s="19"/>
      <c r="AE676" s="19"/>
      <c r="AF676" s="19"/>
      <c r="AG676" s="19"/>
      <c r="AH676" s="19"/>
      <c r="AI676" s="19"/>
    </row>
    <row r="677" spans="1:35" ht="13.15" x14ac:dyDescent="0.4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  <c r="AA677" s="19"/>
      <c r="AB677" s="19"/>
      <c r="AC677" s="19"/>
      <c r="AD677" s="19"/>
      <c r="AE677" s="19"/>
      <c r="AF677" s="19"/>
      <c r="AG677" s="19"/>
      <c r="AH677" s="19"/>
      <c r="AI677" s="19"/>
    </row>
    <row r="678" spans="1:35" ht="13.15" x14ac:dyDescent="0.4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  <c r="AA678" s="19"/>
      <c r="AB678" s="19"/>
      <c r="AC678" s="19"/>
      <c r="AD678" s="19"/>
      <c r="AE678" s="19"/>
      <c r="AF678" s="19"/>
      <c r="AG678" s="19"/>
      <c r="AH678" s="19"/>
      <c r="AI678" s="19"/>
    </row>
    <row r="679" spans="1:35" ht="13.15" x14ac:dyDescent="0.4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A679" s="19"/>
      <c r="AB679" s="19"/>
      <c r="AC679" s="19"/>
      <c r="AD679" s="19"/>
      <c r="AE679" s="19"/>
      <c r="AF679" s="19"/>
      <c r="AG679" s="19"/>
      <c r="AH679" s="19"/>
      <c r="AI679" s="19"/>
    </row>
    <row r="680" spans="1:35" ht="13.15" x14ac:dyDescent="0.4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  <c r="AA680" s="19"/>
      <c r="AB680" s="19"/>
      <c r="AC680" s="19"/>
      <c r="AD680" s="19"/>
      <c r="AE680" s="19"/>
      <c r="AF680" s="19"/>
      <c r="AG680" s="19"/>
      <c r="AH680" s="19"/>
      <c r="AI680" s="19"/>
    </row>
    <row r="681" spans="1:35" ht="13.15" x14ac:dyDescent="0.4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  <c r="AA681" s="19"/>
      <c r="AB681" s="19"/>
      <c r="AC681" s="19"/>
      <c r="AD681" s="19"/>
      <c r="AE681" s="19"/>
      <c r="AF681" s="19"/>
      <c r="AG681" s="19"/>
      <c r="AH681" s="19"/>
      <c r="AI681" s="19"/>
    </row>
    <row r="682" spans="1:35" ht="13.15" x14ac:dyDescent="0.4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  <c r="AA682" s="19"/>
      <c r="AB682" s="19"/>
      <c r="AC682" s="19"/>
      <c r="AD682" s="19"/>
      <c r="AE682" s="19"/>
      <c r="AF682" s="19"/>
      <c r="AG682" s="19"/>
      <c r="AH682" s="19"/>
      <c r="AI682" s="19"/>
    </row>
    <row r="683" spans="1:35" ht="13.15" x14ac:dyDescent="0.4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  <c r="AA683" s="19"/>
      <c r="AB683" s="19"/>
      <c r="AC683" s="19"/>
      <c r="AD683" s="19"/>
      <c r="AE683" s="19"/>
      <c r="AF683" s="19"/>
      <c r="AG683" s="19"/>
      <c r="AH683" s="19"/>
      <c r="AI683" s="19"/>
    </row>
    <row r="684" spans="1:35" ht="13.15" x14ac:dyDescent="0.4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  <c r="AA684" s="19"/>
      <c r="AB684" s="19"/>
      <c r="AC684" s="19"/>
      <c r="AD684" s="19"/>
      <c r="AE684" s="19"/>
      <c r="AF684" s="19"/>
      <c r="AG684" s="19"/>
      <c r="AH684" s="19"/>
      <c r="AI684" s="19"/>
    </row>
    <row r="685" spans="1:35" ht="13.15" x14ac:dyDescent="0.4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  <c r="AA685" s="19"/>
      <c r="AB685" s="19"/>
      <c r="AC685" s="19"/>
      <c r="AD685" s="19"/>
      <c r="AE685" s="19"/>
      <c r="AF685" s="19"/>
      <c r="AG685" s="19"/>
      <c r="AH685" s="19"/>
      <c r="AI685" s="19"/>
    </row>
    <row r="686" spans="1:35" ht="13.15" x14ac:dyDescent="0.4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  <c r="AA686" s="19"/>
      <c r="AB686" s="19"/>
      <c r="AC686" s="19"/>
      <c r="AD686" s="19"/>
      <c r="AE686" s="19"/>
      <c r="AF686" s="19"/>
      <c r="AG686" s="19"/>
      <c r="AH686" s="19"/>
      <c r="AI686" s="19"/>
    </row>
    <row r="687" spans="1:35" ht="13.15" x14ac:dyDescent="0.4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  <c r="AA687" s="19"/>
      <c r="AB687" s="19"/>
      <c r="AC687" s="19"/>
      <c r="AD687" s="19"/>
      <c r="AE687" s="19"/>
      <c r="AF687" s="19"/>
      <c r="AG687" s="19"/>
      <c r="AH687" s="19"/>
      <c r="AI687" s="19"/>
    </row>
    <row r="688" spans="1:35" ht="13.15" x14ac:dyDescent="0.4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  <c r="AA688" s="19"/>
      <c r="AB688" s="19"/>
      <c r="AC688" s="19"/>
      <c r="AD688" s="19"/>
      <c r="AE688" s="19"/>
      <c r="AF688" s="19"/>
      <c r="AG688" s="19"/>
      <c r="AH688" s="19"/>
      <c r="AI688" s="19"/>
    </row>
    <row r="689" spans="1:35" ht="13.15" x14ac:dyDescent="0.4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  <c r="AA689" s="19"/>
      <c r="AB689" s="19"/>
      <c r="AC689" s="19"/>
      <c r="AD689" s="19"/>
      <c r="AE689" s="19"/>
      <c r="AF689" s="19"/>
      <c r="AG689" s="19"/>
      <c r="AH689" s="19"/>
      <c r="AI689" s="19"/>
    </row>
    <row r="690" spans="1:35" ht="13.15" x14ac:dyDescent="0.4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  <c r="AA690" s="19"/>
      <c r="AB690" s="19"/>
      <c r="AC690" s="19"/>
      <c r="AD690" s="19"/>
      <c r="AE690" s="19"/>
      <c r="AF690" s="19"/>
      <c r="AG690" s="19"/>
      <c r="AH690" s="19"/>
      <c r="AI690" s="19"/>
    </row>
    <row r="691" spans="1:35" ht="13.15" x14ac:dyDescent="0.4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  <c r="AA691" s="19"/>
      <c r="AB691" s="19"/>
      <c r="AC691" s="19"/>
      <c r="AD691" s="19"/>
      <c r="AE691" s="19"/>
      <c r="AF691" s="19"/>
      <c r="AG691" s="19"/>
      <c r="AH691" s="19"/>
      <c r="AI691" s="19"/>
    </row>
    <row r="692" spans="1:35" ht="13.15" x14ac:dyDescent="0.4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  <c r="AA692" s="19"/>
      <c r="AB692" s="19"/>
      <c r="AC692" s="19"/>
      <c r="AD692" s="19"/>
      <c r="AE692" s="19"/>
      <c r="AF692" s="19"/>
      <c r="AG692" s="19"/>
      <c r="AH692" s="19"/>
      <c r="AI692" s="19"/>
    </row>
    <row r="693" spans="1:35" ht="13.15" x14ac:dyDescent="0.4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  <c r="AA693" s="19"/>
      <c r="AB693" s="19"/>
      <c r="AC693" s="19"/>
      <c r="AD693" s="19"/>
      <c r="AE693" s="19"/>
      <c r="AF693" s="19"/>
      <c r="AG693" s="19"/>
      <c r="AH693" s="19"/>
      <c r="AI693" s="19"/>
    </row>
    <row r="694" spans="1:35" ht="13.15" x14ac:dyDescent="0.4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  <c r="AA694" s="19"/>
      <c r="AB694" s="19"/>
      <c r="AC694" s="19"/>
      <c r="AD694" s="19"/>
      <c r="AE694" s="19"/>
      <c r="AF694" s="19"/>
      <c r="AG694" s="19"/>
      <c r="AH694" s="19"/>
      <c r="AI694" s="19"/>
    </row>
    <row r="695" spans="1:35" ht="13.15" x14ac:dyDescent="0.4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  <c r="AA695" s="19"/>
      <c r="AB695" s="19"/>
      <c r="AC695" s="19"/>
      <c r="AD695" s="19"/>
      <c r="AE695" s="19"/>
      <c r="AF695" s="19"/>
      <c r="AG695" s="19"/>
      <c r="AH695" s="19"/>
      <c r="AI695" s="19"/>
    </row>
    <row r="696" spans="1:35" ht="13.15" x14ac:dyDescent="0.4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  <c r="AA696" s="19"/>
      <c r="AB696" s="19"/>
      <c r="AC696" s="19"/>
      <c r="AD696" s="19"/>
      <c r="AE696" s="19"/>
      <c r="AF696" s="19"/>
      <c r="AG696" s="19"/>
      <c r="AH696" s="19"/>
      <c r="AI696" s="19"/>
    </row>
    <row r="697" spans="1:35" ht="13.15" x14ac:dyDescent="0.4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  <c r="AA697" s="19"/>
      <c r="AB697" s="19"/>
      <c r="AC697" s="19"/>
      <c r="AD697" s="19"/>
      <c r="AE697" s="19"/>
      <c r="AF697" s="19"/>
      <c r="AG697" s="19"/>
      <c r="AH697" s="19"/>
      <c r="AI697" s="19"/>
    </row>
    <row r="698" spans="1:35" ht="13.15" x14ac:dyDescent="0.4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  <c r="AA698" s="19"/>
      <c r="AB698" s="19"/>
      <c r="AC698" s="19"/>
      <c r="AD698" s="19"/>
      <c r="AE698" s="19"/>
      <c r="AF698" s="19"/>
      <c r="AG698" s="19"/>
      <c r="AH698" s="19"/>
      <c r="AI698" s="19"/>
    </row>
    <row r="699" spans="1:35" ht="13.15" x14ac:dyDescent="0.4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  <c r="AA699" s="19"/>
      <c r="AB699" s="19"/>
      <c r="AC699" s="19"/>
      <c r="AD699" s="19"/>
      <c r="AE699" s="19"/>
      <c r="AF699" s="19"/>
      <c r="AG699" s="19"/>
      <c r="AH699" s="19"/>
      <c r="AI699" s="19"/>
    </row>
    <row r="700" spans="1:35" ht="13.15" x14ac:dyDescent="0.4">
      <c r="A700" s="19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  <c r="AA700" s="19"/>
      <c r="AB700" s="19"/>
      <c r="AC700" s="19"/>
      <c r="AD700" s="19"/>
      <c r="AE700" s="19"/>
      <c r="AF700" s="19"/>
      <c r="AG700" s="19"/>
      <c r="AH700" s="19"/>
      <c r="AI700" s="19"/>
    </row>
    <row r="701" spans="1:35" ht="13.15" x14ac:dyDescent="0.4">
      <c r="A701" s="19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  <c r="AA701" s="19"/>
      <c r="AB701" s="19"/>
      <c r="AC701" s="19"/>
      <c r="AD701" s="19"/>
      <c r="AE701" s="19"/>
      <c r="AF701" s="19"/>
      <c r="AG701" s="19"/>
      <c r="AH701" s="19"/>
      <c r="AI701" s="19"/>
    </row>
    <row r="702" spans="1:35" ht="13.15" x14ac:dyDescent="0.4">
      <c r="A702" s="19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  <c r="AA702" s="19"/>
      <c r="AB702" s="19"/>
      <c r="AC702" s="19"/>
      <c r="AD702" s="19"/>
      <c r="AE702" s="19"/>
      <c r="AF702" s="19"/>
      <c r="AG702" s="19"/>
      <c r="AH702" s="19"/>
      <c r="AI702" s="19"/>
    </row>
    <row r="703" spans="1:35" ht="13.15" x14ac:dyDescent="0.4">
      <c r="A703" s="19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  <c r="AA703" s="19"/>
      <c r="AB703" s="19"/>
      <c r="AC703" s="19"/>
      <c r="AD703" s="19"/>
      <c r="AE703" s="19"/>
      <c r="AF703" s="19"/>
      <c r="AG703" s="19"/>
      <c r="AH703" s="19"/>
      <c r="AI703" s="19"/>
    </row>
    <row r="704" spans="1:35" ht="13.15" x14ac:dyDescent="0.4">
      <c r="A704" s="19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  <c r="AA704" s="19"/>
      <c r="AB704" s="19"/>
      <c r="AC704" s="19"/>
      <c r="AD704" s="19"/>
      <c r="AE704" s="19"/>
      <c r="AF704" s="19"/>
      <c r="AG704" s="19"/>
      <c r="AH704" s="19"/>
      <c r="AI704" s="19"/>
    </row>
    <row r="705" spans="1:35" ht="13.15" x14ac:dyDescent="0.4">
      <c r="A705" s="19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  <c r="AA705" s="19"/>
      <c r="AB705" s="19"/>
      <c r="AC705" s="19"/>
      <c r="AD705" s="19"/>
      <c r="AE705" s="19"/>
      <c r="AF705" s="19"/>
      <c r="AG705" s="19"/>
      <c r="AH705" s="19"/>
      <c r="AI705" s="19"/>
    </row>
    <row r="706" spans="1:35" ht="13.15" x14ac:dyDescent="0.4">
      <c r="A706" s="19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A706" s="19"/>
      <c r="AB706" s="19"/>
      <c r="AC706" s="19"/>
      <c r="AD706" s="19"/>
      <c r="AE706" s="19"/>
      <c r="AF706" s="19"/>
      <c r="AG706" s="19"/>
      <c r="AH706" s="19"/>
      <c r="AI706" s="19"/>
    </row>
    <row r="707" spans="1:35" ht="13.15" x14ac:dyDescent="0.4">
      <c r="A707" s="19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  <c r="AA707" s="19"/>
      <c r="AB707" s="19"/>
      <c r="AC707" s="19"/>
      <c r="AD707" s="19"/>
      <c r="AE707" s="19"/>
      <c r="AF707" s="19"/>
      <c r="AG707" s="19"/>
      <c r="AH707" s="19"/>
      <c r="AI707" s="19"/>
    </row>
    <row r="708" spans="1:35" ht="13.15" x14ac:dyDescent="0.4">
      <c r="A708" s="19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  <c r="AA708" s="19"/>
      <c r="AB708" s="19"/>
      <c r="AC708" s="19"/>
      <c r="AD708" s="19"/>
      <c r="AE708" s="19"/>
      <c r="AF708" s="19"/>
      <c r="AG708" s="19"/>
      <c r="AH708" s="19"/>
      <c r="AI708" s="19"/>
    </row>
    <row r="709" spans="1:35" ht="13.15" x14ac:dyDescent="0.4">
      <c r="A709" s="19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  <c r="AA709" s="19"/>
      <c r="AB709" s="19"/>
      <c r="AC709" s="19"/>
      <c r="AD709" s="19"/>
      <c r="AE709" s="19"/>
      <c r="AF709" s="19"/>
      <c r="AG709" s="19"/>
      <c r="AH709" s="19"/>
      <c r="AI709" s="19"/>
    </row>
    <row r="710" spans="1:35" ht="13.15" x14ac:dyDescent="0.4">
      <c r="A710" s="19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  <c r="AA710" s="19"/>
      <c r="AB710" s="19"/>
      <c r="AC710" s="19"/>
      <c r="AD710" s="19"/>
      <c r="AE710" s="19"/>
      <c r="AF710" s="19"/>
      <c r="AG710" s="19"/>
      <c r="AH710" s="19"/>
      <c r="AI710" s="19"/>
    </row>
    <row r="711" spans="1:35" ht="13.15" x14ac:dyDescent="0.4">
      <c r="A711" s="19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  <c r="AB711" s="19"/>
      <c r="AC711" s="19"/>
      <c r="AD711" s="19"/>
      <c r="AE711" s="19"/>
      <c r="AF711" s="19"/>
      <c r="AG711" s="19"/>
      <c r="AH711" s="19"/>
      <c r="AI711" s="19"/>
    </row>
    <row r="712" spans="1:35" ht="13.15" x14ac:dyDescent="0.4">
      <c r="A712" s="19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  <c r="AA712" s="19"/>
      <c r="AB712" s="19"/>
      <c r="AC712" s="19"/>
      <c r="AD712" s="19"/>
      <c r="AE712" s="19"/>
      <c r="AF712" s="19"/>
      <c r="AG712" s="19"/>
      <c r="AH712" s="19"/>
      <c r="AI712" s="19"/>
    </row>
    <row r="713" spans="1:35" ht="13.15" x14ac:dyDescent="0.4">
      <c r="A713" s="19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  <c r="AA713" s="19"/>
      <c r="AB713" s="19"/>
      <c r="AC713" s="19"/>
      <c r="AD713" s="19"/>
      <c r="AE713" s="19"/>
      <c r="AF713" s="19"/>
      <c r="AG713" s="19"/>
      <c r="AH713" s="19"/>
      <c r="AI713" s="19"/>
    </row>
    <row r="714" spans="1:35" ht="13.15" x14ac:dyDescent="0.4">
      <c r="A714" s="19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  <c r="AA714" s="19"/>
      <c r="AB714" s="19"/>
      <c r="AC714" s="19"/>
      <c r="AD714" s="19"/>
      <c r="AE714" s="19"/>
      <c r="AF714" s="19"/>
      <c r="AG714" s="19"/>
      <c r="AH714" s="19"/>
      <c r="AI714" s="19"/>
    </row>
    <row r="715" spans="1:35" ht="13.15" x14ac:dyDescent="0.4">
      <c r="A715" s="19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  <c r="AA715" s="19"/>
      <c r="AB715" s="19"/>
      <c r="AC715" s="19"/>
      <c r="AD715" s="19"/>
      <c r="AE715" s="19"/>
      <c r="AF715" s="19"/>
      <c r="AG715" s="19"/>
      <c r="AH715" s="19"/>
      <c r="AI715" s="19"/>
    </row>
    <row r="716" spans="1:35" ht="13.15" x14ac:dyDescent="0.4">
      <c r="A716" s="19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  <c r="AA716" s="19"/>
      <c r="AB716" s="19"/>
      <c r="AC716" s="19"/>
      <c r="AD716" s="19"/>
      <c r="AE716" s="19"/>
      <c r="AF716" s="19"/>
      <c r="AG716" s="19"/>
      <c r="AH716" s="19"/>
      <c r="AI716" s="19"/>
    </row>
    <row r="717" spans="1:35" ht="13.15" x14ac:dyDescent="0.4">
      <c r="A717" s="19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  <c r="AA717" s="19"/>
      <c r="AB717" s="19"/>
      <c r="AC717" s="19"/>
      <c r="AD717" s="19"/>
      <c r="AE717" s="19"/>
      <c r="AF717" s="19"/>
      <c r="AG717" s="19"/>
      <c r="AH717" s="19"/>
      <c r="AI717" s="19"/>
    </row>
    <row r="718" spans="1:35" ht="13.15" x14ac:dyDescent="0.4">
      <c r="A718" s="19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  <c r="AA718" s="19"/>
      <c r="AB718" s="19"/>
      <c r="AC718" s="19"/>
      <c r="AD718" s="19"/>
      <c r="AE718" s="19"/>
      <c r="AF718" s="19"/>
      <c r="AG718" s="19"/>
      <c r="AH718" s="19"/>
      <c r="AI718" s="19"/>
    </row>
    <row r="719" spans="1:35" ht="13.15" x14ac:dyDescent="0.4">
      <c r="A719" s="19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  <c r="AA719" s="19"/>
      <c r="AB719" s="19"/>
      <c r="AC719" s="19"/>
      <c r="AD719" s="19"/>
      <c r="AE719" s="19"/>
      <c r="AF719" s="19"/>
      <c r="AG719" s="19"/>
      <c r="AH719" s="19"/>
      <c r="AI719" s="19"/>
    </row>
    <row r="720" spans="1:35" ht="13.15" x14ac:dyDescent="0.4">
      <c r="A720" s="19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  <c r="AA720" s="19"/>
      <c r="AB720" s="19"/>
      <c r="AC720" s="19"/>
      <c r="AD720" s="19"/>
      <c r="AE720" s="19"/>
      <c r="AF720" s="19"/>
      <c r="AG720" s="19"/>
      <c r="AH720" s="19"/>
      <c r="AI720" s="19"/>
    </row>
    <row r="721" spans="1:35" ht="13.15" x14ac:dyDescent="0.4">
      <c r="A721" s="19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  <c r="AA721" s="19"/>
      <c r="AB721" s="19"/>
      <c r="AC721" s="19"/>
      <c r="AD721" s="19"/>
      <c r="AE721" s="19"/>
      <c r="AF721" s="19"/>
      <c r="AG721" s="19"/>
      <c r="AH721" s="19"/>
      <c r="AI721" s="19"/>
    </row>
    <row r="722" spans="1:35" ht="13.15" x14ac:dyDescent="0.4">
      <c r="A722" s="19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  <c r="AA722" s="19"/>
      <c r="AB722" s="19"/>
      <c r="AC722" s="19"/>
      <c r="AD722" s="19"/>
      <c r="AE722" s="19"/>
      <c r="AF722" s="19"/>
      <c r="AG722" s="19"/>
      <c r="AH722" s="19"/>
      <c r="AI722" s="19"/>
    </row>
    <row r="723" spans="1:35" ht="13.15" x14ac:dyDescent="0.4">
      <c r="A723" s="19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  <c r="AA723" s="19"/>
      <c r="AB723" s="19"/>
      <c r="AC723" s="19"/>
      <c r="AD723" s="19"/>
      <c r="AE723" s="19"/>
      <c r="AF723" s="19"/>
      <c r="AG723" s="19"/>
      <c r="AH723" s="19"/>
      <c r="AI723" s="19"/>
    </row>
    <row r="724" spans="1:35" ht="13.15" x14ac:dyDescent="0.4">
      <c r="A724" s="19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  <c r="AA724" s="19"/>
      <c r="AB724" s="19"/>
      <c r="AC724" s="19"/>
      <c r="AD724" s="19"/>
      <c r="AE724" s="19"/>
      <c r="AF724" s="19"/>
      <c r="AG724" s="19"/>
      <c r="AH724" s="19"/>
      <c r="AI724" s="19"/>
    </row>
    <row r="725" spans="1:35" ht="13.15" x14ac:dyDescent="0.4">
      <c r="A725" s="19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  <c r="AA725" s="19"/>
      <c r="AB725" s="19"/>
      <c r="AC725" s="19"/>
      <c r="AD725" s="19"/>
      <c r="AE725" s="19"/>
      <c r="AF725" s="19"/>
      <c r="AG725" s="19"/>
      <c r="AH725" s="19"/>
      <c r="AI725" s="19"/>
    </row>
    <row r="726" spans="1:35" ht="13.15" x14ac:dyDescent="0.4">
      <c r="A726" s="19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  <c r="AA726" s="19"/>
      <c r="AB726" s="19"/>
      <c r="AC726" s="19"/>
      <c r="AD726" s="19"/>
      <c r="AE726" s="19"/>
      <c r="AF726" s="19"/>
      <c r="AG726" s="19"/>
      <c r="AH726" s="19"/>
      <c r="AI726" s="19"/>
    </row>
    <row r="727" spans="1:35" ht="13.15" x14ac:dyDescent="0.4">
      <c r="A727" s="19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  <c r="AA727" s="19"/>
      <c r="AB727" s="19"/>
      <c r="AC727" s="19"/>
      <c r="AD727" s="19"/>
      <c r="AE727" s="19"/>
      <c r="AF727" s="19"/>
      <c r="AG727" s="19"/>
      <c r="AH727" s="19"/>
      <c r="AI727" s="19"/>
    </row>
    <row r="728" spans="1:35" ht="13.15" x14ac:dyDescent="0.4">
      <c r="A728" s="19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  <c r="AB728" s="19"/>
      <c r="AC728" s="19"/>
      <c r="AD728" s="19"/>
      <c r="AE728" s="19"/>
      <c r="AF728" s="19"/>
      <c r="AG728" s="19"/>
      <c r="AH728" s="19"/>
      <c r="AI728" s="19"/>
    </row>
    <row r="729" spans="1:35" ht="13.15" x14ac:dyDescent="0.4">
      <c r="A729" s="19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A729" s="19"/>
      <c r="AB729" s="19"/>
      <c r="AC729" s="19"/>
      <c r="AD729" s="19"/>
      <c r="AE729" s="19"/>
      <c r="AF729" s="19"/>
      <c r="AG729" s="19"/>
      <c r="AH729" s="19"/>
      <c r="AI729" s="19"/>
    </row>
    <row r="730" spans="1:35" ht="13.15" x14ac:dyDescent="0.4">
      <c r="A730" s="19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  <c r="AA730" s="19"/>
      <c r="AB730" s="19"/>
      <c r="AC730" s="19"/>
      <c r="AD730" s="19"/>
      <c r="AE730" s="19"/>
      <c r="AF730" s="19"/>
      <c r="AG730" s="19"/>
      <c r="AH730" s="19"/>
      <c r="AI730" s="19"/>
    </row>
    <row r="731" spans="1:35" ht="13.15" x14ac:dyDescent="0.4">
      <c r="A731" s="19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  <c r="AA731" s="19"/>
      <c r="AB731" s="19"/>
      <c r="AC731" s="19"/>
      <c r="AD731" s="19"/>
      <c r="AE731" s="19"/>
      <c r="AF731" s="19"/>
      <c r="AG731" s="19"/>
      <c r="AH731" s="19"/>
      <c r="AI731" s="19"/>
    </row>
    <row r="732" spans="1:35" ht="13.15" x14ac:dyDescent="0.4">
      <c r="A732" s="19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  <c r="AA732" s="19"/>
      <c r="AB732" s="19"/>
      <c r="AC732" s="19"/>
      <c r="AD732" s="19"/>
      <c r="AE732" s="19"/>
      <c r="AF732" s="19"/>
      <c r="AG732" s="19"/>
      <c r="AH732" s="19"/>
      <c r="AI732" s="19"/>
    </row>
    <row r="733" spans="1:35" ht="13.15" x14ac:dyDescent="0.4">
      <c r="A733" s="19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  <c r="AA733" s="19"/>
      <c r="AB733" s="19"/>
      <c r="AC733" s="19"/>
      <c r="AD733" s="19"/>
      <c r="AE733" s="19"/>
      <c r="AF733" s="19"/>
      <c r="AG733" s="19"/>
      <c r="AH733" s="19"/>
      <c r="AI733" s="19"/>
    </row>
    <row r="734" spans="1:35" ht="13.15" x14ac:dyDescent="0.4">
      <c r="A734" s="19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  <c r="AA734" s="19"/>
      <c r="AB734" s="19"/>
      <c r="AC734" s="19"/>
      <c r="AD734" s="19"/>
      <c r="AE734" s="19"/>
      <c r="AF734" s="19"/>
      <c r="AG734" s="19"/>
      <c r="AH734" s="19"/>
      <c r="AI734" s="19"/>
    </row>
    <row r="735" spans="1:35" ht="13.15" x14ac:dyDescent="0.4">
      <c r="A735" s="19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  <c r="AA735" s="19"/>
      <c r="AB735" s="19"/>
      <c r="AC735" s="19"/>
      <c r="AD735" s="19"/>
      <c r="AE735" s="19"/>
      <c r="AF735" s="19"/>
      <c r="AG735" s="19"/>
      <c r="AH735" s="19"/>
      <c r="AI735" s="19"/>
    </row>
    <row r="736" spans="1:35" ht="13.15" x14ac:dyDescent="0.4">
      <c r="A736" s="19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  <c r="AA736" s="19"/>
      <c r="AB736" s="19"/>
      <c r="AC736" s="19"/>
      <c r="AD736" s="19"/>
      <c r="AE736" s="19"/>
      <c r="AF736" s="19"/>
      <c r="AG736" s="19"/>
      <c r="AH736" s="19"/>
      <c r="AI736" s="19"/>
    </row>
    <row r="737" spans="1:35" ht="13.15" x14ac:dyDescent="0.4">
      <c r="A737" s="19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  <c r="AA737" s="19"/>
      <c r="AB737" s="19"/>
      <c r="AC737" s="19"/>
      <c r="AD737" s="19"/>
      <c r="AE737" s="19"/>
      <c r="AF737" s="19"/>
      <c r="AG737" s="19"/>
      <c r="AH737" s="19"/>
      <c r="AI737" s="19"/>
    </row>
    <row r="738" spans="1:35" ht="13.15" x14ac:dyDescent="0.4">
      <c r="A738" s="19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  <c r="AA738" s="19"/>
      <c r="AB738" s="19"/>
      <c r="AC738" s="19"/>
      <c r="AD738" s="19"/>
      <c r="AE738" s="19"/>
      <c r="AF738" s="19"/>
      <c r="AG738" s="19"/>
      <c r="AH738" s="19"/>
      <c r="AI738" s="19"/>
    </row>
    <row r="739" spans="1:35" ht="13.15" x14ac:dyDescent="0.4">
      <c r="A739" s="19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  <c r="AA739" s="19"/>
      <c r="AB739" s="19"/>
      <c r="AC739" s="19"/>
      <c r="AD739" s="19"/>
      <c r="AE739" s="19"/>
      <c r="AF739" s="19"/>
      <c r="AG739" s="19"/>
      <c r="AH739" s="19"/>
      <c r="AI739" s="19"/>
    </row>
    <row r="740" spans="1:35" ht="13.15" x14ac:dyDescent="0.4">
      <c r="A740" s="19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  <c r="AA740" s="19"/>
      <c r="AB740" s="19"/>
      <c r="AC740" s="19"/>
      <c r="AD740" s="19"/>
      <c r="AE740" s="19"/>
      <c r="AF740" s="19"/>
      <c r="AG740" s="19"/>
      <c r="AH740" s="19"/>
      <c r="AI740" s="19"/>
    </row>
    <row r="741" spans="1:35" ht="13.15" x14ac:dyDescent="0.4">
      <c r="A741" s="19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  <c r="AA741" s="19"/>
      <c r="AB741" s="19"/>
      <c r="AC741" s="19"/>
      <c r="AD741" s="19"/>
      <c r="AE741" s="19"/>
      <c r="AF741" s="19"/>
      <c r="AG741" s="19"/>
      <c r="AH741" s="19"/>
      <c r="AI741" s="19"/>
    </row>
    <row r="742" spans="1:35" ht="13.15" x14ac:dyDescent="0.4">
      <c r="A742" s="19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  <c r="AA742" s="19"/>
      <c r="AB742" s="19"/>
      <c r="AC742" s="19"/>
      <c r="AD742" s="19"/>
      <c r="AE742" s="19"/>
      <c r="AF742" s="19"/>
      <c r="AG742" s="19"/>
      <c r="AH742" s="19"/>
      <c r="AI742" s="19"/>
    </row>
    <row r="743" spans="1:35" ht="13.15" x14ac:dyDescent="0.4">
      <c r="A743" s="19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  <c r="AA743" s="19"/>
      <c r="AB743" s="19"/>
      <c r="AC743" s="19"/>
      <c r="AD743" s="19"/>
      <c r="AE743" s="19"/>
      <c r="AF743" s="19"/>
      <c r="AG743" s="19"/>
      <c r="AH743" s="19"/>
      <c r="AI743" s="19"/>
    </row>
    <row r="744" spans="1:35" ht="13.15" x14ac:dyDescent="0.4">
      <c r="A744" s="19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  <c r="AA744" s="19"/>
      <c r="AB744" s="19"/>
      <c r="AC744" s="19"/>
      <c r="AD744" s="19"/>
      <c r="AE744" s="19"/>
      <c r="AF744" s="19"/>
      <c r="AG744" s="19"/>
      <c r="AH744" s="19"/>
      <c r="AI744" s="19"/>
    </row>
    <row r="745" spans="1:35" ht="13.15" x14ac:dyDescent="0.4">
      <c r="A745" s="19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  <c r="AA745" s="19"/>
      <c r="AB745" s="19"/>
      <c r="AC745" s="19"/>
      <c r="AD745" s="19"/>
      <c r="AE745" s="19"/>
      <c r="AF745" s="19"/>
      <c r="AG745" s="19"/>
      <c r="AH745" s="19"/>
      <c r="AI745" s="19"/>
    </row>
    <row r="746" spans="1:35" ht="13.15" x14ac:dyDescent="0.4">
      <c r="A746" s="19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  <c r="AA746" s="19"/>
      <c r="AB746" s="19"/>
      <c r="AC746" s="19"/>
      <c r="AD746" s="19"/>
      <c r="AE746" s="19"/>
      <c r="AF746" s="19"/>
      <c r="AG746" s="19"/>
      <c r="AH746" s="19"/>
      <c r="AI746" s="19"/>
    </row>
    <row r="747" spans="1:35" ht="13.15" x14ac:dyDescent="0.4">
      <c r="A747" s="19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  <c r="AA747" s="19"/>
      <c r="AB747" s="19"/>
      <c r="AC747" s="19"/>
      <c r="AD747" s="19"/>
      <c r="AE747" s="19"/>
      <c r="AF747" s="19"/>
      <c r="AG747" s="19"/>
      <c r="AH747" s="19"/>
      <c r="AI747" s="19"/>
    </row>
    <row r="748" spans="1:35" ht="13.15" x14ac:dyDescent="0.4">
      <c r="A748" s="19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  <c r="AA748" s="19"/>
      <c r="AB748" s="19"/>
      <c r="AC748" s="19"/>
      <c r="AD748" s="19"/>
      <c r="AE748" s="19"/>
      <c r="AF748" s="19"/>
      <c r="AG748" s="19"/>
      <c r="AH748" s="19"/>
      <c r="AI748" s="19"/>
    </row>
    <row r="749" spans="1:35" ht="13.15" x14ac:dyDescent="0.4">
      <c r="A749" s="19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  <c r="AA749" s="19"/>
      <c r="AB749" s="19"/>
      <c r="AC749" s="19"/>
      <c r="AD749" s="19"/>
      <c r="AE749" s="19"/>
      <c r="AF749" s="19"/>
      <c r="AG749" s="19"/>
      <c r="AH749" s="19"/>
      <c r="AI749" s="19"/>
    </row>
    <row r="750" spans="1:35" ht="13.15" x14ac:dyDescent="0.4">
      <c r="A750" s="19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  <c r="AA750" s="19"/>
      <c r="AB750" s="19"/>
      <c r="AC750" s="19"/>
      <c r="AD750" s="19"/>
      <c r="AE750" s="19"/>
      <c r="AF750" s="19"/>
      <c r="AG750" s="19"/>
      <c r="AH750" s="19"/>
      <c r="AI750" s="19"/>
    </row>
    <row r="751" spans="1:35" ht="13.15" x14ac:dyDescent="0.4">
      <c r="A751" s="19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  <c r="AA751" s="19"/>
      <c r="AB751" s="19"/>
      <c r="AC751" s="19"/>
      <c r="AD751" s="19"/>
      <c r="AE751" s="19"/>
      <c r="AF751" s="19"/>
      <c r="AG751" s="19"/>
      <c r="AH751" s="19"/>
      <c r="AI751" s="19"/>
    </row>
    <row r="752" spans="1:35" ht="13.15" x14ac:dyDescent="0.4">
      <c r="A752" s="19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  <c r="AA752" s="19"/>
      <c r="AB752" s="19"/>
      <c r="AC752" s="19"/>
      <c r="AD752" s="19"/>
      <c r="AE752" s="19"/>
      <c r="AF752" s="19"/>
      <c r="AG752" s="19"/>
      <c r="AH752" s="19"/>
      <c r="AI752" s="19"/>
    </row>
    <row r="753" spans="1:35" ht="13.15" x14ac:dyDescent="0.4">
      <c r="A753" s="19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  <c r="AA753" s="19"/>
      <c r="AB753" s="19"/>
      <c r="AC753" s="19"/>
      <c r="AD753" s="19"/>
      <c r="AE753" s="19"/>
      <c r="AF753" s="19"/>
      <c r="AG753" s="19"/>
      <c r="AH753" s="19"/>
      <c r="AI753" s="19"/>
    </row>
    <row r="754" spans="1:35" ht="13.15" x14ac:dyDescent="0.4">
      <c r="A754" s="19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  <c r="AA754" s="19"/>
      <c r="AB754" s="19"/>
      <c r="AC754" s="19"/>
      <c r="AD754" s="19"/>
      <c r="AE754" s="19"/>
      <c r="AF754" s="19"/>
      <c r="AG754" s="19"/>
      <c r="AH754" s="19"/>
      <c r="AI754" s="19"/>
    </row>
    <row r="755" spans="1:35" ht="13.15" x14ac:dyDescent="0.4">
      <c r="A755" s="19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  <c r="AA755" s="19"/>
      <c r="AB755" s="19"/>
      <c r="AC755" s="19"/>
      <c r="AD755" s="19"/>
      <c r="AE755" s="19"/>
      <c r="AF755" s="19"/>
      <c r="AG755" s="19"/>
      <c r="AH755" s="19"/>
      <c r="AI755" s="19"/>
    </row>
    <row r="756" spans="1:35" ht="13.15" x14ac:dyDescent="0.4">
      <c r="A756" s="19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  <c r="AA756" s="19"/>
      <c r="AB756" s="19"/>
      <c r="AC756" s="19"/>
      <c r="AD756" s="19"/>
      <c r="AE756" s="19"/>
      <c r="AF756" s="19"/>
      <c r="AG756" s="19"/>
      <c r="AH756" s="19"/>
      <c r="AI756" s="19"/>
    </row>
    <row r="757" spans="1:35" ht="13.15" x14ac:dyDescent="0.4">
      <c r="A757" s="19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  <c r="AA757" s="19"/>
      <c r="AB757" s="19"/>
      <c r="AC757" s="19"/>
      <c r="AD757" s="19"/>
      <c r="AE757" s="19"/>
      <c r="AF757" s="19"/>
      <c r="AG757" s="19"/>
      <c r="AH757" s="19"/>
      <c r="AI757" s="19"/>
    </row>
    <row r="758" spans="1:35" ht="13.15" x14ac:dyDescent="0.4">
      <c r="A758" s="19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  <c r="AA758" s="19"/>
      <c r="AB758" s="19"/>
      <c r="AC758" s="19"/>
      <c r="AD758" s="19"/>
      <c r="AE758" s="19"/>
      <c r="AF758" s="19"/>
      <c r="AG758" s="19"/>
      <c r="AH758" s="19"/>
      <c r="AI758" s="19"/>
    </row>
    <row r="759" spans="1:35" ht="13.15" x14ac:dyDescent="0.4">
      <c r="A759" s="19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  <c r="AA759" s="19"/>
      <c r="AB759" s="19"/>
      <c r="AC759" s="19"/>
      <c r="AD759" s="19"/>
      <c r="AE759" s="19"/>
      <c r="AF759" s="19"/>
      <c r="AG759" s="19"/>
      <c r="AH759" s="19"/>
      <c r="AI759" s="19"/>
    </row>
    <row r="760" spans="1:35" ht="13.15" x14ac:dyDescent="0.4">
      <c r="A760" s="19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  <c r="AA760" s="19"/>
      <c r="AB760" s="19"/>
      <c r="AC760" s="19"/>
      <c r="AD760" s="19"/>
      <c r="AE760" s="19"/>
      <c r="AF760" s="19"/>
      <c r="AG760" s="19"/>
      <c r="AH760" s="19"/>
      <c r="AI760" s="19"/>
    </row>
    <row r="761" spans="1:35" ht="13.15" x14ac:dyDescent="0.4">
      <c r="A761" s="19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  <c r="AA761" s="19"/>
      <c r="AB761" s="19"/>
      <c r="AC761" s="19"/>
      <c r="AD761" s="19"/>
      <c r="AE761" s="19"/>
      <c r="AF761" s="19"/>
      <c r="AG761" s="19"/>
      <c r="AH761" s="19"/>
      <c r="AI761" s="19"/>
    </row>
    <row r="762" spans="1:35" ht="13.15" x14ac:dyDescent="0.4">
      <c r="A762" s="19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  <c r="AB762" s="19"/>
      <c r="AC762" s="19"/>
      <c r="AD762" s="19"/>
      <c r="AE762" s="19"/>
      <c r="AF762" s="19"/>
      <c r="AG762" s="19"/>
      <c r="AH762" s="19"/>
      <c r="AI762" s="19"/>
    </row>
    <row r="763" spans="1:35" ht="13.15" x14ac:dyDescent="0.4">
      <c r="A763" s="19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  <c r="AA763" s="19"/>
      <c r="AB763" s="19"/>
      <c r="AC763" s="19"/>
      <c r="AD763" s="19"/>
      <c r="AE763" s="19"/>
      <c r="AF763" s="19"/>
      <c r="AG763" s="19"/>
      <c r="AH763" s="19"/>
      <c r="AI763" s="19"/>
    </row>
    <row r="764" spans="1:35" ht="13.15" x14ac:dyDescent="0.4">
      <c r="A764" s="19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  <c r="AA764" s="19"/>
      <c r="AB764" s="19"/>
      <c r="AC764" s="19"/>
      <c r="AD764" s="19"/>
      <c r="AE764" s="19"/>
      <c r="AF764" s="19"/>
      <c r="AG764" s="19"/>
      <c r="AH764" s="19"/>
      <c r="AI764" s="19"/>
    </row>
    <row r="765" spans="1:35" ht="13.15" x14ac:dyDescent="0.4">
      <c r="A765" s="19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  <c r="AA765" s="19"/>
      <c r="AB765" s="19"/>
      <c r="AC765" s="19"/>
      <c r="AD765" s="19"/>
      <c r="AE765" s="19"/>
      <c r="AF765" s="19"/>
      <c r="AG765" s="19"/>
      <c r="AH765" s="19"/>
      <c r="AI765" s="19"/>
    </row>
    <row r="766" spans="1:35" ht="13.15" x14ac:dyDescent="0.4">
      <c r="A766" s="19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  <c r="AA766" s="19"/>
      <c r="AB766" s="19"/>
      <c r="AC766" s="19"/>
      <c r="AD766" s="19"/>
      <c r="AE766" s="19"/>
      <c r="AF766" s="19"/>
      <c r="AG766" s="19"/>
      <c r="AH766" s="19"/>
      <c r="AI766" s="19"/>
    </row>
    <row r="767" spans="1:35" ht="13.15" x14ac:dyDescent="0.4">
      <c r="A767" s="19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  <c r="AA767" s="19"/>
      <c r="AB767" s="19"/>
      <c r="AC767" s="19"/>
      <c r="AD767" s="19"/>
      <c r="AE767" s="19"/>
      <c r="AF767" s="19"/>
      <c r="AG767" s="19"/>
      <c r="AH767" s="19"/>
      <c r="AI767" s="19"/>
    </row>
    <row r="768" spans="1:35" ht="13.15" x14ac:dyDescent="0.4">
      <c r="A768" s="19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  <c r="AA768" s="19"/>
      <c r="AB768" s="19"/>
      <c r="AC768" s="19"/>
      <c r="AD768" s="19"/>
      <c r="AE768" s="19"/>
      <c r="AF768" s="19"/>
      <c r="AG768" s="19"/>
      <c r="AH768" s="19"/>
      <c r="AI768" s="19"/>
    </row>
    <row r="769" spans="1:35" ht="13.15" x14ac:dyDescent="0.4">
      <c r="A769" s="19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  <c r="AA769" s="19"/>
      <c r="AB769" s="19"/>
      <c r="AC769" s="19"/>
      <c r="AD769" s="19"/>
      <c r="AE769" s="19"/>
      <c r="AF769" s="19"/>
      <c r="AG769" s="19"/>
      <c r="AH769" s="19"/>
      <c r="AI769" s="19"/>
    </row>
    <row r="770" spans="1:35" ht="13.15" x14ac:dyDescent="0.4">
      <c r="A770" s="19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  <c r="AA770" s="19"/>
      <c r="AB770" s="19"/>
      <c r="AC770" s="19"/>
      <c r="AD770" s="19"/>
      <c r="AE770" s="19"/>
      <c r="AF770" s="19"/>
      <c r="AG770" s="19"/>
      <c r="AH770" s="19"/>
      <c r="AI770" s="19"/>
    </row>
    <row r="771" spans="1:35" ht="13.15" x14ac:dyDescent="0.4">
      <c r="A771" s="19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  <c r="AA771" s="19"/>
      <c r="AB771" s="19"/>
      <c r="AC771" s="19"/>
      <c r="AD771" s="19"/>
      <c r="AE771" s="19"/>
      <c r="AF771" s="19"/>
      <c r="AG771" s="19"/>
      <c r="AH771" s="19"/>
      <c r="AI771" s="19"/>
    </row>
    <row r="772" spans="1:35" ht="13.15" x14ac:dyDescent="0.4">
      <c r="A772" s="19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  <c r="AA772" s="19"/>
      <c r="AB772" s="19"/>
      <c r="AC772" s="19"/>
      <c r="AD772" s="19"/>
      <c r="AE772" s="19"/>
      <c r="AF772" s="19"/>
      <c r="AG772" s="19"/>
      <c r="AH772" s="19"/>
      <c r="AI772" s="19"/>
    </row>
    <row r="773" spans="1:35" ht="13.15" x14ac:dyDescent="0.4">
      <c r="A773" s="19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  <c r="AA773" s="19"/>
      <c r="AB773" s="19"/>
      <c r="AC773" s="19"/>
      <c r="AD773" s="19"/>
      <c r="AE773" s="19"/>
      <c r="AF773" s="19"/>
      <c r="AG773" s="19"/>
      <c r="AH773" s="19"/>
      <c r="AI773" s="19"/>
    </row>
    <row r="774" spans="1:35" ht="13.15" x14ac:dyDescent="0.4">
      <c r="A774" s="19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  <c r="AA774" s="19"/>
      <c r="AB774" s="19"/>
      <c r="AC774" s="19"/>
      <c r="AD774" s="19"/>
      <c r="AE774" s="19"/>
      <c r="AF774" s="19"/>
      <c r="AG774" s="19"/>
      <c r="AH774" s="19"/>
      <c r="AI774" s="19"/>
    </row>
    <row r="775" spans="1:35" ht="13.15" x14ac:dyDescent="0.4">
      <c r="A775" s="19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  <c r="AA775" s="19"/>
      <c r="AB775" s="19"/>
      <c r="AC775" s="19"/>
      <c r="AD775" s="19"/>
      <c r="AE775" s="19"/>
      <c r="AF775" s="19"/>
      <c r="AG775" s="19"/>
      <c r="AH775" s="19"/>
      <c r="AI775" s="19"/>
    </row>
    <row r="776" spans="1:35" ht="13.15" x14ac:dyDescent="0.4">
      <c r="A776" s="19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  <c r="AA776" s="19"/>
      <c r="AB776" s="19"/>
      <c r="AC776" s="19"/>
      <c r="AD776" s="19"/>
      <c r="AE776" s="19"/>
      <c r="AF776" s="19"/>
      <c r="AG776" s="19"/>
      <c r="AH776" s="19"/>
      <c r="AI776" s="19"/>
    </row>
    <row r="777" spans="1:35" ht="13.15" x14ac:dyDescent="0.4">
      <c r="A777" s="19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  <c r="AA777" s="19"/>
      <c r="AB777" s="19"/>
      <c r="AC777" s="19"/>
      <c r="AD777" s="19"/>
      <c r="AE777" s="19"/>
      <c r="AF777" s="19"/>
      <c r="AG777" s="19"/>
      <c r="AH777" s="19"/>
      <c r="AI777" s="19"/>
    </row>
    <row r="778" spans="1:35" ht="13.15" x14ac:dyDescent="0.4">
      <c r="A778" s="19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  <c r="AA778" s="19"/>
      <c r="AB778" s="19"/>
      <c r="AC778" s="19"/>
      <c r="AD778" s="19"/>
      <c r="AE778" s="19"/>
      <c r="AF778" s="19"/>
      <c r="AG778" s="19"/>
      <c r="AH778" s="19"/>
      <c r="AI778" s="19"/>
    </row>
    <row r="779" spans="1:35" ht="13.15" x14ac:dyDescent="0.4">
      <c r="A779" s="19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  <c r="AA779" s="19"/>
      <c r="AB779" s="19"/>
      <c r="AC779" s="19"/>
      <c r="AD779" s="19"/>
      <c r="AE779" s="19"/>
      <c r="AF779" s="19"/>
      <c r="AG779" s="19"/>
      <c r="AH779" s="19"/>
      <c r="AI779" s="19"/>
    </row>
    <row r="780" spans="1:35" ht="13.15" x14ac:dyDescent="0.4">
      <c r="A780" s="19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  <c r="AA780" s="19"/>
      <c r="AB780" s="19"/>
      <c r="AC780" s="19"/>
      <c r="AD780" s="19"/>
      <c r="AE780" s="19"/>
      <c r="AF780" s="19"/>
      <c r="AG780" s="19"/>
      <c r="AH780" s="19"/>
      <c r="AI780" s="19"/>
    </row>
    <row r="781" spans="1:35" ht="13.15" x14ac:dyDescent="0.4">
      <c r="A781" s="19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  <c r="AA781" s="19"/>
      <c r="AB781" s="19"/>
      <c r="AC781" s="19"/>
      <c r="AD781" s="19"/>
      <c r="AE781" s="19"/>
      <c r="AF781" s="19"/>
      <c r="AG781" s="19"/>
      <c r="AH781" s="19"/>
      <c r="AI781" s="19"/>
    </row>
    <row r="782" spans="1:35" ht="13.15" x14ac:dyDescent="0.4">
      <c r="A782" s="19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  <c r="AA782" s="19"/>
      <c r="AB782" s="19"/>
      <c r="AC782" s="19"/>
      <c r="AD782" s="19"/>
      <c r="AE782" s="19"/>
      <c r="AF782" s="19"/>
      <c r="AG782" s="19"/>
      <c r="AH782" s="19"/>
      <c r="AI782" s="19"/>
    </row>
    <row r="783" spans="1:35" ht="13.15" x14ac:dyDescent="0.4">
      <c r="A783" s="19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  <c r="AA783" s="19"/>
      <c r="AB783" s="19"/>
      <c r="AC783" s="19"/>
      <c r="AD783" s="19"/>
      <c r="AE783" s="19"/>
      <c r="AF783" s="19"/>
      <c r="AG783" s="19"/>
      <c r="AH783" s="19"/>
      <c r="AI783" s="19"/>
    </row>
    <row r="784" spans="1:35" ht="13.15" x14ac:dyDescent="0.4">
      <c r="A784" s="19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  <c r="AA784" s="19"/>
      <c r="AB784" s="19"/>
      <c r="AC784" s="19"/>
      <c r="AD784" s="19"/>
      <c r="AE784" s="19"/>
      <c r="AF784" s="19"/>
      <c r="AG784" s="19"/>
      <c r="AH784" s="19"/>
      <c r="AI784" s="19"/>
    </row>
    <row r="785" spans="1:35" ht="13.15" x14ac:dyDescent="0.4">
      <c r="A785" s="19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  <c r="AA785" s="19"/>
      <c r="AB785" s="19"/>
      <c r="AC785" s="19"/>
      <c r="AD785" s="19"/>
      <c r="AE785" s="19"/>
      <c r="AF785" s="19"/>
      <c r="AG785" s="19"/>
      <c r="AH785" s="19"/>
      <c r="AI785" s="19"/>
    </row>
    <row r="786" spans="1:35" ht="13.15" x14ac:dyDescent="0.4">
      <c r="A786" s="19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  <c r="AA786" s="19"/>
      <c r="AB786" s="19"/>
      <c r="AC786" s="19"/>
      <c r="AD786" s="19"/>
      <c r="AE786" s="19"/>
      <c r="AF786" s="19"/>
      <c r="AG786" s="19"/>
      <c r="AH786" s="19"/>
      <c r="AI786" s="19"/>
    </row>
    <row r="787" spans="1:35" ht="13.15" x14ac:dyDescent="0.4">
      <c r="A787" s="19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  <c r="AA787" s="19"/>
      <c r="AB787" s="19"/>
      <c r="AC787" s="19"/>
      <c r="AD787" s="19"/>
      <c r="AE787" s="19"/>
      <c r="AF787" s="19"/>
      <c r="AG787" s="19"/>
      <c r="AH787" s="19"/>
      <c r="AI787" s="19"/>
    </row>
    <row r="788" spans="1:35" ht="13.15" x14ac:dyDescent="0.4">
      <c r="A788" s="19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  <c r="AA788" s="19"/>
      <c r="AB788" s="19"/>
      <c r="AC788" s="19"/>
      <c r="AD788" s="19"/>
      <c r="AE788" s="19"/>
      <c r="AF788" s="19"/>
      <c r="AG788" s="19"/>
      <c r="AH788" s="19"/>
      <c r="AI788" s="19"/>
    </row>
    <row r="789" spans="1:35" ht="13.15" x14ac:dyDescent="0.4">
      <c r="A789" s="19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  <c r="AA789" s="19"/>
      <c r="AB789" s="19"/>
      <c r="AC789" s="19"/>
      <c r="AD789" s="19"/>
      <c r="AE789" s="19"/>
      <c r="AF789" s="19"/>
      <c r="AG789" s="19"/>
      <c r="AH789" s="19"/>
      <c r="AI789" s="19"/>
    </row>
    <row r="790" spans="1:35" ht="13.15" x14ac:dyDescent="0.4">
      <c r="A790" s="19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  <c r="AA790" s="19"/>
      <c r="AB790" s="19"/>
      <c r="AC790" s="19"/>
      <c r="AD790" s="19"/>
      <c r="AE790" s="19"/>
      <c r="AF790" s="19"/>
      <c r="AG790" s="19"/>
      <c r="AH790" s="19"/>
      <c r="AI790" s="19"/>
    </row>
    <row r="791" spans="1:35" ht="13.15" x14ac:dyDescent="0.4">
      <c r="A791" s="19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  <c r="AA791" s="19"/>
      <c r="AB791" s="19"/>
      <c r="AC791" s="19"/>
      <c r="AD791" s="19"/>
      <c r="AE791" s="19"/>
      <c r="AF791" s="19"/>
      <c r="AG791" s="19"/>
      <c r="AH791" s="19"/>
      <c r="AI791" s="19"/>
    </row>
    <row r="792" spans="1:35" ht="13.15" x14ac:dyDescent="0.4">
      <c r="A792" s="19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  <c r="AA792" s="19"/>
      <c r="AB792" s="19"/>
      <c r="AC792" s="19"/>
      <c r="AD792" s="19"/>
      <c r="AE792" s="19"/>
      <c r="AF792" s="19"/>
      <c r="AG792" s="19"/>
      <c r="AH792" s="19"/>
      <c r="AI792" s="19"/>
    </row>
    <row r="793" spans="1:35" ht="13.15" x14ac:dyDescent="0.4">
      <c r="A793" s="19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  <c r="AA793" s="19"/>
      <c r="AB793" s="19"/>
      <c r="AC793" s="19"/>
      <c r="AD793" s="19"/>
      <c r="AE793" s="19"/>
      <c r="AF793" s="19"/>
      <c r="AG793" s="19"/>
      <c r="AH793" s="19"/>
      <c r="AI793" s="19"/>
    </row>
    <row r="794" spans="1:35" ht="13.15" x14ac:dyDescent="0.4">
      <c r="A794" s="19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  <c r="AA794" s="19"/>
      <c r="AB794" s="19"/>
      <c r="AC794" s="19"/>
      <c r="AD794" s="19"/>
      <c r="AE794" s="19"/>
      <c r="AF794" s="19"/>
      <c r="AG794" s="19"/>
      <c r="AH794" s="19"/>
      <c r="AI794" s="19"/>
    </row>
    <row r="795" spans="1:35" ht="13.15" x14ac:dyDescent="0.4">
      <c r="A795" s="19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  <c r="AA795" s="19"/>
      <c r="AB795" s="19"/>
      <c r="AC795" s="19"/>
      <c r="AD795" s="19"/>
      <c r="AE795" s="19"/>
      <c r="AF795" s="19"/>
      <c r="AG795" s="19"/>
      <c r="AH795" s="19"/>
      <c r="AI795" s="19"/>
    </row>
    <row r="796" spans="1:35" ht="13.15" x14ac:dyDescent="0.4">
      <c r="A796" s="19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  <c r="AA796" s="19"/>
      <c r="AB796" s="19"/>
      <c r="AC796" s="19"/>
      <c r="AD796" s="19"/>
      <c r="AE796" s="19"/>
      <c r="AF796" s="19"/>
      <c r="AG796" s="19"/>
      <c r="AH796" s="19"/>
      <c r="AI796" s="19"/>
    </row>
    <row r="797" spans="1:35" ht="13.15" x14ac:dyDescent="0.4">
      <c r="A797" s="19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  <c r="AA797" s="19"/>
      <c r="AB797" s="19"/>
      <c r="AC797" s="19"/>
      <c r="AD797" s="19"/>
      <c r="AE797" s="19"/>
      <c r="AF797" s="19"/>
      <c r="AG797" s="19"/>
      <c r="AH797" s="19"/>
      <c r="AI797" s="19"/>
    </row>
    <row r="798" spans="1:35" ht="13.15" x14ac:dyDescent="0.4">
      <c r="A798" s="19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  <c r="AA798" s="19"/>
      <c r="AB798" s="19"/>
      <c r="AC798" s="19"/>
      <c r="AD798" s="19"/>
      <c r="AE798" s="19"/>
      <c r="AF798" s="19"/>
      <c r="AG798" s="19"/>
      <c r="AH798" s="19"/>
      <c r="AI798" s="19"/>
    </row>
    <row r="799" spans="1:35" ht="13.15" x14ac:dyDescent="0.4">
      <c r="A799" s="19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  <c r="AA799" s="19"/>
      <c r="AB799" s="19"/>
      <c r="AC799" s="19"/>
      <c r="AD799" s="19"/>
      <c r="AE799" s="19"/>
      <c r="AF799" s="19"/>
      <c r="AG799" s="19"/>
      <c r="AH799" s="19"/>
      <c r="AI799" s="19"/>
    </row>
    <row r="800" spans="1:35" ht="13.15" x14ac:dyDescent="0.4">
      <c r="A800" s="19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  <c r="AA800" s="19"/>
      <c r="AB800" s="19"/>
      <c r="AC800" s="19"/>
      <c r="AD800" s="19"/>
      <c r="AE800" s="19"/>
      <c r="AF800" s="19"/>
      <c r="AG800" s="19"/>
      <c r="AH800" s="19"/>
      <c r="AI800" s="19"/>
    </row>
    <row r="801" spans="1:35" ht="13.15" x14ac:dyDescent="0.4">
      <c r="A801" s="19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  <c r="AA801" s="19"/>
      <c r="AB801" s="19"/>
      <c r="AC801" s="19"/>
      <c r="AD801" s="19"/>
      <c r="AE801" s="19"/>
      <c r="AF801" s="19"/>
      <c r="AG801" s="19"/>
      <c r="AH801" s="19"/>
      <c r="AI801" s="19"/>
    </row>
    <row r="802" spans="1:35" ht="13.15" x14ac:dyDescent="0.4">
      <c r="A802" s="19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  <c r="AA802" s="19"/>
      <c r="AB802" s="19"/>
      <c r="AC802" s="19"/>
      <c r="AD802" s="19"/>
      <c r="AE802" s="19"/>
      <c r="AF802" s="19"/>
      <c r="AG802" s="19"/>
      <c r="AH802" s="19"/>
      <c r="AI802" s="19"/>
    </row>
    <row r="803" spans="1:35" ht="13.15" x14ac:dyDescent="0.4">
      <c r="A803" s="19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  <c r="AA803" s="19"/>
      <c r="AB803" s="19"/>
      <c r="AC803" s="19"/>
      <c r="AD803" s="19"/>
      <c r="AE803" s="19"/>
      <c r="AF803" s="19"/>
      <c r="AG803" s="19"/>
      <c r="AH803" s="19"/>
      <c r="AI803" s="19"/>
    </row>
    <row r="804" spans="1:35" ht="13.15" x14ac:dyDescent="0.4">
      <c r="A804" s="19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  <c r="AA804" s="19"/>
      <c r="AB804" s="19"/>
      <c r="AC804" s="19"/>
      <c r="AD804" s="19"/>
      <c r="AE804" s="19"/>
      <c r="AF804" s="19"/>
      <c r="AG804" s="19"/>
      <c r="AH804" s="19"/>
      <c r="AI804" s="19"/>
    </row>
    <row r="805" spans="1:35" ht="13.15" x14ac:dyDescent="0.4">
      <c r="A805" s="19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  <c r="AA805" s="19"/>
      <c r="AB805" s="19"/>
      <c r="AC805" s="19"/>
      <c r="AD805" s="19"/>
      <c r="AE805" s="19"/>
      <c r="AF805" s="19"/>
      <c r="AG805" s="19"/>
      <c r="AH805" s="19"/>
      <c r="AI805" s="19"/>
    </row>
    <row r="806" spans="1:35" ht="13.15" x14ac:dyDescent="0.4">
      <c r="A806" s="19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  <c r="AA806" s="19"/>
      <c r="AB806" s="19"/>
      <c r="AC806" s="19"/>
      <c r="AD806" s="19"/>
      <c r="AE806" s="19"/>
      <c r="AF806" s="19"/>
      <c r="AG806" s="19"/>
      <c r="AH806" s="19"/>
      <c r="AI806" s="19"/>
    </row>
    <row r="807" spans="1:35" ht="13.15" x14ac:dyDescent="0.4">
      <c r="A807" s="19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  <c r="AA807" s="19"/>
      <c r="AB807" s="19"/>
      <c r="AC807" s="19"/>
      <c r="AD807" s="19"/>
      <c r="AE807" s="19"/>
      <c r="AF807" s="19"/>
      <c r="AG807" s="19"/>
      <c r="AH807" s="19"/>
      <c r="AI807" s="19"/>
    </row>
    <row r="808" spans="1:35" ht="13.15" x14ac:dyDescent="0.4">
      <c r="A808" s="19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  <c r="AA808" s="19"/>
      <c r="AB808" s="19"/>
      <c r="AC808" s="19"/>
      <c r="AD808" s="19"/>
      <c r="AE808" s="19"/>
      <c r="AF808" s="19"/>
      <c r="AG808" s="19"/>
      <c r="AH808" s="19"/>
      <c r="AI808" s="19"/>
    </row>
    <row r="809" spans="1:35" ht="13.15" x14ac:dyDescent="0.4">
      <c r="A809" s="19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  <c r="AA809" s="19"/>
      <c r="AB809" s="19"/>
      <c r="AC809" s="19"/>
      <c r="AD809" s="19"/>
      <c r="AE809" s="19"/>
      <c r="AF809" s="19"/>
      <c r="AG809" s="19"/>
      <c r="AH809" s="19"/>
      <c r="AI809" s="19"/>
    </row>
    <row r="810" spans="1:35" ht="13.15" x14ac:dyDescent="0.4">
      <c r="A810" s="19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  <c r="AA810" s="19"/>
      <c r="AB810" s="19"/>
      <c r="AC810" s="19"/>
      <c r="AD810" s="19"/>
      <c r="AE810" s="19"/>
      <c r="AF810" s="19"/>
      <c r="AG810" s="19"/>
      <c r="AH810" s="19"/>
      <c r="AI810" s="19"/>
    </row>
    <row r="811" spans="1:35" ht="13.15" x14ac:dyDescent="0.4">
      <c r="A811" s="19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  <c r="AA811" s="19"/>
      <c r="AB811" s="19"/>
      <c r="AC811" s="19"/>
      <c r="AD811" s="19"/>
      <c r="AE811" s="19"/>
      <c r="AF811" s="19"/>
      <c r="AG811" s="19"/>
      <c r="AH811" s="19"/>
      <c r="AI811" s="19"/>
    </row>
    <row r="812" spans="1:35" ht="13.15" x14ac:dyDescent="0.4">
      <c r="A812" s="19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  <c r="AA812" s="19"/>
      <c r="AB812" s="19"/>
      <c r="AC812" s="19"/>
      <c r="AD812" s="19"/>
      <c r="AE812" s="19"/>
      <c r="AF812" s="19"/>
      <c r="AG812" s="19"/>
      <c r="AH812" s="19"/>
      <c r="AI812" s="19"/>
    </row>
    <row r="813" spans="1:35" ht="13.15" x14ac:dyDescent="0.4">
      <c r="A813" s="19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  <c r="AA813" s="19"/>
      <c r="AB813" s="19"/>
      <c r="AC813" s="19"/>
      <c r="AD813" s="19"/>
      <c r="AE813" s="19"/>
      <c r="AF813" s="19"/>
      <c r="AG813" s="19"/>
      <c r="AH813" s="19"/>
      <c r="AI813" s="19"/>
    </row>
    <row r="814" spans="1:35" ht="13.15" x14ac:dyDescent="0.4">
      <c r="A814" s="19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  <c r="AA814" s="19"/>
      <c r="AB814" s="19"/>
      <c r="AC814" s="19"/>
      <c r="AD814" s="19"/>
      <c r="AE814" s="19"/>
      <c r="AF814" s="19"/>
      <c r="AG814" s="19"/>
      <c r="AH814" s="19"/>
      <c r="AI814" s="19"/>
    </row>
    <row r="815" spans="1:35" ht="13.15" x14ac:dyDescent="0.4">
      <c r="A815" s="19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  <c r="AA815" s="19"/>
      <c r="AB815" s="19"/>
      <c r="AC815" s="19"/>
      <c r="AD815" s="19"/>
      <c r="AE815" s="19"/>
      <c r="AF815" s="19"/>
      <c r="AG815" s="19"/>
      <c r="AH815" s="19"/>
      <c r="AI815" s="19"/>
    </row>
    <row r="816" spans="1:35" ht="13.15" x14ac:dyDescent="0.4">
      <c r="A816" s="19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  <c r="AA816" s="19"/>
      <c r="AB816" s="19"/>
      <c r="AC816" s="19"/>
      <c r="AD816" s="19"/>
      <c r="AE816" s="19"/>
      <c r="AF816" s="19"/>
      <c r="AG816" s="19"/>
      <c r="AH816" s="19"/>
      <c r="AI816" s="19"/>
    </row>
    <row r="817" spans="1:35" ht="13.15" x14ac:dyDescent="0.4">
      <c r="A817" s="19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  <c r="AA817" s="19"/>
      <c r="AB817" s="19"/>
      <c r="AC817" s="19"/>
      <c r="AD817" s="19"/>
      <c r="AE817" s="19"/>
      <c r="AF817" s="19"/>
      <c r="AG817" s="19"/>
      <c r="AH817" s="19"/>
      <c r="AI817" s="19"/>
    </row>
    <row r="818" spans="1:35" ht="13.15" x14ac:dyDescent="0.4">
      <c r="A818" s="19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  <c r="AA818" s="19"/>
      <c r="AB818" s="19"/>
      <c r="AC818" s="19"/>
      <c r="AD818" s="19"/>
      <c r="AE818" s="19"/>
      <c r="AF818" s="19"/>
      <c r="AG818" s="19"/>
      <c r="AH818" s="19"/>
      <c r="AI818" s="19"/>
    </row>
    <row r="819" spans="1:35" ht="13.15" x14ac:dyDescent="0.4">
      <c r="A819" s="19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  <c r="AA819" s="19"/>
      <c r="AB819" s="19"/>
      <c r="AC819" s="19"/>
      <c r="AD819" s="19"/>
      <c r="AE819" s="19"/>
      <c r="AF819" s="19"/>
      <c r="AG819" s="19"/>
      <c r="AH819" s="19"/>
      <c r="AI819" s="19"/>
    </row>
    <row r="820" spans="1:35" ht="13.15" x14ac:dyDescent="0.4">
      <c r="A820" s="19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  <c r="AA820" s="19"/>
      <c r="AB820" s="19"/>
      <c r="AC820" s="19"/>
      <c r="AD820" s="19"/>
      <c r="AE820" s="19"/>
      <c r="AF820" s="19"/>
      <c r="AG820" s="19"/>
      <c r="AH820" s="19"/>
      <c r="AI820" s="19"/>
    </row>
    <row r="821" spans="1:35" ht="13.15" x14ac:dyDescent="0.4">
      <c r="A821" s="19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  <c r="AA821" s="19"/>
      <c r="AB821" s="19"/>
      <c r="AC821" s="19"/>
      <c r="AD821" s="19"/>
      <c r="AE821" s="19"/>
      <c r="AF821" s="19"/>
      <c r="AG821" s="19"/>
      <c r="AH821" s="19"/>
      <c r="AI821" s="19"/>
    </row>
    <row r="822" spans="1:35" ht="13.15" x14ac:dyDescent="0.4">
      <c r="A822" s="19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  <c r="AA822" s="19"/>
      <c r="AB822" s="19"/>
      <c r="AC822" s="19"/>
      <c r="AD822" s="19"/>
      <c r="AE822" s="19"/>
      <c r="AF822" s="19"/>
      <c r="AG822" s="19"/>
      <c r="AH822" s="19"/>
      <c r="AI822" s="19"/>
    </row>
    <row r="823" spans="1:35" ht="13.15" x14ac:dyDescent="0.4">
      <c r="A823" s="19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  <c r="AA823" s="19"/>
      <c r="AB823" s="19"/>
      <c r="AC823" s="19"/>
      <c r="AD823" s="19"/>
      <c r="AE823" s="19"/>
      <c r="AF823" s="19"/>
      <c r="AG823" s="19"/>
      <c r="AH823" s="19"/>
      <c r="AI823" s="19"/>
    </row>
    <row r="824" spans="1:35" ht="13.15" x14ac:dyDescent="0.4">
      <c r="A824" s="19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  <c r="AA824" s="19"/>
      <c r="AB824" s="19"/>
      <c r="AC824" s="19"/>
      <c r="AD824" s="19"/>
      <c r="AE824" s="19"/>
      <c r="AF824" s="19"/>
      <c r="AG824" s="19"/>
      <c r="AH824" s="19"/>
      <c r="AI824" s="19"/>
    </row>
    <row r="825" spans="1:35" ht="13.15" x14ac:dyDescent="0.4">
      <c r="A825" s="19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  <c r="AA825" s="19"/>
      <c r="AB825" s="19"/>
      <c r="AC825" s="19"/>
      <c r="AD825" s="19"/>
      <c r="AE825" s="19"/>
      <c r="AF825" s="19"/>
      <c r="AG825" s="19"/>
      <c r="AH825" s="19"/>
      <c r="AI825" s="19"/>
    </row>
    <row r="826" spans="1:35" ht="13.15" x14ac:dyDescent="0.4">
      <c r="A826" s="19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  <c r="AA826" s="19"/>
      <c r="AB826" s="19"/>
      <c r="AC826" s="19"/>
      <c r="AD826" s="19"/>
      <c r="AE826" s="19"/>
      <c r="AF826" s="19"/>
      <c r="AG826" s="19"/>
      <c r="AH826" s="19"/>
      <c r="AI826" s="19"/>
    </row>
    <row r="827" spans="1:35" ht="13.15" x14ac:dyDescent="0.4">
      <c r="A827" s="19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  <c r="AA827" s="19"/>
      <c r="AB827" s="19"/>
      <c r="AC827" s="19"/>
      <c r="AD827" s="19"/>
      <c r="AE827" s="19"/>
      <c r="AF827" s="19"/>
      <c r="AG827" s="19"/>
      <c r="AH827" s="19"/>
      <c r="AI827" s="19"/>
    </row>
    <row r="828" spans="1:35" ht="13.15" x14ac:dyDescent="0.4">
      <c r="A828" s="19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  <c r="AA828" s="19"/>
      <c r="AB828" s="19"/>
      <c r="AC828" s="19"/>
      <c r="AD828" s="19"/>
      <c r="AE828" s="19"/>
      <c r="AF828" s="19"/>
      <c r="AG828" s="19"/>
      <c r="AH828" s="19"/>
      <c r="AI828" s="19"/>
    </row>
    <row r="829" spans="1:35" ht="13.15" x14ac:dyDescent="0.4">
      <c r="A829" s="19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  <c r="AA829" s="19"/>
      <c r="AB829" s="19"/>
      <c r="AC829" s="19"/>
      <c r="AD829" s="19"/>
      <c r="AE829" s="19"/>
      <c r="AF829" s="19"/>
      <c r="AG829" s="19"/>
      <c r="AH829" s="19"/>
      <c r="AI829" s="19"/>
    </row>
    <row r="830" spans="1:35" ht="13.15" x14ac:dyDescent="0.4">
      <c r="A830" s="19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  <c r="AA830" s="19"/>
      <c r="AB830" s="19"/>
      <c r="AC830" s="19"/>
      <c r="AD830" s="19"/>
      <c r="AE830" s="19"/>
      <c r="AF830" s="19"/>
      <c r="AG830" s="19"/>
      <c r="AH830" s="19"/>
      <c r="AI830" s="19"/>
    </row>
    <row r="831" spans="1:35" ht="13.15" x14ac:dyDescent="0.4">
      <c r="A831" s="19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  <c r="AA831" s="19"/>
      <c r="AB831" s="19"/>
      <c r="AC831" s="19"/>
      <c r="AD831" s="19"/>
      <c r="AE831" s="19"/>
      <c r="AF831" s="19"/>
      <c r="AG831" s="19"/>
      <c r="AH831" s="19"/>
      <c r="AI831" s="19"/>
    </row>
    <row r="832" spans="1:35" ht="13.15" x14ac:dyDescent="0.4">
      <c r="A832" s="19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  <c r="AA832" s="19"/>
      <c r="AB832" s="19"/>
      <c r="AC832" s="19"/>
      <c r="AD832" s="19"/>
      <c r="AE832" s="19"/>
      <c r="AF832" s="19"/>
      <c r="AG832" s="19"/>
      <c r="AH832" s="19"/>
      <c r="AI832" s="19"/>
    </row>
    <row r="833" spans="1:35" ht="13.15" x14ac:dyDescent="0.4">
      <c r="A833" s="19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  <c r="AA833" s="19"/>
      <c r="AB833" s="19"/>
      <c r="AC833" s="19"/>
      <c r="AD833" s="19"/>
      <c r="AE833" s="19"/>
      <c r="AF833" s="19"/>
      <c r="AG833" s="19"/>
      <c r="AH833" s="19"/>
      <c r="AI833" s="19"/>
    </row>
    <row r="834" spans="1:35" ht="13.15" x14ac:dyDescent="0.4">
      <c r="A834" s="19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  <c r="AA834" s="19"/>
      <c r="AB834" s="19"/>
      <c r="AC834" s="19"/>
      <c r="AD834" s="19"/>
      <c r="AE834" s="19"/>
      <c r="AF834" s="19"/>
      <c r="AG834" s="19"/>
      <c r="AH834" s="19"/>
      <c r="AI834" s="19"/>
    </row>
    <row r="835" spans="1:35" ht="13.15" x14ac:dyDescent="0.4">
      <c r="A835" s="19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  <c r="AA835" s="19"/>
      <c r="AB835" s="19"/>
      <c r="AC835" s="19"/>
      <c r="AD835" s="19"/>
      <c r="AE835" s="19"/>
      <c r="AF835" s="19"/>
      <c r="AG835" s="19"/>
      <c r="AH835" s="19"/>
      <c r="AI835" s="19"/>
    </row>
    <row r="836" spans="1:35" ht="13.15" x14ac:dyDescent="0.4">
      <c r="A836" s="19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  <c r="AA836" s="19"/>
      <c r="AB836" s="19"/>
      <c r="AC836" s="19"/>
      <c r="AD836" s="19"/>
      <c r="AE836" s="19"/>
      <c r="AF836" s="19"/>
      <c r="AG836" s="19"/>
      <c r="AH836" s="19"/>
      <c r="AI836" s="19"/>
    </row>
    <row r="837" spans="1:35" ht="13.15" x14ac:dyDescent="0.4">
      <c r="A837" s="19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  <c r="AA837" s="19"/>
      <c r="AB837" s="19"/>
      <c r="AC837" s="19"/>
      <c r="AD837" s="19"/>
      <c r="AE837" s="19"/>
      <c r="AF837" s="19"/>
      <c r="AG837" s="19"/>
      <c r="AH837" s="19"/>
      <c r="AI837" s="19"/>
    </row>
    <row r="838" spans="1:35" ht="13.15" x14ac:dyDescent="0.4">
      <c r="A838" s="19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  <c r="AA838" s="19"/>
      <c r="AB838" s="19"/>
      <c r="AC838" s="19"/>
      <c r="AD838" s="19"/>
      <c r="AE838" s="19"/>
      <c r="AF838" s="19"/>
      <c r="AG838" s="19"/>
      <c r="AH838" s="19"/>
      <c r="AI838" s="19"/>
    </row>
    <row r="839" spans="1:35" ht="13.15" x14ac:dyDescent="0.4">
      <c r="A839" s="19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  <c r="AA839" s="19"/>
      <c r="AB839" s="19"/>
      <c r="AC839" s="19"/>
      <c r="AD839" s="19"/>
      <c r="AE839" s="19"/>
      <c r="AF839" s="19"/>
      <c r="AG839" s="19"/>
      <c r="AH839" s="19"/>
      <c r="AI839" s="19"/>
    </row>
    <row r="840" spans="1:35" ht="13.15" x14ac:dyDescent="0.4">
      <c r="A840" s="19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  <c r="AA840" s="19"/>
      <c r="AB840" s="19"/>
      <c r="AC840" s="19"/>
      <c r="AD840" s="19"/>
      <c r="AE840" s="19"/>
      <c r="AF840" s="19"/>
      <c r="AG840" s="19"/>
      <c r="AH840" s="19"/>
      <c r="AI840" s="19"/>
    </row>
    <row r="841" spans="1:35" ht="13.15" x14ac:dyDescent="0.4">
      <c r="A841" s="19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  <c r="AA841" s="19"/>
      <c r="AB841" s="19"/>
      <c r="AC841" s="19"/>
      <c r="AD841" s="19"/>
      <c r="AE841" s="19"/>
      <c r="AF841" s="19"/>
      <c r="AG841" s="19"/>
      <c r="AH841" s="19"/>
      <c r="AI841" s="19"/>
    </row>
    <row r="842" spans="1:35" ht="13.15" x14ac:dyDescent="0.4">
      <c r="A842" s="19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  <c r="AA842" s="19"/>
      <c r="AB842" s="19"/>
      <c r="AC842" s="19"/>
      <c r="AD842" s="19"/>
      <c r="AE842" s="19"/>
      <c r="AF842" s="19"/>
      <c r="AG842" s="19"/>
      <c r="AH842" s="19"/>
      <c r="AI842" s="19"/>
    </row>
    <row r="843" spans="1:35" ht="13.15" x14ac:dyDescent="0.4">
      <c r="A843" s="19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  <c r="AA843" s="19"/>
      <c r="AB843" s="19"/>
      <c r="AC843" s="19"/>
      <c r="AD843" s="19"/>
      <c r="AE843" s="19"/>
      <c r="AF843" s="19"/>
      <c r="AG843" s="19"/>
      <c r="AH843" s="19"/>
      <c r="AI843" s="19"/>
    </row>
    <row r="844" spans="1:35" ht="13.15" x14ac:dyDescent="0.4">
      <c r="A844" s="19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  <c r="AA844" s="19"/>
      <c r="AB844" s="19"/>
      <c r="AC844" s="19"/>
      <c r="AD844" s="19"/>
      <c r="AE844" s="19"/>
      <c r="AF844" s="19"/>
      <c r="AG844" s="19"/>
      <c r="AH844" s="19"/>
      <c r="AI844" s="19"/>
    </row>
    <row r="845" spans="1:35" ht="13.15" x14ac:dyDescent="0.4">
      <c r="A845" s="19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  <c r="AA845" s="19"/>
      <c r="AB845" s="19"/>
      <c r="AC845" s="19"/>
      <c r="AD845" s="19"/>
      <c r="AE845" s="19"/>
      <c r="AF845" s="19"/>
      <c r="AG845" s="19"/>
      <c r="AH845" s="19"/>
      <c r="AI845" s="19"/>
    </row>
    <row r="846" spans="1:35" ht="13.15" x14ac:dyDescent="0.4">
      <c r="A846" s="19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  <c r="AA846" s="19"/>
      <c r="AB846" s="19"/>
      <c r="AC846" s="19"/>
      <c r="AD846" s="19"/>
      <c r="AE846" s="19"/>
      <c r="AF846" s="19"/>
      <c r="AG846" s="19"/>
      <c r="AH846" s="19"/>
      <c r="AI846" s="19"/>
    </row>
    <row r="847" spans="1:35" ht="13.15" x14ac:dyDescent="0.4">
      <c r="A847" s="19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  <c r="AA847" s="19"/>
      <c r="AB847" s="19"/>
      <c r="AC847" s="19"/>
      <c r="AD847" s="19"/>
      <c r="AE847" s="19"/>
      <c r="AF847" s="19"/>
      <c r="AG847" s="19"/>
      <c r="AH847" s="19"/>
      <c r="AI847" s="19"/>
    </row>
    <row r="848" spans="1:35" ht="13.15" x14ac:dyDescent="0.4">
      <c r="A848" s="19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  <c r="AA848" s="19"/>
      <c r="AB848" s="19"/>
      <c r="AC848" s="19"/>
      <c r="AD848" s="19"/>
      <c r="AE848" s="19"/>
      <c r="AF848" s="19"/>
      <c r="AG848" s="19"/>
      <c r="AH848" s="19"/>
      <c r="AI848" s="19"/>
    </row>
    <row r="849" spans="1:35" ht="13.15" x14ac:dyDescent="0.4">
      <c r="A849" s="19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  <c r="AA849" s="19"/>
      <c r="AB849" s="19"/>
      <c r="AC849" s="19"/>
      <c r="AD849" s="19"/>
      <c r="AE849" s="19"/>
      <c r="AF849" s="19"/>
      <c r="AG849" s="19"/>
      <c r="AH849" s="19"/>
      <c r="AI849" s="19"/>
    </row>
    <row r="850" spans="1:35" ht="13.15" x14ac:dyDescent="0.4">
      <c r="A850" s="19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  <c r="AA850" s="19"/>
      <c r="AB850" s="19"/>
      <c r="AC850" s="19"/>
      <c r="AD850" s="19"/>
      <c r="AE850" s="19"/>
      <c r="AF850" s="19"/>
      <c r="AG850" s="19"/>
      <c r="AH850" s="19"/>
      <c r="AI850" s="19"/>
    </row>
    <row r="851" spans="1:35" ht="13.15" x14ac:dyDescent="0.4">
      <c r="A851" s="19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  <c r="AA851" s="19"/>
      <c r="AB851" s="19"/>
      <c r="AC851" s="19"/>
      <c r="AD851" s="19"/>
      <c r="AE851" s="19"/>
      <c r="AF851" s="19"/>
      <c r="AG851" s="19"/>
      <c r="AH851" s="19"/>
      <c r="AI851" s="19"/>
    </row>
    <row r="852" spans="1:35" ht="13.15" x14ac:dyDescent="0.4">
      <c r="A852" s="19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  <c r="AA852" s="19"/>
      <c r="AB852" s="19"/>
      <c r="AC852" s="19"/>
      <c r="AD852" s="19"/>
      <c r="AE852" s="19"/>
      <c r="AF852" s="19"/>
      <c r="AG852" s="19"/>
      <c r="AH852" s="19"/>
      <c r="AI852" s="19"/>
    </row>
    <row r="853" spans="1:35" ht="13.15" x14ac:dyDescent="0.4">
      <c r="A853" s="19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  <c r="AA853" s="19"/>
      <c r="AB853" s="19"/>
      <c r="AC853" s="19"/>
      <c r="AD853" s="19"/>
      <c r="AE853" s="19"/>
      <c r="AF853" s="19"/>
      <c r="AG853" s="19"/>
      <c r="AH853" s="19"/>
      <c r="AI853" s="19"/>
    </row>
    <row r="854" spans="1:35" ht="13.15" x14ac:dyDescent="0.4">
      <c r="A854" s="19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  <c r="AA854" s="19"/>
      <c r="AB854" s="19"/>
      <c r="AC854" s="19"/>
      <c r="AD854" s="19"/>
      <c r="AE854" s="19"/>
      <c r="AF854" s="19"/>
      <c r="AG854" s="19"/>
      <c r="AH854" s="19"/>
      <c r="AI854" s="19"/>
    </row>
    <row r="855" spans="1:35" ht="13.15" x14ac:dyDescent="0.4">
      <c r="A855" s="19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  <c r="AA855" s="19"/>
      <c r="AB855" s="19"/>
      <c r="AC855" s="19"/>
      <c r="AD855" s="19"/>
      <c r="AE855" s="19"/>
      <c r="AF855" s="19"/>
      <c r="AG855" s="19"/>
      <c r="AH855" s="19"/>
      <c r="AI855" s="19"/>
    </row>
    <row r="856" spans="1:35" ht="13.15" x14ac:dyDescent="0.4">
      <c r="A856" s="19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  <c r="AA856" s="19"/>
      <c r="AB856" s="19"/>
      <c r="AC856" s="19"/>
      <c r="AD856" s="19"/>
      <c r="AE856" s="19"/>
      <c r="AF856" s="19"/>
      <c r="AG856" s="19"/>
      <c r="AH856" s="19"/>
      <c r="AI856" s="19"/>
    </row>
    <row r="857" spans="1:35" ht="13.15" x14ac:dyDescent="0.4">
      <c r="A857" s="19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  <c r="AA857" s="19"/>
      <c r="AB857" s="19"/>
      <c r="AC857" s="19"/>
      <c r="AD857" s="19"/>
      <c r="AE857" s="19"/>
      <c r="AF857" s="19"/>
      <c r="AG857" s="19"/>
      <c r="AH857" s="19"/>
      <c r="AI857" s="19"/>
    </row>
    <row r="858" spans="1:35" ht="13.15" x14ac:dyDescent="0.4">
      <c r="A858" s="19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  <c r="AA858" s="19"/>
      <c r="AB858" s="19"/>
      <c r="AC858" s="19"/>
      <c r="AD858" s="19"/>
      <c r="AE858" s="19"/>
      <c r="AF858" s="19"/>
      <c r="AG858" s="19"/>
      <c r="AH858" s="19"/>
      <c r="AI858" s="19"/>
    </row>
    <row r="859" spans="1:35" ht="13.15" x14ac:dyDescent="0.4">
      <c r="A859" s="19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  <c r="AA859" s="19"/>
      <c r="AB859" s="19"/>
      <c r="AC859" s="19"/>
      <c r="AD859" s="19"/>
      <c r="AE859" s="19"/>
      <c r="AF859" s="19"/>
      <c r="AG859" s="19"/>
      <c r="AH859" s="19"/>
      <c r="AI859" s="19"/>
    </row>
    <row r="860" spans="1:35" ht="13.15" x14ac:dyDescent="0.4">
      <c r="A860" s="19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  <c r="AA860" s="19"/>
      <c r="AB860" s="19"/>
      <c r="AC860" s="19"/>
      <c r="AD860" s="19"/>
      <c r="AE860" s="19"/>
      <c r="AF860" s="19"/>
      <c r="AG860" s="19"/>
      <c r="AH860" s="19"/>
      <c r="AI860" s="19"/>
    </row>
    <row r="861" spans="1:35" ht="13.15" x14ac:dyDescent="0.4">
      <c r="A861" s="19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  <c r="AA861" s="19"/>
      <c r="AB861" s="19"/>
      <c r="AC861" s="19"/>
      <c r="AD861" s="19"/>
      <c r="AE861" s="19"/>
      <c r="AF861" s="19"/>
      <c r="AG861" s="19"/>
      <c r="AH861" s="19"/>
      <c r="AI861" s="19"/>
    </row>
    <row r="862" spans="1:35" ht="13.15" x14ac:dyDescent="0.4">
      <c r="A862" s="19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  <c r="AA862" s="19"/>
      <c r="AB862" s="19"/>
      <c r="AC862" s="19"/>
      <c r="AD862" s="19"/>
      <c r="AE862" s="19"/>
      <c r="AF862" s="19"/>
      <c r="AG862" s="19"/>
      <c r="AH862" s="19"/>
      <c r="AI862" s="19"/>
    </row>
    <row r="863" spans="1:35" ht="13.15" x14ac:dyDescent="0.4">
      <c r="A863" s="19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  <c r="AA863" s="19"/>
      <c r="AB863" s="19"/>
      <c r="AC863" s="19"/>
      <c r="AD863" s="19"/>
      <c r="AE863" s="19"/>
      <c r="AF863" s="19"/>
      <c r="AG863" s="19"/>
      <c r="AH863" s="19"/>
      <c r="AI863" s="19"/>
    </row>
    <row r="864" spans="1:35" ht="13.15" x14ac:dyDescent="0.4">
      <c r="A864" s="19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  <c r="AA864" s="19"/>
      <c r="AB864" s="19"/>
      <c r="AC864" s="19"/>
      <c r="AD864" s="19"/>
      <c r="AE864" s="19"/>
      <c r="AF864" s="19"/>
      <c r="AG864" s="19"/>
      <c r="AH864" s="19"/>
      <c r="AI864" s="19"/>
    </row>
    <row r="865" spans="1:35" ht="13.15" x14ac:dyDescent="0.4">
      <c r="A865" s="19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  <c r="AA865" s="19"/>
      <c r="AB865" s="19"/>
      <c r="AC865" s="19"/>
      <c r="AD865" s="19"/>
      <c r="AE865" s="19"/>
      <c r="AF865" s="19"/>
      <c r="AG865" s="19"/>
      <c r="AH865" s="19"/>
      <c r="AI865" s="19"/>
    </row>
    <row r="866" spans="1:35" ht="13.15" x14ac:dyDescent="0.4">
      <c r="A866" s="19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  <c r="AA866" s="19"/>
      <c r="AB866" s="19"/>
      <c r="AC866" s="19"/>
      <c r="AD866" s="19"/>
      <c r="AE866" s="19"/>
      <c r="AF866" s="19"/>
      <c r="AG866" s="19"/>
      <c r="AH866" s="19"/>
      <c r="AI866" s="19"/>
    </row>
    <row r="867" spans="1:35" ht="13.15" x14ac:dyDescent="0.4">
      <c r="A867" s="19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  <c r="AA867" s="19"/>
      <c r="AB867" s="19"/>
      <c r="AC867" s="19"/>
      <c r="AD867" s="19"/>
      <c r="AE867" s="19"/>
      <c r="AF867" s="19"/>
      <c r="AG867" s="19"/>
      <c r="AH867" s="19"/>
      <c r="AI867" s="19"/>
    </row>
    <row r="868" spans="1:35" ht="13.15" x14ac:dyDescent="0.4">
      <c r="A868" s="19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  <c r="AA868" s="19"/>
      <c r="AB868" s="19"/>
      <c r="AC868" s="19"/>
      <c r="AD868" s="19"/>
      <c r="AE868" s="19"/>
      <c r="AF868" s="19"/>
      <c r="AG868" s="19"/>
      <c r="AH868" s="19"/>
      <c r="AI868" s="19"/>
    </row>
    <row r="869" spans="1:35" ht="13.15" x14ac:dyDescent="0.4">
      <c r="A869" s="19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  <c r="AA869" s="19"/>
      <c r="AB869" s="19"/>
      <c r="AC869" s="19"/>
      <c r="AD869" s="19"/>
      <c r="AE869" s="19"/>
      <c r="AF869" s="19"/>
      <c r="AG869" s="19"/>
      <c r="AH869" s="19"/>
      <c r="AI869" s="19"/>
    </row>
    <row r="870" spans="1:35" ht="13.15" x14ac:dyDescent="0.4">
      <c r="A870" s="19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  <c r="AA870" s="19"/>
      <c r="AB870" s="19"/>
      <c r="AC870" s="19"/>
      <c r="AD870" s="19"/>
      <c r="AE870" s="19"/>
      <c r="AF870" s="19"/>
      <c r="AG870" s="19"/>
      <c r="AH870" s="19"/>
      <c r="AI870" s="19"/>
    </row>
    <row r="871" spans="1:35" ht="13.15" x14ac:dyDescent="0.4">
      <c r="A871" s="19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  <c r="AA871" s="19"/>
      <c r="AB871" s="19"/>
      <c r="AC871" s="19"/>
      <c r="AD871" s="19"/>
      <c r="AE871" s="19"/>
      <c r="AF871" s="19"/>
      <c r="AG871" s="19"/>
      <c r="AH871" s="19"/>
      <c r="AI871" s="19"/>
    </row>
    <row r="872" spans="1:35" ht="13.15" x14ac:dyDescent="0.4">
      <c r="A872" s="19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  <c r="AA872" s="19"/>
      <c r="AB872" s="19"/>
      <c r="AC872" s="19"/>
      <c r="AD872" s="19"/>
      <c r="AE872" s="19"/>
      <c r="AF872" s="19"/>
      <c r="AG872" s="19"/>
      <c r="AH872" s="19"/>
      <c r="AI872" s="19"/>
    </row>
    <row r="873" spans="1:35" ht="13.15" x14ac:dyDescent="0.4">
      <c r="A873" s="19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  <c r="AA873" s="19"/>
      <c r="AB873" s="19"/>
      <c r="AC873" s="19"/>
      <c r="AD873" s="19"/>
      <c r="AE873" s="19"/>
      <c r="AF873" s="19"/>
      <c r="AG873" s="19"/>
      <c r="AH873" s="19"/>
      <c r="AI873" s="19"/>
    </row>
    <row r="874" spans="1:35" ht="13.15" x14ac:dyDescent="0.4">
      <c r="A874" s="19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  <c r="AA874" s="19"/>
      <c r="AB874" s="19"/>
      <c r="AC874" s="19"/>
      <c r="AD874" s="19"/>
      <c r="AE874" s="19"/>
      <c r="AF874" s="19"/>
      <c r="AG874" s="19"/>
      <c r="AH874" s="19"/>
      <c r="AI874" s="19"/>
    </row>
    <row r="875" spans="1:35" ht="13.15" x14ac:dyDescent="0.4">
      <c r="A875" s="19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  <c r="AA875" s="19"/>
      <c r="AB875" s="19"/>
      <c r="AC875" s="19"/>
      <c r="AD875" s="19"/>
      <c r="AE875" s="19"/>
      <c r="AF875" s="19"/>
      <c r="AG875" s="19"/>
      <c r="AH875" s="19"/>
      <c r="AI875" s="19"/>
    </row>
    <row r="876" spans="1:35" ht="13.15" x14ac:dyDescent="0.4">
      <c r="A876" s="19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  <c r="AA876" s="19"/>
      <c r="AB876" s="19"/>
      <c r="AC876" s="19"/>
      <c r="AD876" s="19"/>
      <c r="AE876" s="19"/>
      <c r="AF876" s="19"/>
      <c r="AG876" s="19"/>
      <c r="AH876" s="19"/>
      <c r="AI876" s="19"/>
    </row>
    <row r="877" spans="1:35" ht="13.15" x14ac:dyDescent="0.4">
      <c r="A877" s="19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  <c r="AA877" s="19"/>
      <c r="AB877" s="19"/>
      <c r="AC877" s="19"/>
      <c r="AD877" s="19"/>
      <c r="AE877" s="19"/>
      <c r="AF877" s="19"/>
      <c r="AG877" s="19"/>
      <c r="AH877" s="19"/>
      <c r="AI877" s="19"/>
    </row>
    <row r="878" spans="1:35" ht="13.15" x14ac:dyDescent="0.4">
      <c r="A878" s="19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  <c r="AA878" s="19"/>
      <c r="AB878" s="19"/>
      <c r="AC878" s="19"/>
      <c r="AD878" s="19"/>
      <c r="AE878" s="19"/>
      <c r="AF878" s="19"/>
      <c r="AG878" s="19"/>
      <c r="AH878" s="19"/>
      <c r="AI878" s="19"/>
    </row>
    <row r="879" spans="1:35" ht="13.15" x14ac:dyDescent="0.4">
      <c r="A879" s="19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  <c r="AA879" s="19"/>
      <c r="AB879" s="19"/>
      <c r="AC879" s="19"/>
      <c r="AD879" s="19"/>
      <c r="AE879" s="19"/>
      <c r="AF879" s="19"/>
      <c r="AG879" s="19"/>
      <c r="AH879" s="19"/>
      <c r="AI879" s="19"/>
    </row>
    <row r="880" spans="1:35" ht="13.15" x14ac:dyDescent="0.4">
      <c r="A880" s="19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  <c r="AA880" s="19"/>
      <c r="AB880" s="19"/>
      <c r="AC880" s="19"/>
      <c r="AD880" s="19"/>
      <c r="AE880" s="19"/>
      <c r="AF880" s="19"/>
      <c r="AG880" s="19"/>
      <c r="AH880" s="19"/>
      <c r="AI880" s="19"/>
    </row>
    <row r="881" spans="1:35" ht="13.15" x14ac:dyDescent="0.4">
      <c r="A881" s="19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  <c r="AA881" s="19"/>
      <c r="AB881" s="19"/>
      <c r="AC881" s="19"/>
      <c r="AD881" s="19"/>
      <c r="AE881" s="19"/>
      <c r="AF881" s="19"/>
      <c r="AG881" s="19"/>
      <c r="AH881" s="19"/>
      <c r="AI881" s="19"/>
    </row>
    <row r="882" spans="1:35" ht="13.15" x14ac:dyDescent="0.4">
      <c r="A882" s="19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  <c r="AA882" s="19"/>
      <c r="AB882" s="19"/>
      <c r="AC882" s="19"/>
      <c r="AD882" s="19"/>
      <c r="AE882" s="19"/>
      <c r="AF882" s="19"/>
      <c r="AG882" s="19"/>
      <c r="AH882" s="19"/>
      <c r="AI882" s="19"/>
    </row>
    <row r="883" spans="1:35" ht="13.15" x14ac:dyDescent="0.4">
      <c r="A883" s="19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  <c r="AA883" s="19"/>
      <c r="AB883" s="19"/>
      <c r="AC883" s="19"/>
      <c r="AD883" s="19"/>
      <c r="AE883" s="19"/>
      <c r="AF883" s="19"/>
      <c r="AG883" s="19"/>
      <c r="AH883" s="19"/>
      <c r="AI883" s="19"/>
    </row>
    <row r="884" spans="1:35" ht="13.15" x14ac:dyDescent="0.4">
      <c r="A884" s="19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  <c r="AA884" s="19"/>
      <c r="AB884" s="19"/>
      <c r="AC884" s="19"/>
      <c r="AD884" s="19"/>
      <c r="AE884" s="19"/>
      <c r="AF884" s="19"/>
      <c r="AG884" s="19"/>
      <c r="AH884" s="19"/>
      <c r="AI884" s="19"/>
    </row>
    <row r="885" spans="1:35" ht="13.15" x14ac:dyDescent="0.4">
      <c r="A885" s="19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  <c r="AA885" s="19"/>
      <c r="AB885" s="19"/>
      <c r="AC885" s="19"/>
      <c r="AD885" s="19"/>
      <c r="AE885" s="19"/>
      <c r="AF885" s="19"/>
      <c r="AG885" s="19"/>
      <c r="AH885" s="19"/>
      <c r="AI885" s="19"/>
    </row>
    <row r="886" spans="1:35" ht="13.15" x14ac:dyDescent="0.4">
      <c r="A886" s="19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  <c r="AA886" s="19"/>
      <c r="AB886" s="19"/>
      <c r="AC886" s="19"/>
      <c r="AD886" s="19"/>
      <c r="AE886" s="19"/>
      <c r="AF886" s="19"/>
      <c r="AG886" s="19"/>
      <c r="AH886" s="19"/>
      <c r="AI886" s="19"/>
    </row>
    <row r="887" spans="1:35" ht="13.15" x14ac:dyDescent="0.4">
      <c r="A887" s="19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  <c r="AA887" s="19"/>
      <c r="AB887" s="19"/>
      <c r="AC887" s="19"/>
      <c r="AD887" s="19"/>
      <c r="AE887" s="19"/>
      <c r="AF887" s="19"/>
      <c r="AG887" s="19"/>
      <c r="AH887" s="19"/>
      <c r="AI887" s="19"/>
    </row>
    <row r="888" spans="1:35" ht="13.15" x14ac:dyDescent="0.4">
      <c r="A888" s="19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  <c r="AA888" s="19"/>
      <c r="AB888" s="19"/>
      <c r="AC888" s="19"/>
      <c r="AD888" s="19"/>
      <c r="AE888" s="19"/>
      <c r="AF888" s="19"/>
      <c r="AG888" s="19"/>
      <c r="AH888" s="19"/>
      <c r="AI888" s="19"/>
    </row>
    <row r="889" spans="1:35" ht="13.15" x14ac:dyDescent="0.4">
      <c r="A889" s="19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  <c r="AA889" s="19"/>
      <c r="AB889" s="19"/>
      <c r="AC889" s="19"/>
      <c r="AD889" s="19"/>
      <c r="AE889" s="19"/>
      <c r="AF889" s="19"/>
      <c r="AG889" s="19"/>
      <c r="AH889" s="19"/>
      <c r="AI889" s="19"/>
    </row>
    <row r="890" spans="1:35" ht="13.15" x14ac:dyDescent="0.4">
      <c r="A890" s="19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  <c r="AA890" s="19"/>
      <c r="AB890" s="19"/>
      <c r="AC890" s="19"/>
      <c r="AD890" s="19"/>
      <c r="AE890" s="19"/>
      <c r="AF890" s="19"/>
      <c r="AG890" s="19"/>
      <c r="AH890" s="19"/>
      <c r="AI890" s="19"/>
    </row>
    <row r="891" spans="1:35" ht="13.15" x14ac:dyDescent="0.4">
      <c r="A891" s="19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  <c r="AA891" s="19"/>
      <c r="AB891" s="19"/>
      <c r="AC891" s="19"/>
      <c r="AD891" s="19"/>
      <c r="AE891" s="19"/>
      <c r="AF891" s="19"/>
      <c r="AG891" s="19"/>
      <c r="AH891" s="19"/>
      <c r="AI891" s="19"/>
    </row>
    <row r="892" spans="1:35" ht="13.15" x14ac:dyDescent="0.4">
      <c r="A892" s="19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  <c r="AA892" s="19"/>
      <c r="AB892" s="19"/>
      <c r="AC892" s="19"/>
      <c r="AD892" s="19"/>
      <c r="AE892" s="19"/>
      <c r="AF892" s="19"/>
      <c r="AG892" s="19"/>
      <c r="AH892" s="19"/>
      <c r="AI892" s="19"/>
    </row>
    <row r="893" spans="1:35" ht="13.15" x14ac:dyDescent="0.4">
      <c r="A893" s="19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  <c r="AA893" s="19"/>
      <c r="AB893" s="19"/>
      <c r="AC893" s="19"/>
      <c r="AD893" s="19"/>
      <c r="AE893" s="19"/>
      <c r="AF893" s="19"/>
      <c r="AG893" s="19"/>
      <c r="AH893" s="19"/>
      <c r="AI893" s="19"/>
    </row>
    <row r="894" spans="1:35" ht="13.15" x14ac:dyDescent="0.4">
      <c r="A894" s="19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  <c r="AA894" s="19"/>
      <c r="AB894" s="19"/>
      <c r="AC894" s="19"/>
      <c r="AD894" s="19"/>
      <c r="AE894" s="19"/>
      <c r="AF894" s="19"/>
      <c r="AG894" s="19"/>
      <c r="AH894" s="19"/>
      <c r="AI894" s="19"/>
    </row>
    <row r="895" spans="1:35" ht="13.15" x14ac:dyDescent="0.4">
      <c r="A895" s="19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  <c r="AA895" s="19"/>
      <c r="AB895" s="19"/>
      <c r="AC895" s="19"/>
      <c r="AD895" s="19"/>
      <c r="AE895" s="19"/>
      <c r="AF895" s="19"/>
      <c r="AG895" s="19"/>
      <c r="AH895" s="19"/>
      <c r="AI895" s="19"/>
    </row>
    <row r="896" spans="1:35" ht="13.15" x14ac:dyDescent="0.4">
      <c r="A896" s="19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  <c r="AA896" s="19"/>
      <c r="AB896" s="19"/>
      <c r="AC896" s="19"/>
      <c r="AD896" s="19"/>
      <c r="AE896" s="19"/>
      <c r="AF896" s="19"/>
      <c r="AG896" s="19"/>
      <c r="AH896" s="19"/>
      <c r="AI896" s="19"/>
    </row>
    <row r="897" spans="1:35" ht="13.15" x14ac:dyDescent="0.4">
      <c r="A897" s="19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  <c r="AA897" s="19"/>
      <c r="AB897" s="19"/>
      <c r="AC897" s="19"/>
      <c r="AD897" s="19"/>
      <c r="AE897" s="19"/>
      <c r="AF897" s="19"/>
      <c r="AG897" s="19"/>
      <c r="AH897" s="19"/>
      <c r="AI897" s="19"/>
    </row>
    <row r="898" spans="1:35" ht="13.15" x14ac:dyDescent="0.4">
      <c r="A898" s="19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  <c r="AA898" s="19"/>
      <c r="AB898" s="19"/>
      <c r="AC898" s="19"/>
      <c r="AD898" s="19"/>
      <c r="AE898" s="19"/>
      <c r="AF898" s="19"/>
      <c r="AG898" s="19"/>
      <c r="AH898" s="19"/>
      <c r="AI898" s="19"/>
    </row>
    <row r="899" spans="1:35" ht="13.15" x14ac:dyDescent="0.4">
      <c r="A899" s="19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  <c r="AA899" s="19"/>
      <c r="AB899" s="19"/>
      <c r="AC899" s="19"/>
      <c r="AD899" s="19"/>
      <c r="AE899" s="19"/>
      <c r="AF899" s="19"/>
      <c r="AG899" s="19"/>
      <c r="AH899" s="19"/>
      <c r="AI899" s="19"/>
    </row>
    <row r="900" spans="1:35" ht="13.15" x14ac:dyDescent="0.4">
      <c r="A900" s="19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  <c r="AA900" s="19"/>
      <c r="AB900" s="19"/>
      <c r="AC900" s="19"/>
      <c r="AD900" s="19"/>
      <c r="AE900" s="19"/>
      <c r="AF900" s="19"/>
      <c r="AG900" s="19"/>
      <c r="AH900" s="19"/>
      <c r="AI900" s="19"/>
    </row>
    <row r="901" spans="1:35" ht="13.15" x14ac:dyDescent="0.4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  <c r="AA901" s="19"/>
      <c r="AB901" s="19"/>
      <c r="AC901" s="19"/>
      <c r="AD901" s="19"/>
      <c r="AE901" s="19"/>
      <c r="AF901" s="19"/>
      <c r="AG901" s="19"/>
      <c r="AH901" s="19"/>
      <c r="AI901" s="19"/>
    </row>
    <row r="902" spans="1:35" ht="13.15" x14ac:dyDescent="0.4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  <c r="AA902" s="19"/>
      <c r="AB902" s="19"/>
      <c r="AC902" s="19"/>
      <c r="AD902" s="19"/>
      <c r="AE902" s="19"/>
      <c r="AF902" s="19"/>
      <c r="AG902" s="19"/>
      <c r="AH902" s="19"/>
      <c r="AI902" s="19"/>
    </row>
    <row r="903" spans="1:35" ht="13.15" x14ac:dyDescent="0.4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  <c r="AA903" s="19"/>
      <c r="AB903" s="19"/>
      <c r="AC903" s="19"/>
      <c r="AD903" s="19"/>
      <c r="AE903" s="19"/>
      <c r="AF903" s="19"/>
      <c r="AG903" s="19"/>
      <c r="AH903" s="19"/>
      <c r="AI903" s="19"/>
    </row>
    <row r="904" spans="1:35" ht="13.15" x14ac:dyDescent="0.4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  <c r="AA904" s="19"/>
      <c r="AB904" s="19"/>
      <c r="AC904" s="19"/>
      <c r="AD904" s="19"/>
      <c r="AE904" s="19"/>
      <c r="AF904" s="19"/>
      <c r="AG904" s="19"/>
      <c r="AH904" s="19"/>
      <c r="AI904" s="19"/>
    </row>
    <row r="905" spans="1:35" ht="13.15" x14ac:dyDescent="0.4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  <c r="AA905" s="19"/>
      <c r="AB905" s="19"/>
      <c r="AC905" s="19"/>
      <c r="AD905" s="19"/>
      <c r="AE905" s="19"/>
      <c r="AF905" s="19"/>
      <c r="AG905" s="19"/>
      <c r="AH905" s="19"/>
      <c r="AI905" s="19"/>
    </row>
    <row r="906" spans="1:35" ht="13.15" x14ac:dyDescent="0.4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  <c r="AA906" s="19"/>
      <c r="AB906" s="19"/>
      <c r="AC906" s="19"/>
      <c r="AD906" s="19"/>
      <c r="AE906" s="19"/>
      <c r="AF906" s="19"/>
      <c r="AG906" s="19"/>
      <c r="AH906" s="19"/>
      <c r="AI906" s="19"/>
    </row>
    <row r="907" spans="1:35" ht="13.15" x14ac:dyDescent="0.4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  <c r="AA907" s="19"/>
      <c r="AB907" s="19"/>
      <c r="AC907" s="19"/>
      <c r="AD907" s="19"/>
      <c r="AE907" s="19"/>
      <c r="AF907" s="19"/>
      <c r="AG907" s="19"/>
      <c r="AH907" s="19"/>
      <c r="AI907" s="19"/>
    </row>
    <row r="908" spans="1:35" ht="13.15" x14ac:dyDescent="0.4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  <c r="AA908" s="19"/>
      <c r="AB908" s="19"/>
      <c r="AC908" s="19"/>
      <c r="AD908" s="19"/>
      <c r="AE908" s="19"/>
      <c r="AF908" s="19"/>
      <c r="AG908" s="19"/>
      <c r="AH908" s="19"/>
      <c r="AI908" s="19"/>
    </row>
    <row r="909" spans="1:35" ht="13.15" x14ac:dyDescent="0.4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  <c r="AA909" s="19"/>
      <c r="AB909" s="19"/>
      <c r="AC909" s="19"/>
      <c r="AD909" s="19"/>
      <c r="AE909" s="19"/>
      <c r="AF909" s="19"/>
      <c r="AG909" s="19"/>
      <c r="AH909" s="19"/>
      <c r="AI909" s="19"/>
    </row>
    <row r="910" spans="1:35" ht="13.15" x14ac:dyDescent="0.4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  <c r="AB910" s="19"/>
      <c r="AC910" s="19"/>
      <c r="AD910" s="19"/>
      <c r="AE910" s="19"/>
      <c r="AF910" s="19"/>
      <c r="AG910" s="19"/>
      <c r="AH910" s="19"/>
      <c r="AI910" s="19"/>
    </row>
    <row r="911" spans="1:35" ht="13.15" x14ac:dyDescent="0.4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  <c r="AA911" s="19"/>
      <c r="AB911" s="19"/>
      <c r="AC911" s="19"/>
      <c r="AD911" s="19"/>
      <c r="AE911" s="19"/>
      <c r="AF911" s="19"/>
      <c r="AG911" s="19"/>
      <c r="AH911" s="19"/>
      <c r="AI911" s="19"/>
    </row>
    <row r="912" spans="1:35" ht="13.15" x14ac:dyDescent="0.4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  <c r="AA912" s="19"/>
      <c r="AB912" s="19"/>
      <c r="AC912" s="19"/>
      <c r="AD912" s="19"/>
      <c r="AE912" s="19"/>
      <c r="AF912" s="19"/>
      <c r="AG912" s="19"/>
      <c r="AH912" s="19"/>
      <c r="AI912" s="19"/>
    </row>
    <row r="913" spans="1:35" ht="13.15" x14ac:dyDescent="0.4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  <c r="AA913" s="19"/>
      <c r="AB913" s="19"/>
      <c r="AC913" s="19"/>
      <c r="AD913" s="19"/>
      <c r="AE913" s="19"/>
      <c r="AF913" s="19"/>
      <c r="AG913" s="19"/>
      <c r="AH913" s="19"/>
      <c r="AI913" s="19"/>
    </row>
    <row r="914" spans="1:35" ht="13.15" x14ac:dyDescent="0.4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  <c r="AA914" s="19"/>
      <c r="AB914" s="19"/>
      <c r="AC914" s="19"/>
      <c r="AD914" s="19"/>
      <c r="AE914" s="19"/>
      <c r="AF914" s="19"/>
      <c r="AG914" s="19"/>
      <c r="AH914" s="19"/>
      <c r="AI914" s="19"/>
    </row>
    <row r="915" spans="1:35" ht="13.15" x14ac:dyDescent="0.4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  <c r="AA915" s="19"/>
      <c r="AB915" s="19"/>
      <c r="AC915" s="19"/>
      <c r="AD915" s="19"/>
      <c r="AE915" s="19"/>
      <c r="AF915" s="19"/>
      <c r="AG915" s="19"/>
      <c r="AH915" s="19"/>
      <c r="AI915" s="19"/>
    </row>
    <row r="916" spans="1:35" ht="13.15" x14ac:dyDescent="0.4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  <c r="AA916" s="19"/>
      <c r="AB916" s="19"/>
      <c r="AC916" s="19"/>
      <c r="AD916" s="19"/>
      <c r="AE916" s="19"/>
      <c r="AF916" s="19"/>
      <c r="AG916" s="19"/>
      <c r="AH916" s="19"/>
      <c r="AI916" s="19"/>
    </row>
    <row r="917" spans="1:35" ht="13.15" x14ac:dyDescent="0.4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  <c r="AA917" s="19"/>
      <c r="AB917" s="19"/>
      <c r="AC917" s="19"/>
      <c r="AD917" s="19"/>
      <c r="AE917" s="19"/>
      <c r="AF917" s="19"/>
      <c r="AG917" s="19"/>
      <c r="AH917" s="19"/>
      <c r="AI917" s="19"/>
    </row>
    <row r="918" spans="1:35" ht="13.15" x14ac:dyDescent="0.4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  <c r="AB918" s="19"/>
      <c r="AC918" s="19"/>
      <c r="AD918" s="19"/>
      <c r="AE918" s="19"/>
      <c r="AF918" s="19"/>
      <c r="AG918" s="19"/>
      <c r="AH918" s="19"/>
      <c r="AI918" s="19"/>
    </row>
    <row r="919" spans="1:35" ht="13.15" x14ac:dyDescent="0.4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  <c r="AA919" s="19"/>
      <c r="AB919" s="19"/>
      <c r="AC919" s="19"/>
      <c r="AD919" s="19"/>
      <c r="AE919" s="19"/>
      <c r="AF919" s="19"/>
      <c r="AG919" s="19"/>
      <c r="AH919" s="19"/>
      <c r="AI919" s="19"/>
    </row>
    <row r="920" spans="1:35" ht="13.15" x14ac:dyDescent="0.4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  <c r="AA920" s="19"/>
      <c r="AB920" s="19"/>
      <c r="AC920" s="19"/>
      <c r="AD920" s="19"/>
      <c r="AE920" s="19"/>
      <c r="AF920" s="19"/>
      <c r="AG920" s="19"/>
      <c r="AH920" s="19"/>
      <c r="AI920" s="19"/>
    </row>
    <row r="921" spans="1:35" ht="13.15" x14ac:dyDescent="0.4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  <c r="AA921" s="19"/>
      <c r="AB921" s="19"/>
      <c r="AC921" s="19"/>
      <c r="AD921" s="19"/>
      <c r="AE921" s="19"/>
      <c r="AF921" s="19"/>
      <c r="AG921" s="19"/>
      <c r="AH921" s="19"/>
      <c r="AI921" s="19"/>
    </row>
    <row r="922" spans="1:35" ht="13.15" x14ac:dyDescent="0.4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  <c r="AA922" s="19"/>
      <c r="AB922" s="19"/>
      <c r="AC922" s="19"/>
      <c r="AD922" s="19"/>
      <c r="AE922" s="19"/>
      <c r="AF922" s="19"/>
      <c r="AG922" s="19"/>
      <c r="AH922" s="19"/>
      <c r="AI922" s="19"/>
    </row>
    <row r="923" spans="1:35" ht="13.15" x14ac:dyDescent="0.4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  <c r="AA923" s="19"/>
      <c r="AB923" s="19"/>
      <c r="AC923" s="19"/>
      <c r="AD923" s="19"/>
      <c r="AE923" s="19"/>
      <c r="AF923" s="19"/>
      <c r="AG923" s="19"/>
      <c r="AH923" s="19"/>
      <c r="AI923" s="19"/>
    </row>
    <row r="924" spans="1:35" ht="13.15" x14ac:dyDescent="0.4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  <c r="AA924" s="19"/>
      <c r="AB924" s="19"/>
      <c r="AC924" s="19"/>
      <c r="AD924" s="19"/>
      <c r="AE924" s="19"/>
      <c r="AF924" s="19"/>
      <c r="AG924" s="19"/>
      <c r="AH924" s="19"/>
      <c r="AI924" s="19"/>
    </row>
    <row r="925" spans="1:35" ht="13.15" x14ac:dyDescent="0.4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  <c r="AA925" s="19"/>
      <c r="AB925" s="19"/>
      <c r="AC925" s="19"/>
      <c r="AD925" s="19"/>
      <c r="AE925" s="19"/>
      <c r="AF925" s="19"/>
      <c r="AG925" s="19"/>
      <c r="AH925" s="19"/>
      <c r="AI925" s="19"/>
    </row>
    <row r="926" spans="1:35" ht="13.15" x14ac:dyDescent="0.4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  <c r="AA926" s="19"/>
      <c r="AB926" s="19"/>
      <c r="AC926" s="19"/>
      <c r="AD926" s="19"/>
      <c r="AE926" s="19"/>
      <c r="AF926" s="19"/>
      <c r="AG926" s="19"/>
      <c r="AH926" s="19"/>
      <c r="AI926" s="19"/>
    </row>
    <row r="927" spans="1:35" ht="13.15" x14ac:dyDescent="0.4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  <c r="AA927" s="19"/>
      <c r="AB927" s="19"/>
      <c r="AC927" s="19"/>
      <c r="AD927" s="19"/>
      <c r="AE927" s="19"/>
      <c r="AF927" s="19"/>
      <c r="AG927" s="19"/>
      <c r="AH927" s="19"/>
      <c r="AI927" s="19"/>
    </row>
    <row r="928" spans="1:35" ht="13.15" x14ac:dyDescent="0.4">
      <c r="A928" s="19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  <c r="AA928" s="19"/>
      <c r="AB928" s="19"/>
      <c r="AC928" s="19"/>
      <c r="AD928" s="19"/>
      <c r="AE928" s="19"/>
      <c r="AF928" s="19"/>
      <c r="AG928" s="19"/>
      <c r="AH928" s="19"/>
      <c r="AI928" s="19"/>
    </row>
    <row r="929" spans="1:35" ht="13.15" x14ac:dyDescent="0.4">
      <c r="A929" s="19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  <c r="AA929" s="19"/>
      <c r="AB929" s="19"/>
      <c r="AC929" s="19"/>
      <c r="AD929" s="19"/>
      <c r="AE929" s="19"/>
      <c r="AF929" s="19"/>
      <c r="AG929" s="19"/>
      <c r="AH929" s="19"/>
      <c r="AI929" s="19"/>
    </row>
    <row r="930" spans="1:35" ht="13.15" x14ac:dyDescent="0.4">
      <c r="A930" s="19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  <c r="AA930" s="19"/>
      <c r="AB930" s="19"/>
      <c r="AC930" s="19"/>
      <c r="AD930" s="19"/>
      <c r="AE930" s="19"/>
      <c r="AF930" s="19"/>
      <c r="AG930" s="19"/>
      <c r="AH930" s="19"/>
      <c r="AI930" s="19"/>
    </row>
    <row r="931" spans="1:35" ht="13.15" x14ac:dyDescent="0.4">
      <c r="A931" s="19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  <c r="AA931" s="19"/>
      <c r="AB931" s="19"/>
      <c r="AC931" s="19"/>
      <c r="AD931" s="19"/>
      <c r="AE931" s="19"/>
      <c r="AF931" s="19"/>
      <c r="AG931" s="19"/>
      <c r="AH931" s="19"/>
      <c r="AI931" s="19"/>
    </row>
    <row r="932" spans="1:35" ht="13.15" x14ac:dyDescent="0.4">
      <c r="A932" s="19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  <c r="AA932" s="19"/>
      <c r="AB932" s="19"/>
      <c r="AC932" s="19"/>
      <c r="AD932" s="19"/>
      <c r="AE932" s="19"/>
      <c r="AF932" s="19"/>
      <c r="AG932" s="19"/>
      <c r="AH932" s="19"/>
      <c r="AI932" s="19"/>
    </row>
    <row r="933" spans="1:35" ht="13.15" x14ac:dyDescent="0.4">
      <c r="A933" s="19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  <c r="AA933" s="19"/>
      <c r="AB933" s="19"/>
      <c r="AC933" s="19"/>
      <c r="AD933" s="19"/>
      <c r="AE933" s="19"/>
      <c r="AF933" s="19"/>
      <c r="AG933" s="19"/>
      <c r="AH933" s="19"/>
      <c r="AI933" s="19"/>
    </row>
    <row r="934" spans="1:35" ht="13.15" x14ac:dyDescent="0.4">
      <c r="A934" s="19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  <c r="AA934" s="19"/>
      <c r="AB934" s="19"/>
      <c r="AC934" s="19"/>
      <c r="AD934" s="19"/>
      <c r="AE934" s="19"/>
      <c r="AF934" s="19"/>
      <c r="AG934" s="19"/>
      <c r="AH934" s="19"/>
      <c r="AI934" s="19"/>
    </row>
    <row r="935" spans="1:35" ht="13.15" x14ac:dyDescent="0.4">
      <c r="A935" s="19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  <c r="AA935" s="19"/>
      <c r="AB935" s="19"/>
      <c r="AC935" s="19"/>
      <c r="AD935" s="19"/>
      <c r="AE935" s="19"/>
      <c r="AF935" s="19"/>
      <c r="AG935" s="19"/>
      <c r="AH935" s="19"/>
      <c r="AI935" s="19"/>
    </row>
    <row r="936" spans="1:35" ht="13.15" x14ac:dyDescent="0.4">
      <c r="A936" s="19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  <c r="AA936" s="19"/>
      <c r="AB936" s="19"/>
      <c r="AC936" s="19"/>
      <c r="AD936" s="19"/>
      <c r="AE936" s="19"/>
      <c r="AF936" s="19"/>
      <c r="AG936" s="19"/>
      <c r="AH936" s="19"/>
      <c r="AI936" s="19"/>
    </row>
    <row r="937" spans="1:35" ht="13.15" x14ac:dyDescent="0.4">
      <c r="A937" s="19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  <c r="AA937" s="19"/>
      <c r="AB937" s="19"/>
      <c r="AC937" s="19"/>
      <c r="AD937" s="19"/>
      <c r="AE937" s="19"/>
      <c r="AF937" s="19"/>
      <c r="AG937" s="19"/>
      <c r="AH937" s="19"/>
      <c r="AI937" s="19"/>
    </row>
    <row r="938" spans="1:35" ht="13.15" x14ac:dyDescent="0.4">
      <c r="A938" s="19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  <c r="AA938" s="19"/>
      <c r="AB938" s="19"/>
      <c r="AC938" s="19"/>
      <c r="AD938" s="19"/>
      <c r="AE938" s="19"/>
      <c r="AF938" s="19"/>
      <c r="AG938" s="19"/>
      <c r="AH938" s="19"/>
      <c r="AI938" s="19"/>
    </row>
    <row r="939" spans="1:35" ht="13.15" x14ac:dyDescent="0.4">
      <c r="A939" s="19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  <c r="AA939" s="19"/>
      <c r="AB939" s="19"/>
      <c r="AC939" s="19"/>
      <c r="AD939" s="19"/>
      <c r="AE939" s="19"/>
      <c r="AF939" s="19"/>
      <c r="AG939" s="19"/>
      <c r="AH939" s="19"/>
      <c r="AI939" s="19"/>
    </row>
    <row r="940" spans="1:35" ht="13.15" x14ac:dyDescent="0.4">
      <c r="A940" s="19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  <c r="AB940" s="19"/>
      <c r="AC940" s="19"/>
      <c r="AD940" s="19"/>
      <c r="AE940" s="19"/>
      <c r="AF940" s="19"/>
      <c r="AG940" s="19"/>
      <c r="AH940" s="19"/>
      <c r="AI940" s="19"/>
    </row>
    <row r="941" spans="1:35" ht="13.15" x14ac:dyDescent="0.4">
      <c r="A941" s="19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  <c r="AA941" s="19"/>
      <c r="AB941" s="19"/>
      <c r="AC941" s="19"/>
      <c r="AD941" s="19"/>
      <c r="AE941" s="19"/>
      <c r="AF941" s="19"/>
      <c r="AG941" s="19"/>
      <c r="AH941" s="19"/>
      <c r="AI941" s="19"/>
    </row>
    <row r="942" spans="1:35" ht="13.15" x14ac:dyDescent="0.4">
      <c r="A942" s="19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  <c r="AA942" s="19"/>
      <c r="AB942" s="19"/>
      <c r="AC942" s="19"/>
      <c r="AD942" s="19"/>
      <c r="AE942" s="19"/>
      <c r="AF942" s="19"/>
      <c r="AG942" s="19"/>
      <c r="AH942" s="19"/>
      <c r="AI942" s="19"/>
    </row>
    <row r="943" spans="1:35" ht="13.15" x14ac:dyDescent="0.4">
      <c r="A943" s="19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  <c r="AA943" s="19"/>
      <c r="AB943" s="19"/>
      <c r="AC943" s="19"/>
      <c r="AD943" s="19"/>
      <c r="AE943" s="19"/>
      <c r="AF943" s="19"/>
      <c r="AG943" s="19"/>
      <c r="AH943" s="19"/>
      <c r="AI943" s="19"/>
    </row>
    <row r="944" spans="1:35" ht="13.15" x14ac:dyDescent="0.4">
      <c r="A944" s="19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  <c r="AA944" s="19"/>
      <c r="AB944" s="19"/>
      <c r="AC944" s="19"/>
      <c r="AD944" s="19"/>
      <c r="AE944" s="19"/>
      <c r="AF944" s="19"/>
      <c r="AG944" s="19"/>
      <c r="AH944" s="19"/>
      <c r="AI944" s="19"/>
    </row>
    <row r="945" spans="1:35" ht="13.15" x14ac:dyDescent="0.4">
      <c r="A945" s="19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  <c r="AA945" s="19"/>
      <c r="AB945" s="19"/>
      <c r="AC945" s="19"/>
      <c r="AD945" s="19"/>
      <c r="AE945" s="19"/>
      <c r="AF945" s="19"/>
      <c r="AG945" s="19"/>
      <c r="AH945" s="19"/>
      <c r="AI945" s="19"/>
    </row>
    <row r="946" spans="1:35" ht="13.15" x14ac:dyDescent="0.4">
      <c r="A946" s="19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  <c r="AA946" s="19"/>
      <c r="AB946" s="19"/>
      <c r="AC946" s="19"/>
      <c r="AD946" s="19"/>
      <c r="AE946" s="19"/>
      <c r="AF946" s="19"/>
      <c r="AG946" s="19"/>
      <c r="AH946" s="19"/>
      <c r="AI946" s="19"/>
    </row>
    <row r="947" spans="1:35" ht="13.15" x14ac:dyDescent="0.4">
      <c r="A947" s="19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  <c r="AA947" s="19"/>
      <c r="AB947" s="19"/>
      <c r="AC947" s="19"/>
      <c r="AD947" s="19"/>
      <c r="AE947" s="19"/>
      <c r="AF947" s="19"/>
      <c r="AG947" s="19"/>
      <c r="AH947" s="19"/>
      <c r="AI947" s="19"/>
    </row>
    <row r="948" spans="1:35" ht="13.15" x14ac:dyDescent="0.4">
      <c r="A948" s="19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  <c r="AA948" s="19"/>
      <c r="AB948" s="19"/>
      <c r="AC948" s="19"/>
      <c r="AD948" s="19"/>
      <c r="AE948" s="19"/>
      <c r="AF948" s="19"/>
      <c r="AG948" s="19"/>
      <c r="AH948" s="19"/>
      <c r="AI948" s="19"/>
    </row>
    <row r="949" spans="1:35" ht="13.15" x14ac:dyDescent="0.4">
      <c r="A949" s="19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  <c r="AA949" s="19"/>
      <c r="AB949" s="19"/>
      <c r="AC949" s="19"/>
      <c r="AD949" s="19"/>
      <c r="AE949" s="19"/>
      <c r="AF949" s="19"/>
      <c r="AG949" s="19"/>
      <c r="AH949" s="19"/>
      <c r="AI949" s="19"/>
    </row>
    <row r="950" spans="1:35" ht="13.15" x14ac:dyDescent="0.4">
      <c r="A950" s="19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  <c r="AA950" s="19"/>
      <c r="AB950" s="19"/>
      <c r="AC950" s="19"/>
      <c r="AD950" s="19"/>
      <c r="AE950" s="19"/>
      <c r="AF950" s="19"/>
      <c r="AG950" s="19"/>
      <c r="AH950" s="19"/>
      <c r="AI950" s="19"/>
    </row>
    <row r="951" spans="1:35" ht="13.15" x14ac:dyDescent="0.4">
      <c r="A951" s="19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  <c r="AA951" s="19"/>
      <c r="AB951" s="19"/>
      <c r="AC951" s="19"/>
      <c r="AD951" s="19"/>
      <c r="AE951" s="19"/>
      <c r="AF951" s="19"/>
      <c r="AG951" s="19"/>
      <c r="AH951" s="19"/>
      <c r="AI951" s="19"/>
    </row>
    <row r="952" spans="1:35" ht="13.15" x14ac:dyDescent="0.4">
      <c r="A952" s="19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  <c r="AA952" s="19"/>
      <c r="AB952" s="19"/>
      <c r="AC952" s="19"/>
      <c r="AD952" s="19"/>
      <c r="AE952" s="19"/>
      <c r="AF952" s="19"/>
      <c r="AG952" s="19"/>
      <c r="AH952" s="19"/>
      <c r="AI952" s="19"/>
    </row>
    <row r="953" spans="1:35" ht="13.15" x14ac:dyDescent="0.4">
      <c r="A953" s="19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  <c r="AA953" s="19"/>
      <c r="AB953" s="19"/>
      <c r="AC953" s="19"/>
      <c r="AD953" s="19"/>
      <c r="AE953" s="19"/>
      <c r="AF953" s="19"/>
      <c r="AG953" s="19"/>
      <c r="AH953" s="19"/>
      <c r="AI953" s="19"/>
    </row>
    <row r="954" spans="1:35" ht="13.15" x14ac:dyDescent="0.4">
      <c r="A954" s="19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  <c r="AA954" s="19"/>
      <c r="AB954" s="19"/>
      <c r="AC954" s="19"/>
      <c r="AD954" s="19"/>
      <c r="AE954" s="19"/>
      <c r="AF954" s="19"/>
      <c r="AG954" s="19"/>
      <c r="AH954" s="19"/>
      <c r="AI954" s="19"/>
    </row>
    <row r="955" spans="1:35" ht="13.15" x14ac:dyDescent="0.4">
      <c r="A955" s="19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  <c r="AA955" s="19"/>
      <c r="AB955" s="19"/>
      <c r="AC955" s="19"/>
      <c r="AD955" s="19"/>
      <c r="AE955" s="19"/>
      <c r="AF955" s="19"/>
      <c r="AG955" s="19"/>
      <c r="AH955" s="19"/>
      <c r="AI955" s="19"/>
    </row>
    <row r="956" spans="1:35" ht="13.15" x14ac:dyDescent="0.4">
      <c r="A956" s="19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  <c r="AA956" s="19"/>
      <c r="AB956" s="19"/>
      <c r="AC956" s="19"/>
      <c r="AD956" s="19"/>
      <c r="AE956" s="19"/>
      <c r="AF956" s="19"/>
      <c r="AG956" s="19"/>
      <c r="AH956" s="19"/>
      <c r="AI956" s="19"/>
    </row>
    <row r="957" spans="1:35" ht="13.15" x14ac:dyDescent="0.4">
      <c r="A957" s="19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  <c r="AA957" s="19"/>
      <c r="AB957" s="19"/>
      <c r="AC957" s="19"/>
      <c r="AD957" s="19"/>
      <c r="AE957" s="19"/>
      <c r="AF957" s="19"/>
      <c r="AG957" s="19"/>
      <c r="AH957" s="19"/>
      <c r="AI957" s="19"/>
    </row>
    <row r="958" spans="1:35" ht="13.15" x14ac:dyDescent="0.4">
      <c r="A958" s="19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  <c r="AA958" s="19"/>
      <c r="AB958" s="19"/>
      <c r="AC958" s="19"/>
      <c r="AD958" s="19"/>
      <c r="AE958" s="19"/>
      <c r="AF958" s="19"/>
      <c r="AG958" s="19"/>
      <c r="AH958" s="19"/>
      <c r="AI958" s="19"/>
    </row>
    <row r="959" spans="1:35" ht="13.15" x14ac:dyDescent="0.4">
      <c r="A959" s="19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  <c r="AA959" s="19"/>
      <c r="AB959" s="19"/>
      <c r="AC959" s="19"/>
      <c r="AD959" s="19"/>
      <c r="AE959" s="19"/>
      <c r="AF959" s="19"/>
      <c r="AG959" s="19"/>
      <c r="AH959" s="19"/>
      <c r="AI959" s="19"/>
    </row>
    <row r="960" spans="1:35" ht="13.15" x14ac:dyDescent="0.4">
      <c r="A960" s="19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  <c r="AA960" s="19"/>
      <c r="AB960" s="19"/>
      <c r="AC960" s="19"/>
      <c r="AD960" s="19"/>
      <c r="AE960" s="19"/>
      <c r="AF960" s="19"/>
      <c r="AG960" s="19"/>
      <c r="AH960" s="19"/>
      <c r="AI960" s="19"/>
    </row>
    <row r="961" spans="1:35" ht="13.15" x14ac:dyDescent="0.4">
      <c r="A961" s="19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  <c r="AA961" s="19"/>
      <c r="AB961" s="19"/>
      <c r="AC961" s="19"/>
      <c r="AD961" s="19"/>
      <c r="AE961" s="19"/>
      <c r="AF961" s="19"/>
      <c r="AG961" s="19"/>
      <c r="AH961" s="19"/>
      <c r="AI961" s="19"/>
    </row>
    <row r="962" spans="1:35" ht="13.15" x14ac:dyDescent="0.4">
      <c r="A962" s="19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  <c r="AA962" s="19"/>
      <c r="AB962" s="19"/>
      <c r="AC962" s="19"/>
      <c r="AD962" s="19"/>
      <c r="AE962" s="19"/>
      <c r="AF962" s="19"/>
      <c r="AG962" s="19"/>
      <c r="AH962" s="19"/>
      <c r="AI962" s="19"/>
    </row>
    <row r="963" spans="1:35" ht="13.15" x14ac:dyDescent="0.4">
      <c r="A963" s="19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  <c r="AB963" s="19"/>
      <c r="AC963" s="19"/>
      <c r="AD963" s="19"/>
      <c r="AE963" s="19"/>
      <c r="AF963" s="19"/>
      <c r="AG963" s="19"/>
      <c r="AH963" s="19"/>
      <c r="AI963" s="19"/>
    </row>
    <row r="964" spans="1:35" ht="13.15" x14ac:dyDescent="0.4">
      <c r="A964" s="19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  <c r="AA964" s="19"/>
      <c r="AB964" s="19"/>
      <c r="AC964" s="19"/>
      <c r="AD964" s="19"/>
      <c r="AE964" s="19"/>
      <c r="AF964" s="19"/>
      <c r="AG964" s="19"/>
      <c r="AH964" s="19"/>
      <c r="AI964" s="19"/>
    </row>
    <row r="965" spans="1:35" ht="13.15" x14ac:dyDescent="0.4">
      <c r="A965" s="19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  <c r="AA965" s="19"/>
      <c r="AB965" s="19"/>
      <c r="AC965" s="19"/>
      <c r="AD965" s="19"/>
      <c r="AE965" s="19"/>
      <c r="AF965" s="19"/>
      <c r="AG965" s="19"/>
      <c r="AH965" s="19"/>
      <c r="AI965" s="19"/>
    </row>
    <row r="966" spans="1:35" ht="13.15" x14ac:dyDescent="0.4">
      <c r="A966" s="19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  <c r="AA966" s="19"/>
      <c r="AB966" s="19"/>
      <c r="AC966" s="19"/>
      <c r="AD966" s="19"/>
      <c r="AE966" s="19"/>
      <c r="AF966" s="19"/>
      <c r="AG966" s="19"/>
      <c r="AH966" s="19"/>
      <c r="AI966" s="19"/>
    </row>
    <row r="967" spans="1:35" ht="13.15" x14ac:dyDescent="0.4">
      <c r="A967" s="19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  <c r="AA967" s="19"/>
      <c r="AB967" s="19"/>
      <c r="AC967" s="19"/>
      <c r="AD967" s="19"/>
      <c r="AE967" s="19"/>
      <c r="AF967" s="19"/>
      <c r="AG967" s="19"/>
      <c r="AH967" s="19"/>
      <c r="AI967" s="19"/>
    </row>
    <row r="968" spans="1:35" ht="13.15" x14ac:dyDescent="0.4">
      <c r="A968" s="19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  <c r="AA968" s="19"/>
      <c r="AB968" s="19"/>
      <c r="AC968" s="19"/>
      <c r="AD968" s="19"/>
      <c r="AE968" s="19"/>
      <c r="AF968" s="19"/>
      <c r="AG968" s="19"/>
      <c r="AH968" s="19"/>
      <c r="AI968" s="19"/>
    </row>
    <row r="969" spans="1:35" ht="13.15" x14ac:dyDescent="0.4">
      <c r="A969" s="19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  <c r="AA969" s="19"/>
      <c r="AB969" s="19"/>
      <c r="AC969" s="19"/>
      <c r="AD969" s="19"/>
      <c r="AE969" s="19"/>
      <c r="AF969" s="19"/>
      <c r="AG969" s="19"/>
      <c r="AH969" s="19"/>
      <c r="AI969" s="19"/>
    </row>
    <row r="970" spans="1:35" ht="13.15" x14ac:dyDescent="0.4">
      <c r="A970" s="19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  <c r="AA970" s="19"/>
      <c r="AB970" s="19"/>
      <c r="AC970" s="19"/>
      <c r="AD970" s="19"/>
      <c r="AE970" s="19"/>
      <c r="AF970" s="19"/>
      <c r="AG970" s="19"/>
      <c r="AH970" s="19"/>
      <c r="AI970" s="19"/>
    </row>
    <row r="971" spans="1:35" ht="13.15" x14ac:dyDescent="0.4">
      <c r="A971" s="19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  <c r="AA971" s="19"/>
      <c r="AB971" s="19"/>
      <c r="AC971" s="19"/>
      <c r="AD971" s="19"/>
      <c r="AE971" s="19"/>
      <c r="AF971" s="19"/>
      <c r="AG971" s="19"/>
      <c r="AH971" s="19"/>
      <c r="AI971" s="19"/>
    </row>
    <row r="972" spans="1:35" ht="13.15" x14ac:dyDescent="0.4">
      <c r="A972" s="19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  <c r="AA972" s="19"/>
      <c r="AB972" s="19"/>
      <c r="AC972" s="19"/>
      <c r="AD972" s="19"/>
      <c r="AE972" s="19"/>
      <c r="AF972" s="19"/>
      <c r="AG972" s="19"/>
      <c r="AH972" s="19"/>
      <c r="AI972" s="19"/>
    </row>
    <row r="973" spans="1:35" ht="13.15" x14ac:dyDescent="0.4">
      <c r="A973" s="19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  <c r="AA973" s="19"/>
      <c r="AB973" s="19"/>
      <c r="AC973" s="19"/>
      <c r="AD973" s="19"/>
      <c r="AE973" s="19"/>
      <c r="AF973" s="19"/>
      <c r="AG973" s="19"/>
      <c r="AH973" s="19"/>
      <c r="AI973" s="19"/>
    </row>
    <row r="974" spans="1:35" ht="13.15" x14ac:dyDescent="0.4">
      <c r="A974" s="19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  <c r="AA974" s="19"/>
      <c r="AB974" s="19"/>
      <c r="AC974" s="19"/>
      <c r="AD974" s="19"/>
      <c r="AE974" s="19"/>
      <c r="AF974" s="19"/>
      <c r="AG974" s="19"/>
      <c r="AH974" s="19"/>
      <c r="AI974" s="19"/>
    </row>
    <row r="975" spans="1:35" ht="13.15" x14ac:dyDescent="0.4">
      <c r="A975" s="19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  <c r="AA975" s="19"/>
      <c r="AB975" s="19"/>
      <c r="AC975" s="19"/>
      <c r="AD975" s="19"/>
      <c r="AE975" s="19"/>
      <c r="AF975" s="19"/>
      <c r="AG975" s="19"/>
      <c r="AH975" s="19"/>
      <c r="AI975" s="19"/>
    </row>
    <row r="976" spans="1:35" ht="13.15" x14ac:dyDescent="0.4">
      <c r="A976" s="19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  <c r="AA976" s="19"/>
      <c r="AB976" s="19"/>
      <c r="AC976" s="19"/>
      <c r="AD976" s="19"/>
      <c r="AE976" s="19"/>
      <c r="AF976" s="19"/>
      <c r="AG976" s="19"/>
      <c r="AH976" s="19"/>
      <c r="AI976" s="19"/>
    </row>
    <row r="977" spans="1:35" ht="13.15" x14ac:dyDescent="0.4">
      <c r="A977" s="19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  <c r="AA977" s="19"/>
      <c r="AB977" s="19"/>
      <c r="AC977" s="19"/>
      <c r="AD977" s="19"/>
      <c r="AE977" s="19"/>
      <c r="AF977" s="19"/>
      <c r="AG977" s="19"/>
      <c r="AH977" s="19"/>
      <c r="AI977" s="19"/>
    </row>
    <row r="978" spans="1:35" ht="13.15" x14ac:dyDescent="0.4">
      <c r="A978" s="19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  <c r="AA978" s="19"/>
      <c r="AB978" s="19"/>
      <c r="AC978" s="19"/>
      <c r="AD978" s="19"/>
      <c r="AE978" s="19"/>
      <c r="AF978" s="19"/>
      <c r="AG978" s="19"/>
      <c r="AH978" s="19"/>
      <c r="AI978" s="19"/>
    </row>
    <row r="979" spans="1:35" ht="13.15" x14ac:dyDescent="0.4">
      <c r="A979" s="19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  <c r="AA979" s="19"/>
      <c r="AB979" s="19"/>
      <c r="AC979" s="19"/>
      <c r="AD979" s="19"/>
      <c r="AE979" s="19"/>
      <c r="AF979" s="19"/>
      <c r="AG979" s="19"/>
      <c r="AH979" s="19"/>
      <c r="AI979" s="19"/>
    </row>
    <row r="980" spans="1:35" ht="13.15" x14ac:dyDescent="0.4">
      <c r="A980" s="19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  <c r="AA980" s="19"/>
      <c r="AB980" s="19"/>
      <c r="AC980" s="19"/>
      <c r="AD980" s="19"/>
      <c r="AE980" s="19"/>
      <c r="AF980" s="19"/>
      <c r="AG980" s="19"/>
      <c r="AH980" s="19"/>
      <c r="AI980" s="19"/>
    </row>
    <row r="981" spans="1:35" ht="13.15" x14ac:dyDescent="0.4">
      <c r="A981" s="19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  <c r="AA981" s="19"/>
      <c r="AB981" s="19"/>
      <c r="AC981" s="19"/>
      <c r="AD981" s="19"/>
      <c r="AE981" s="19"/>
      <c r="AF981" s="19"/>
      <c r="AG981" s="19"/>
      <c r="AH981" s="19"/>
      <c r="AI981" s="19"/>
    </row>
    <row r="982" spans="1:35" ht="13.15" x14ac:dyDescent="0.4">
      <c r="A982" s="19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  <c r="AA982" s="19"/>
      <c r="AB982" s="19"/>
      <c r="AC982" s="19"/>
      <c r="AD982" s="19"/>
      <c r="AE982" s="19"/>
      <c r="AF982" s="19"/>
      <c r="AG982" s="19"/>
      <c r="AH982" s="19"/>
      <c r="AI982" s="19"/>
    </row>
    <row r="983" spans="1:35" ht="13.15" x14ac:dyDescent="0.4">
      <c r="A983" s="19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  <c r="AA983" s="19"/>
      <c r="AB983" s="19"/>
      <c r="AC983" s="19"/>
      <c r="AD983" s="19"/>
      <c r="AE983" s="19"/>
      <c r="AF983" s="19"/>
      <c r="AG983" s="19"/>
      <c r="AH983" s="19"/>
      <c r="AI983" s="19"/>
    </row>
    <row r="984" spans="1:35" ht="13.15" x14ac:dyDescent="0.4">
      <c r="A984" s="19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  <c r="AA984" s="19"/>
      <c r="AB984" s="19"/>
      <c r="AC984" s="19"/>
      <c r="AD984" s="19"/>
      <c r="AE984" s="19"/>
      <c r="AF984" s="19"/>
      <c r="AG984" s="19"/>
      <c r="AH984" s="19"/>
      <c r="AI984" s="19"/>
    </row>
    <row r="985" spans="1:35" ht="13.15" x14ac:dyDescent="0.4">
      <c r="A985" s="19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  <c r="AA985" s="19"/>
      <c r="AB985" s="19"/>
      <c r="AC985" s="19"/>
      <c r="AD985" s="19"/>
      <c r="AE985" s="19"/>
      <c r="AF985" s="19"/>
      <c r="AG985" s="19"/>
      <c r="AH985" s="19"/>
      <c r="AI985" s="19"/>
    </row>
    <row r="986" spans="1:35" ht="13.15" x14ac:dyDescent="0.4">
      <c r="A986" s="19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  <c r="AA986" s="19"/>
      <c r="AB986" s="19"/>
      <c r="AC986" s="19"/>
      <c r="AD986" s="19"/>
      <c r="AE986" s="19"/>
      <c r="AF986" s="19"/>
      <c r="AG986" s="19"/>
      <c r="AH986" s="19"/>
      <c r="AI986" s="19"/>
    </row>
    <row r="987" spans="1:35" ht="13.15" x14ac:dyDescent="0.4">
      <c r="A987" s="19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  <c r="AA987" s="19"/>
      <c r="AB987" s="19"/>
      <c r="AC987" s="19"/>
      <c r="AD987" s="19"/>
      <c r="AE987" s="19"/>
      <c r="AF987" s="19"/>
      <c r="AG987" s="19"/>
      <c r="AH987" s="19"/>
      <c r="AI987" s="19"/>
    </row>
    <row r="988" spans="1:35" ht="13.15" x14ac:dyDescent="0.4">
      <c r="A988" s="19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  <c r="AA988" s="19"/>
      <c r="AB988" s="19"/>
      <c r="AC988" s="19"/>
      <c r="AD988" s="19"/>
      <c r="AE988" s="19"/>
      <c r="AF988" s="19"/>
      <c r="AG988" s="19"/>
      <c r="AH988" s="19"/>
      <c r="AI988" s="19"/>
    </row>
    <row r="989" spans="1:35" ht="13.15" x14ac:dyDescent="0.4">
      <c r="A989" s="19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  <c r="AA989" s="19"/>
      <c r="AB989" s="19"/>
      <c r="AC989" s="19"/>
      <c r="AD989" s="19"/>
      <c r="AE989" s="19"/>
      <c r="AF989" s="19"/>
      <c r="AG989" s="19"/>
      <c r="AH989" s="19"/>
      <c r="AI989" s="19"/>
    </row>
    <row r="990" spans="1:35" ht="13.15" x14ac:dyDescent="0.4">
      <c r="A990" s="19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  <c r="AA990" s="19"/>
      <c r="AB990" s="19"/>
      <c r="AC990" s="19"/>
      <c r="AD990" s="19"/>
      <c r="AE990" s="19"/>
      <c r="AF990" s="19"/>
      <c r="AG990" s="19"/>
      <c r="AH990" s="19"/>
      <c r="AI990" s="19"/>
    </row>
    <row r="991" spans="1:35" ht="13.15" x14ac:dyDescent="0.4">
      <c r="A991" s="19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  <c r="AA991" s="19"/>
      <c r="AB991" s="19"/>
      <c r="AC991" s="19"/>
      <c r="AD991" s="19"/>
      <c r="AE991" s="19"/>
      <c r="AF991" s="19"/>
      <c r="AG991" s="19"/>
      <c r="AH991" s="19"/>
      <c r="AI991" s="19"/>
    </row>
    <row r="992" spans="1:35" ht="13.15" x14ac:dyDescent="0.4">
      <c r="A992" s="19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  <c r="AA992" s="19"/>
      <c r="AB992" s="19"/>
      <c r="AC992" s="19"/>
      <c r="AD992" s="19"/>
      <c r="AE992" s="19"/>
      <c r="AF992" s="19"/>
      <c r="AG992" s="19"/>
      <c r="AH992" s="19"/>
      <c r="AI992" s="19"/>
    </row>
    <row r="993" spans="1:35" ht="13.15" x14ac:dyDescent="0.4">
      <c r="A993" s="19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  <c r="AA993" s="19"/>
      <c r="AB993" s="19"/>
      <c r="AC993" s="19"/>
      <c r="AD993" s="19"/>
      <c r="AE993" s="19"/>
      <c r="AF993" s="19"/>
      <c r="AG993" s="19"/>
      <c r="AH993" s="19"/>
      <c r="AI993" s="19"/>
    </row>
    <row r="994" spans="1:35" ht="13.15" x14ac:dyDescent="0.4">
      <c r="A994" s="19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  <c r="AA994" s="19"/>
      <c r="AB994" s="19"/>
      <c r="AC994" s="19"/>
      <c r="AD994" s="19"/>
      <c r="AE994" s="19"/>
      <c r="AF994" s="19"/>
      <c r="AG994" s="19"/>
      <c r="AH994" s="19"/>
      <c r="AI994" s="19"/>
    </row>
    <row r="995" spans="1:35" ht="13.15" x14ac:dyDescent="0.4">
      <c r="A995" s="19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  <c r="AA995" s="19"/>
      <c r="AB995" s="19"/>
      <c r="AC995" s="19"/>
      <c r="AD995" s="19"/>
      <c r="AE995" s="19"/>
      <c r="AF995" s="19"/>
      <c r="AG995" s="19"/>
      <c r="AH995" s="19"/>
      <c r="AI995" s="19"/>
    </row>
    <row r="996" spans="1:35" ht="13.15" x14ac:dyDescent="0.4">
      <c r="A996" s="19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  <c r="AA996" s="19"/>
      <c r="AB996" s="19"/>
      <c r="AC996" s="19"/>
      <c r="AD996" s="19"/>
      <c r="AE996" s="19"/>
      <c r="AF996" s="19"/>
      <c r="AG996" s="19"/>
      <c r="AH996" s="19"/>
      <c r="AI996" s="19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</sheetPr>
  <dimension ref="A1:AE1000"/>
  <sheetViews>
    <sheetView workbookViewId="0">
      <pane ySplit="1" topLeftCell="A2" activePane="bottomLeft" state="frozen"/>
      <selection pane="bottomLeft" activeCell="B3" sqref="B3"/>
    </sheetView>
  </sheetViews>
  <sheetFormatPr defaultColWidth="12.59765625" defaultRowHeight="15.75" customHeight="1" x14ac:dyDescent="0.35"/>
  <cols>
    <col min="6" max="6" width="19" customWidth="1"/>
    <col min="7" max="7" width="18.1328125" customWidth="1"/>
    <col min="8" max="8" width="17.86328125" customWidth="1"/>
  </cols>
  <sheetData>
    <row r="1" spans="1:31" ht="15.75" customHeight="1" x14ac:dyDescent="0.4">
      <c r="A1" s="18"/>
      <c r="B1" s="18"/>
      <c r="C1" s="18"/>
      <c r="D1" s="18"/>
      <c r="E1" s="18" t="s">
        <v>0</v>
      </c>
      <c r="F1" s="18" t="s">
        <v>4</v>
      </c>
      <c r="G1" s="18" t="s">
        <v>5</v>
      </c>
      <c r="H1" s="18" t="s">
        <v>6</v>
      </c>
      <c r="I1" s="18" t="s">
        <v>7</v>
      </c>
      <c r="J1" s="18" t="s">
        <v>8</v>
      </c>
      <c r="K1" s="18" t="s">
        <v>9</v>
      </c>
      <c r="L1" s="18" t="s">
        <v>10</v>
      </c>
      <c r="M1" s="18" t="s">
        <v>11</v>
      </c>
      <c r="N1" s="18" t="s">
        <v>12</v>
      </c>
      <c r="O1" s="18" t="s">
        <v>13</v>
      </c>
      <c r="P1" s="18" t="s">
        <v>14</v>
      </c>
      <c r="Q1" s="18" t="s">
        <v>15</v>
      </c>
      <c r="R1" s="18" t="s">
        <v>16</v>
      </c>
      <c r="S1" s="18" t="s">
        <v>74</v>
      </c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</row>
    <row r="2" spans="1:31" ht="15.75" customHeight="1" x14ac:dyDescent="0.4">
      <c r="A2" s="20" t="s">
        <v>3</v>
      </c>
      <c r="B2" s="20" t="s">
        <v>1</v>
      </c>
      <c r="C2" s="19"/>
      <c r="D2" s="19"/>
      <c r="E2" s="19" t="s">
        <v>28</v>
      </c>
      <c r="F2" s="19" t="s">
        <v>92</v>
      </c>
      <c r="G2" s="19" t="s">
        <v>389</v>
      </c>
      <c r="H2" s="19" t="s">
        <v>390</v>
      </c>
      <c r="I2" s="21">
        <v>45355</v>
      </c>
      <c r="J2" s="21">
        <v>45359</v>
      </c>
      <c r="K2" s="19" t="s">
        <v>85</v>
      </c>
      <c r="L2" s="19" t="s">
        <v>94</v>
      </c>
      <c r="M2" s="19" t="s">
        <v>80</v>
      </c>
      <c r="N2" s="19">
        <v>6</v>
      </c>
      <c r="O2" s="19" t="s">
        <v>97</v>
      </c>
      <c r="P2" s="19">
        <v>2</v>
      </c>
      <c r="Q2" s="19">
        <v>2</v>
      </c>
      <c r="R2" s="19">
        <v>2</v>
      </c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</row>
    <row r="3" spans="1:31" ht="15.75" customHeight="1" x14ac:dyDescent="0.4">
      <c r="A3" s="19" t="s">
        <v>71</v>
      </c>
      <c r="B3" s="19">
        <f>COUNTIF($H$2:$H1000,"Cleotha Johnigan")</f>
        <v>11</v>
      </c>
      <c r="C3" s="19"/>
      <c r="D3" s="19"/>
      <c r="E3" s="19" t="s">
        <v>28</v>
      </c>
      <c r="F3" s="19" t="s">
        <v>89</v>
      </c>
      <c r="G3" s="19" t="s">
        <v>391</v>
      </c>
      <c r="H3" s="19" t="s">
        <v>390</v>
      </c>
      <c r="I3" s="21">
        <v>45355</v>
      </c>
      <c r="J3" s="21">
        <v>45359</v>
      </c>
      <c r="K3" s="19" t="s">
        <v>85</v>
      </c>
      <c r="L3" s="19"/>
      <c r="M3" s="19"/>
      <c r="N3" s="19">
        <v>6</v>
      </c>
      <c r="O3" s="19" t="s">
        <v>97</v>
      </c>
      <c r="P3" s="19">
        <v>2</v>
      </c>
      <c r="Q3" s="19">
        <v>2</v>
      </c>
      <c r="R3" s="19">
        <v>2</v>
      </c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</row>
    <row r="4" spans="1:31" ht="15.75" customHeight="1" x14ac:dyDescent="0.4">
      <c r="A4" s="19" t="s">
        <v>72</v>
      </c>
      <c r="B4" s="19">
        <f>COUNTIF($H$2:$H1000,"Francine Pewee")</f>
        <v>5</v>
      </c>
      <c r="C4" s="19"/>
      <c r="D4" s="19"/>
      <c r="E4" s="19" t="s">
        <v>28</v>
      </c>
      <c r="F4" s="19" t="s">
        <v>209</v>
      </c>
      <c r="G4" s="19" t="s">
        <v>392</v>
      </c>
      <c r="H4" s="19" t="s">
        <v>390</v>
      </c>
      <c r="I4" s="21">
        <v>45355</v>
      </c>
      <c r="J4" s="21">
        <v>45359</v>
      </c>
      <c r="K4" s="19" t="s">
        <v>85</v>
      </c>
      <c r="L4" s="19" t="s">
        <v>99</v>
      </c>
      <c r="M4" s="19" t="s">
        <v>108</v>
      </c>
      <c r="N4" s="19">
        <v>7</v>
      </c>
      <c r="O4" s="19" t="s">
        <v>97</v>
      </c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</row>
    <row r="5" spans="1:31" ht="15.75" customHeight="1" x14ac:dyDescent="0.4">
      <c r="A5" s="19" t="s">
        <v>73</v>
      </c>
      <c r="B5" s="19">
        <f>COUNTIF($H$2:$H1000,"Kylon Wishom")</f>
        <v>10</v>
      </c>
      <c r="C5" s="19"/>
      <c r="D5" s="19"/>
      <c r="E5" s="19" t="s">
        <v>28</v>
      </c>
      <c r="F5" s="19" t="s">
        <v>92</v>
      </c>
      <c r="G5" s="19" t="s">
        <v>393</v>
      </c>
      <c r="H5" s="19" t="s">
        <v>390</v>
      </c>
      <c r="I5" s="21">
        <v>45357</v>
      </c>
      <c r="J5" s="21">
        <v>45359</v>
      </c>
      <c r="K5" s="19" t="s">
        <v>85</v>
      </c>
      <c r="L5" s="19" t="s">
        <v>115</v>
      </c>
      <c r="M5" s="19" t="s">
        <v>108</v>
      </c>
      <c r="N5" s="19">
        <v>7.5</v>
      </c>
      <c r="O5" s="19" t="s">
        <v>97</v>
      </c>
      <c r="P5" s="19">
        <v>2</v>
      </c>
      <c r="Q5" s="19">
        <v>3</v>
      </c>
      <c r="R5" s="19">
        <v>2.5</v>
      </c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</row>
    <row r="6" spans="1:31" ht="15.75" customHeight="1" x14ac:dyDescent="0.4">
      <c r="A6" s="18" t="s">
        <v>29</v>
      </c>
      <c r="B6" s="18">
        <f>SUM(B3:B5)</f>
        <v>26</v>
      </c>
      <c r="C6" s="19"/>
      <c r="D6" s="19"/>
      <c r="E6" s="19" t="s">
        <v>28</v>
      </c>
      <c r="F6" s="19" t="s">
        <v>92</v>
      </c>
      <c r="G6" s="19" t="s">
        <v>394</v>
      </c>
      <c r="H6" s="19" t="s">
        <v>390</v>
      </c>
      <c r="I6" s="21">
        <v>45358</v>
      </c>
      <c r="J6" s="21">
        <v>45359</v>
      </c>
      <c r="K6" s="19" t="s">
        <v>85</v>
      </c>
      <c r="L6" s="19" t="s">
        <v>115</v>
      </c>
      <c r="M6" s="19" t="s">
        <v>119</v>
      </c>
      <c r="N6" s="19">
        <v>7</v>
      </c>
      <c r="O6" s="19" t="s">
        <v>97</v>
      </c>
      <c r="P6" s="19">
        <v>2</v>
      </c>
      <c r="Q6" s="19">
        <v>2.5</v>
      </c>
      <c r="R6" s="19">
        <v>2.5</v>
      </c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</row>
    <row r="7" spans="1:31" ht="15.75" customHeight="1" x14ac:dyDescent="0.4">
      <c r="A7" s="19"/>
      <c r="B7" s="19"/>
      <c r="C7" s="19"/>
      <c r="D7" s="19"/>
      <c r="E7" s="19" t="s">
        <v>28</v>
      </c>
      <c r="F7" s="19" t="s">
        <v>92</v>
      </c>
      <c r="G7" s="19" t="s">
        <v>395</v>
      </c>
      <c r="H7" s="19" t="s">
        <v>390</v>
      </c>
      <c r="I7" s="21">
        <v>45358</v>
      </c>
      <c r="J7" s="21">
        <v>45359</v>
      </c>
      <c r="K7" s="19" t="s">
        <v>85</v>
      </c>
      <c r="L7" s="19" t="s">
        <v>115</v>
      </c>
      <c r="M7" s="19" t="s">
        <v>108</v>
      </c>
      <c r="N7" s="19">
        <v>7.5</v>
      </c>
      <c r="O7" s="19" t="s">
        <v>97</v>
      </c>
      <c r="P7" s="19">
        <v>2</v>
      </c>
      <c r="Q7" s="19">
        <v>3</v>
      </c>
      <c r="R7" s="19">
        <v>2.5</v>
      </c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</row>
    <row r="8" spans="1:31" ht="15.75" customHeight="1" x14ac:dyDescent="0.4">
      <c r="A8" s="19"/>
      <c r="B8" s="19"/>
      <c r="C8" s="19"/>
      <c r="D8" s="19"/>
      <c r="E8" s="19" t="s">
        <v>28</v>
      </c>
      <c r="F8" s="19" t="s">
        <v>75</v>
      </c>
      <c r="G8" s="19" t="s">
        <v>396</v>
      </c>
      <c r="H8" s="19" t="s">
        <v>390</v>
      </c>
      <c r="I8" s="21">
        <v>45358</v>
      </c>
      <c r="J8" s="21">
        <v>45359</v>
      </c>
      <c r="K8" s="19" t="s">
        <v>85</v>
      </c>
      <c r="L8" s="19" t="s">
        <v>79</v>
      </c>
      <c r="M8" s="19" t="s">
        <v>80</v>
      </c>
      <c r="N8" s="19">
        <v>7.5</v>
      </c>
      <c r="O8" s="19" t="s">
        <v>97</v>
      </c>
      <c r="P8" s="19">
        <v>1</v>
      </c>
      <c r="Q8" s="19">
        <v>2.5</v>
      </c>
      <c r="R8" s="19">
        <v>2.5</v>
      </c>
      <c r="S8" s="19">
        <v>1.5</v>
      </c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</row>
    <row r="9" spans="1:31" ht="15.75" customHeight="1" x14ac:dyDescent="0.4">
      <c r="A9" s="20" t="s">
        <v>13</v>
      </c>
      <c r="B9" s="20" t="s">
        <v>104</v>
      </c>
      <c r="C9" s="20" t="s">
        <v>105</v>
      </c>
      <c r="D9" s="19"/>
      <c r="E9" s="19" t="s">
        <v>28</v>
      </c>
      <c r="F9" s="19" t="s">
        <v>75</v>
      </c>
      <c r="G9" s="19" t="s">
        <v>397</v>
      </c>
      <c r="H9" s="19" t="s">
        <v>390</v>
      </c>
      <c r="I9" s="21">
        <v>45358</v>
      </c>
      <c r="J9" s="21"/>
      <c r="K9" s="19" t="s">
        <v>85</v>
      </c>
      <c r="L9" s="19" t="s">
        <v>113</v>
      </c>
      <c r="M9" s="19" t="s">
        <v>80</v>
      </c>
      <c r="N9" s="19">
        <v>6.5</v>
      </c>
      <c r="O9" s="19" t="s">
        <v>97</v>
      </c>
      <c r="P9" s="19">
        <v>1</v>
      </c>
      <c r="Q9" s="19">
        <v>2</v>
      </c>
      <c r="R9" s="19">
        <v>2</v>
      </c>
      <c r="S9" s="19">
        <v>1.5</v>
      </c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</row>
    <row r="10" spans="1:31" ht="15.75" customHeight="1" x14ac:dyDescent="0.4">
      <c r="A10" s="19" t="s">
        <v>109</v>
      </c>
      <c r="B10" s="22">
        <f>C10/B6</f>
        <v>0.92307692307692313</v>
      </c>
      <c r="C10" s="19">
        <f>(COUNTIF($O$2:$O1000,"Proficient I"))+(COUNTIF($O$2:$O1000,"Proficient II"))+(COUNTIF($O$2:$O1000,"Exemplary"))</f>
        <v>24</v>
      </c>
      <c r="D10" s="19"/>
      <c r="E10" s="19" t="s">
        <v>28</v>
      </c>
      <c r="F10" s="19" t="s">
        <v>92</v>
      </c>
      <c r="G10" s="19" t="s">
        <v>398</v>
      </c>
      <c r="H10" s="19" t="s">
        <v>390</v>
      </c>
      <c r="I10" s="21">
        <v>45359</v>
      </c>
      <c r="J10" s="21"/>
      <c r="K10" s="19" t="s">
        <v>85</v>
      </c>
      <c r="L10" s="19" t="s">
        <v>99</v>
      </c>
      <c r="M10" s="19" t="s">
        <v>119</v>
      </c>
      <c r="N10" s="19">
        <v>6.5</v>
      </c>
      <c r="O10" s="19" t="s">
        <v>97</v>
      </c>
      <c r="P10" s="19">
        <v>2</v>
      </c>
      <c r="Q10" s="19">
        <v>2.5</v>
      </c>
      <c r="R10" s="19">
        <v>2</v>
      </c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</row>
    <row r="11" spans="1:31" ht="15.75" customHeight="1" x14ac:dyDescent="0.4">
      <c r="A11" s="19" t="s">
        <v>111</v>
      </c>
      <c r="B11" s="22">
        <f>C11/B6</f>
        <v>7.6923076923076927E-2</v>
      </c>
      <c r="C11" s="19">
        <f>(COUNTIF($O$2:$O1000,"Unsatisfactory"))+(COUNTIF($O$2:$O1000,"Progressing"))</f>
        <v>2</v>
      </c>
      <c r="D11" s="19"/>
      <c r="E11" s="19" t="s">
        <v>28</v>
      </c>
      <c r="F11" s="19" t="s">
        <v>75</v>
      </c>
      <c r="G11" s="19" t="s">
        <v>399</v>
      </c>
      <c r="H11" s="19" t="s">
        <v>390</v>
      </c>
      <c r="I11" s="21">
        <v>45359</v>
      </c>
      <c r="J11" s="21"/>
      <c r="K11" s="19" t="s">
        <v>85</v>
      </c>
      <c r="L11" s="19" t="s">
        <v>88</v>
      </c>
      <c r="M11" s="19" t="s">
        <v>80</v>
      </c>
      <c r="N11" s="19">
        <v>7.5</v>
      </c>
      <c r="O11" s="19" t="s">
        <v>97</v>
      </c>
      <c r="P11" s="19">
        <v>1</v>
      </c>
      <c r="Q11" s="19">
        <v>2.5</v>
      </c>
      <c r="R11" s="19">
        <v>3</v>
      </c>
      <c r="S11" s="19">
        <v>1</v>
      </c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</row>
    <row r="12" spans="1:31" ht="15.75" customHeight="1" x14ac:dyDescent="0.4">
      <c r="A12" s="19"/>
      <c r="B12" s="19"/>
      <c r="C12" s="19"/>
      <c r="D12" s="19"/>
      <c r="E12" s="19" t="s">
        <v>28</v>
      </c>
      <c r="F12" s="19" t="s">
        <v>209</v>
      </c>
      <c r="G12" s="19" t="s">
        <v>391</v>
      </c>
      <c r="H12" s="19" t="s">
        <v>390</v>
      </c>
      <c r="I12" s="21">
        <v>45359</v>
      </c>
      <c r="J12" s="21">
        <v>45359</v>
      </c>
      <c r="K12" s="19" t="s">
        <v>85</v>
      </c>
      <c r="L12" s="19" t="s">
        <v>79</v>
      </c>
      <c r="M12" s="19" t="s">
        <v>80</v>
      </c>
      <c r="N12" s="19">
        <v>6</v>
      </c>
      <c r="O12" s="19" t="s">
        <v>97</v>
      </c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</row>
    <row r="13" spans="1:31" ht="15.75" customHeight="1" x14ac:dyDescent="0.4">
      <c r="A13" s="19"/>
      <c r="B13" s="19"/>
      <c r="C13" s="19"/>
      <c r="D13" s="19"/>
      <c r="E13" s="19" t="s">
        <v>28</v>
      </c>
      <c r="F13" s="19" t="s">
        <v>92</v>
      </c>
      <c r="G13" s="19" t="s">
        <v>400</v>
      </c>
      <c r="H13" s="19" t="s">
        <v>401</v>
      </c>
      <c r="I13" s="21">
        <v>45355</v>
      </c>
      <c r="J13" s="21"/>
      <c r="K13" s="19" t="s">
        <v>85</v>
      </c>
      <c r="L13" s="19" t="s">
        <v>94</v>
      </c>
      <c r="M13" s="19" t="s">
        <v>95</v>
      </c>
      <c r="N13" s="19">
        <v>6.5</v>
      </c>
      <c r="O13" s="19" t="s">
        <v>97</v>
      </c>
      <c r="P13" s="19">
        <v>2</v>
      </c>
      <c r="Q13" s="19">
        <v>2.5</v>
      </c>
      <c r="R13" s="19">
        <v>2</v>
      </c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</row>
    <row r="14" spans="1:31" ht="15.75" customHeight="1" x14ac:dyDescent="0.4">
      <c r="A14" s="19"/>
      <c r="B14" s="19"/>
      <c r="C14" s="19"/>
      <c r="D14" s="19"/>
      <c r="E14" s="19" t="s">
        <v>28</v>
      </c>
      <c r="F14" s="19" t="s">
        <v>92</v>
      </c>
      <c r="G14" s="19" t="s">
        <v>389</v>
      </c>
      <c r="H14" s="19" t="s">
        <v>401</v>
      </c>
      <c r="I14" s="21">
        <v>45355</v>
      </c>
      <c r="J14" s="21">
        <v>45359</v>
      </c>
      <c r="K14" s="19" t="s">
        <v>85</v>
      </c>
      <c r="L14" s="19" t="s">
        <v>94</v>
      </c>
      <c r="M14" s="19" t="s">
        <v>80</v>
      </c>
      <c r="N14" s="19">
        <v>6.5</v>
      </c>
      <c r="O14" s="19" t="s">
        <v>97</v>
      </c>
      <c r="P14" s="19">
        <v>2</v>
      </c>
      <c r="Q14" s="19">
        <v>2.5</v>
      </c>
      <c r="R14" s="19">
        <v>2</v>
      </c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</row>
    <row r="15" spans="1:31" ht="15.75" customHeight="1" x14ac:dyDescent="0.4">
      <c r="A15" s="19"/>
      <c r="B15" s="19"/>
      <c r="C15" s="19"/>
      <c r="D15" s="19"/>
      <c r="E15" s="19" t="s">
        <v>28</v>
      </c>
      <c r="F15" s="19" t="s">
        <v>75</v>
      </c>
      <c r="G15" s="19" t="s">
        <v>402</v>
      </c>
      <c r="H15" s="19" t="s">
        <v>401</v>
      </c>
      <c r="I15" s="21">
        <v>45355</v>
      </c>
      <c r="J15" s="21"/>
      <c r="K15" s="19" t="s">
        <v>85</v>
      </c>
      <c r="L15" s="19" t="s">
        <v>115</v>
      </c>
      <c r="M15" s="19" t="s">
        <v>95</v>
      </c>
      <c r="N15" s="19">
        <v>7</v>
      </c>
      <c r="O15" s="19" t="s">
        <v>97</v>
      </c>
      <c r="P15" s="19">
        <v>1</v>
      </c>
      <c r="Q15" s="19">
        <v>2</v>
      </c>
      <c r="R15" s="19">
        <v>2</v>
      </c>
      <c r="S15" s="19">
        <v>2</v>
      </c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</row>
    <row r="16" spans="1:31" ht="15.75" customHeight="1" x14ac:dyDescent="0.4">
      <c r="A16" s="19"/>
      <c r="B16" s="19"/>
      <c r="C16" s="19"/>
      <c r="D16" s="19"/>
      <c r="E16" s="19" t="s">
        <v>28</v>
      </c>
      <c r="F16" s="19" t="s">
        <v>75</v>
      </c>
      <c r="G16" s="19" t="s">
        <v>403</v>
      </c>
      <c r="H16" s="19" t="s">
        <v>401</v>
      </c>
      <c r="I16" s="21">
        <v>45355</v>
      </c>
      <c r="J16" s="21"/>
      <c r="K16" s="19" t="s">
        <v>78</v>
      </c>
      <c r="L16" s="19" t="s">
        <v>107</v>
      </c>
      <c r="M16" s="19" t="s">
        <v>95</v>
      </c>
      <c r="N16" s="19">
        <v>6.5</v>
      </c>
      <c r="O16" s="19" t="s">
        <v>97</v>
      </c>
      <c r="P16" s="19">
        <v>1</v>
      </c>
      <c r="Q16" s="19">
        <v>2.5</v>
      </c>
      <c r="R16" s="19">
        <v>2.5</v>
      </c>
      <c r="S16" s="19">
        <v>0.5</v>
      </c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</row>
    <row r="17" spans="1:31" ht="15.75" customHeight="1" x14ac:dyDescent="0.4">
      <c r="A17" s="19"/>
      <c r="B17" s="19"/>
      <c r="C17" s="19"/>
      <c r="D17" s="19"/>
      <c r="E17" s="19" t="s">
        <v>28</v>
      </c>
      <c r="F17" s="19" t="s">
        <v>75</v>
      </c>
      <c r="G17" s="19" t="s">
        <v>397</v>
      </c>
      <c r="H17" s="19" t="s">
        <v>401</v>
      </c>
      <c r="I17" s="21">
        <v>45355</v>
      </c>
      <c r="J17" s="21"/>
      <c r="K17" s="19" t="s">
        <v>85</v>
      </c>
      <c r="L17" s="19" t="s">
        <v>107</v>
      </c>
      <c r="M17" s="19" t="s">
        <v>80</v>
      </c>
      <c r="N17" s="19">
        <v>5</v>
      </c>
      <c r="O17" s="19" t="s">
        <v>81</v>
      </c>
      <c r="P17" s="19">
        <v>1</v>
      </c>
      <c r="Q17" s="19">
        <v>1.5</v>
      </c>
      <c r="R17" s="19">
        <v>1.5</v>
      </c>
      <c r="S17" s="19">
        <v>1</v>
      </c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</row>
    <row r="18" spans="1:31" ht="15.75" customHeight="1" x14ac:dyDescent="0.4">
      <c r="A18" s="19"/>
      <c r="B18" s="19"/>
      <c r="C18" s="19"/>
      <c r="D18" s="19"/>
      <c r="E18" s="19" t="s">
        <v>28</v>
      </c>
      <c r="F18" s="19" t="s">
        <v>92</v>
      </c>
      <c r="G18" s="19" t="s">
        <v>404</v>
      </c>
      <c r="H18" s="19" t="s">
        <v>405</v>
      </c>
      <c r="I18" s="21">
        <v>45355</v>
      </c>
      <c r="J18" s="21">
        <v>45355</v>
      </c>
      <c r="K18" s="19" t="s">
        <v>85</v>
      </c>
      <c r="L18" s="19" t="s">
        <v>99</v>
      </c>
      <c r="M18" s="19" t="s">
        <v>119</v>
      </c>
      <c r="N18" s="19">
        <v>7</v>
      </c>
      <c r="O18" s="19" t="s">
        <v>97</v>
      </c>
      <c r="P18" s="19">
        <v>2</v>
      </c>
      <c r="Q18" s="19">
        <v>2</v>
      </c>
      <c r="R18" s="19">
        <v>3</v>
      </c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</row>
    <row r="19" spans="1:31" ht="15.75" customHeight="1" x14ac:dyDescent="0.4">
      <c r="A19" s="19"/>
      <c r="B19" s="19"/>
      <c r="C19" s="19"/>
      <c r="D19" s="19"/>
      <c r="E19" s="19" t="s">
        <v>28</v>
      </c>
      <c r="F19" s="19" t="s">
        <v>75</v>
      </c>
      <c r="G19" s="19" t="s">
        <v>396</v>
      </c>
      <c r="H19" s="19" t="s">
        <v>405</v>
      </c>
      <c r="I19" s="21">
        <v>45355</v>
      </c>
      <c r="J19" s="21">
        <v>45355</v>
      </c>
      <c r="K19" s="19" t="s">
        <v>85</v>
      </c>
      <c r="L19" s="19" t="s">
        <v>79</v>
      </c>
      <c r="M19" s="19" t="s">
        <v>80</v>
      </c>
      <c r="N19" s="19">
        <v>8</v>
      </c>
      <c r="O19" s="19" t="s">
        <v>91</v>
      </c>
      <c r="P19" s="19">
        <v>1</v>
      </c>
      <c r="Q19" s="19">
        <v>2.5</v>
      </c>
      <c r="R19" s="19">
        <v>3</v>
      </c>
      <c r="S19" s="19">
        <v>1.5</v>
      </c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</row>
    <row r="20" spans="1:31" ht="15.75" customHeight="1" x14ac:dyDescent="0.4">
      <c r="A20" s="19"/>
      <c r="B20" s="19"/>
      <c r="C20" s="19"/>
      <c r="D20" s="19"/>
      <c r="E20" s="19" t="s">
        <v>28</v>
      </c>
      <c r="F20" s="19" t="s">
        <v>210</v>
      </c>
      <c r="G20" s="19" t="s">
        <v>406</v>
      </c>
      <c r="H20" s="19" t="s">
        <v>405</v>
      </c>
      <c r="I20" s="21">
        <v>45355</v>
      </c>
      <c r="J20" s="21">
        <v>45356</v>
      </c>
      <c r="K20" s="19" t="s">
        <v>78</v>
      </c>
      <c r="L20" s="19" t="s">
        <v>79</v>
      </c>
      <c r="M20" s="19" t="s">
        <v>223</v>
      </c>
      <c r="N20" s="19">
        <v>6</v>
      </c>
      <c r="O20" s="19" t="s">
        <v>97</v>
      </c>
      <c r="P20" s="19">
        <v>2</v>
      </c>
      <c r="Q20" s="19">
        <v>2</v>
      </c>
      <c r="R20" s="19">
        <v>2</v>
      </c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</row>
    <row r="21" spans="1:31" ht="15.75" customHeight="1" x14ac:dyDescent="0.4">
      <c r="A21" s="19"/>
      <c r="B21" s="19"/>
      <c r="C21" s="19"/>
      <c r="D21" s="19"/>
      <c r="E21" s="19" t="s">
        <v>28</v>
      </c>
      <c r="F21" s="19" t="s">
        <v>92</v>
      </c>
      <c r="G21" s="19" t="s">
        <v>407</v>
      </c>
      <c r="H21" s="19" t="s">
        <v>405</v>
      </c>
      <c r="I21" s="21">
        <v>45356</v>
      </c>
      <c r="J21" s="21">
        <v>45356</v>
      </c>
      <c r="K21" s="19" t="s">
        <v>78</v>
      </c>
      <c r="L21" s="19" t="s">
        <v>113</v>
      </c>
      <c r="M21" s="19" t="s">
        <v>119</v>
      </c>
      <c r="N21" s="19">
        <v>8</v>
      </c>
      <c r="O21" s="19" t="s">
        <v>91</v>
      </c>
      <c r="P21" s="19">
        <v>2</v>
      </c>
      <c r="Q21" s="19">
        <v>3</v>
      </c>
      <c r="R21" s="19">
        <v>3</v>
      </c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</row>
    <row r="22" spans="1:31" ht="15.75" customHeight="1" x14ac:dyDescent="0.4">
      <c r="A22" s="19"/>
      <c r="B22" s="19"/>
      <c r="C22" s="19"/>
      <c r="D22" s="19"/>
      <c r="E22" s="19" t="s">
        <v>28</v>
      </c>
      <c r="F22" s="19" t="s">
        <v>92</v>
      </c>
      <c r="G22" s="19" t="s">
        <v>408</v>
      </c>
      <c r="H22" s="19" t="s">
        <v>405</v>
      </c>
      <c r="I22" s="21">
        <v>45357</v>
      </c>
      <c r="J22" s="21">
        <v>45357</v>
      </c>
      <c r="K22" s="19" t="s">
        <v>85</v>
      </c>
      <c r="L22" s="19" t="s">
        <v>113</v>
      </c>
      <c r="M22" s="19" t="s">
        <v>95</v>
      </c>
      <c r="N22" s="19">
        <v>8</v>
      </c>
      <c r="O22" s="19" t="s">
        <v>91</v>
      </c>
      <c r="P22" s="19">
        <v>2</v>
      </c>
      <c r="Q22" s="19">
        <v>3</v>
      </c>
      <c r="R22" s="19">
        <v>3</v>
      </c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</row>
    <row r="23" spans="1:31" ht="15.75" customHeight="1" x14ac:dyDescent="0.4">
      <c r="A23" s="19"/>
      <c r="B23" s="19"/>
      <c r="C23" s="19"/>
      <c r="D23" s="19"/>
      <c r="E23" s="19" t="s">
        <v>28</v>
      </c>
      <c r="F23" s="19" t="s">
        <v>92</v>
      </c>
      <c r="G23" s="19" t="s">
        <v>409</v>
      </c>
      <c r="H23" s="19" t="s">
        <v>405</v>
      </c>
      <c r="I23" s="21">
        <v>45357</v>
      </c>
      <c r="J23" s="21">
        <v>45357</v>
      </c>
      <c r="K23" s="19" t="s">
        <v>78</v>
      </c>
      <c r="L23" s="19" t="s">
        <v>113</v>
      </c>
      <c r="M23" s="19" t="s">
        <v>108</v>
      </c>
      <c r="N23" s="19">
        <v>8</v>
      </c>
      <c r="O23" s="19" t="s">
        <v>91</v>
      </c>
      <c r="P23" s="19">
        <v>2</v>
      </c>
      <c r="Q23" s="19">
        <v>3</v>
      </c>
      <c r="R23" s="19">
        <v>3</v>
      </c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</row>
    <row r="24" spans="1:31" ht="15.75" customHeight="1" x14ac:dyDescent="0.4">
      <c r="A24" s="19"/>
      <c r="B24" s="19"/>
      <c r="C24" s="19"/>
      <c r="D24" s="19"/>
      <c r="E24" s="19" t="s">
        <v>28</v>
      </c>
      <c r="F24" s="19" t="s">
        <v>92</v>
      </c>
      <c r="G24" s="19" t="s">
        <v>404</v>
      </c>
      <c r="H24" s="19" t="s">
        <v>405</v>
      </c>
      <c r="I24" s="21">
        <v>45358</v>
      </c>
      <c r="J24" s="21">
        <v>45359</v>
      </c>
      <c r="K24" s="19" t="s">
        <v>78</v>
      </c>
      <c r="L24" s="19" t="s">
        <v>88</v>
      </c>
      <c r="M24" s="19" t="s">
        <v>119</v>
      </c>
      <c r="N24" s="19">
        <v>7.5</v>
      </c>
      <c r="O24" s="19" t="s">
        <v>97</v>
      </c>
      <c r="P24" s="19">
        <v>2</v>
      </c>
      <c r="Q24" s="19">
        <v>3</v>
      </c>
      <c r="R24" s="19">
        <v>2.5</v>
      </c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</row>
    <row r="25" spans="1:31" ht="15.75" customHeight="1" x14ac:dyDescent="0.4">
      <c r="A25" s="19"/>
      <c r="B25" s="19"/>
      <c r="C25" s="19"/>
      <c r="D25" s="19"/>
      <c r="E25" s="19" t="s">
        <v>28</v>
      </c>
      <c r="F25" s="19" t="s">
        <v>75</v>
      </c>
      <c r="G25" s="19" t="s">
        <v>410</v>
      </c>
      <c r="H25" s="19" t="s">
        <v>405</v>
      </c>
      <c r="I25" s="21">
        <v>45358</v>
      </c>
      <c r="J25" s="21"/>
      <c r="K25" s="19" t="s">
        <v>85</v>
      </c>
      <c r="L25" s="19" t="s">
        <v>88</v>
      </c>
      <c r="M25" s="19" t="s">
        <v>95</v>
      </c>
      <c r="N25" s="19">
        <v>6</v>
      </c>
      <c r="O25" s="19" t="s">
        <v>97</v>
      </c>
      <c r="P25" s="19">
        <v>1</v>
      </c>
      <c r="Q25" s="19">
        <v>2</v>
      </c>
      <c r="R25" s="19">
        <v>2</v>
      </c>
      <c r="S25" s="19">
        <v>1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</row>
    <row r="26" spans="1:31" ht="15.75" customHeight="1" x14ac:dyDescent="0.4">
      <c r="A26" s="19"/>
      <c r="B26" s="19"/>
      <c r="C26" s="19"/>
      <c r="D26" s="19"/>
      <c r="E26" s="19" t="s">
        <v>28</v>
      </c>
      <c r="F26" s="19" t="s">
        <v>210</v>
      </c>
      <c r="G26" s="19" t="s">
        <v>411</v>
      </c>
      <c r="H26" s="19" t="s">
        <v>405</v>
      </c>
      <c r="I26" s="21">
        <v>45358</v>
      </c>
      <c r="J26" s="21"/>
      <c r="K26" s="19" t="s">
        <v>85</v>
      </c>
      <c r="L26" s="19" t="s">
        <v>138</v>
      </c>
      <c r="M26" s="19" t="s">
        <v>213</v>
      </c>
      <c r="N26" s="19">
        <v>8</v>
      </c>
      <c r="O26" s="19" t="s">
        <v>91</v>
      </c>
      <c r="P26" s="19">
        <v>2</v>
      </c>
      <c r="Q26" s="19">
        <v>3</v>
      </c>
      <c r="R26" s="19">
        <v>3</v>
      </c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</row>
    <row r="27" spans="1:31" ht="15.75" customHeight="1" x14ac:dyDescent="0.4">
      <c r="A27" s="19"/>
      <c r="B27" s="19"/>
      <c r="C27" s="19"/>
      <c r="D27" s="19"/>
      <c r="E27" s="19" t="s">
        <v>28</v>
      </c>
      <c r="F27" s="19" t="s">
        <v>210</v>
      </c>
      <c r="G27" s="19" t="s">
        <v>412</v>
      </c>
      <c r="H27" s="19" t="s">
        <v>405</v>
      </c>
      <c r="I27" s="21">
        <v>45359</v>
      </c>
      <c r="J27" s="21"/>
      <c r="K27" s="19" t="s">
        <v>78</v>
      </c>
      <c r="L27" s="19" t="s">
        <v>99</v>
      </c>
      <c r="M27" s="19" t="s">
        <v>300</v>
      </c>
      <c r="N27" s="19">
        <v>3.5</v>
      </c>
      <c r="O27" s="19" t="s">
        <v>123</v>
      </c>
      <c r="P27" s="19">
        <v>2</v>
      </c>
      <c r="Q27" s="19">
        <v>1</v>
      </c>
      <c r="R27" s="19">
        <v>0.5</v>
      </c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</row>
    <row r="28" spans="1:31" ht="15.75" customHeight="1" x14ac:dyDescent="0.4">
      <c r="A28" s="19"/>
      <c r="B28" s="19"/>
      <c r="C28" s="19"/>
      <c r="D28" s="19"/>
      <c r="E28" s="19"/>
      <c r="F28" s="19"/>
      <c r="G28" s="19"/>
      <c r="H28" s="19"/>
      <c r="I28" s="21"/>
      <c r="J28" s="21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</row>
    <row r="29" spans="1:31" ht="15.75" customHeight="1" x14ac:dyDescent="0.4">
      <c r="A29" s="19"/>
      <c r="B29" s="19"/>
      <c r="C29" s="19"/>
      <c r="D29" s="19"/>
      <c r="E29" s="19"/>
      <c r="F29" s="19"/>
      <c r="G29" s="19"/>
      <c r="H29" s="19"/>
      <c r="I29" s="21"/>
      <c r="J29" s="21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</row>
    <row r="30" spans="1:31" ht="15.75" customHeight="1" x14ac:dyDescent="0.4">
      <c r="A30" s="19"/>
      <c r="B30" s="19"/>
      <c r="C30" s="19"/>
      <c r="D30" s="19"/>
      <c r="E30" s="19"/>
      <c r="F30" s="19"/>
      <c r="G30" s="19"/>
      <c r="H30" s="19"/>
      <c r="I30" s="21"/>
      <c r="J30" s="21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</row>
    <row r="31" spans="1:31" ht="15.75" customHeight="1" x14ac:dyDescent="0.4">
      <c r="A31" s="19"/>
      <c r="B31" s="19"/>
      <c r="C31" s="19"/>
      <c r="D31" s="19"/>
      <c r="E31" s="19"/>
      <c r="F31" s="19"/>
      <c r="G31" s="19"/>
      <c r="H31" s="19"/>
      <c r="I31" s="21"/>
      <c r="J31" s="21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</row>
    <row r="32" spans="1:31" ht="15.75" customHeight="1" x14ac:dyDescent="0.4">
      <c r="A32" s="19"/>
      <c r="B32" s="19"/>
      <c r="C32" s="19"/>
      <c r="D32" s="19"/>
      <c r="E32" s="19"/>
      <c r="F32" s="19"/>
      <c r="G32" s="19"/>
      <c r="H32" s="19"/>
      <c r="I32" s="21"/>
      <c r="J32" s="21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</row>
    <row r="33" spans="1:31" ht="15.75" customHeight="1" x14ac:dyDescent="0.4">
      <c r="A33" s="19"/>
      <c r="B33" s="19"/>
      <c r="C33" s="19"/>
      <c r="D33" s="19"/>
      <c r="E33" s="19"/>
      <c r="F33" s="19"/>
      <c r="G33" s="19"/>
      <c r="H33" s="19"/>
      <c r="I33" s="21"/>
      <c r="J33" s="21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</row>
    <row r="34" spans="1:31" ht="15.75" customHeight="1" x14ac:dyDescent="0.4">
      <c r="A34" s="19"/>
      <c r="B34" s="19"/>
      <c r="C34" s="19"/>
      <c r="D34" s="19"/>
      <c r="E34" s="19"/>
      <c r="F34" s="19"/>
      <c r="G34" s="19"/>
      <c r="H34" s="19"/>
      <c r="I34" s="21"/>
      <c r="J34" s="21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</row>
    <row r="35" spans="1:31" ht="13.15" x14ac:dyDescent="0.4">
      <c r="A35" s="19"/>
      <c r="B35" s="19"/>
      <c r="C35" s="19"/>
      <c r="D35" s="19"/>
      <c r="E35" s="19"/>
      <c r="F35" s="19"/>
      <c r="G35" s="19"/>
      <c r="H35" s="19"/>
      <c r="I35" s="21"/>
      <c r="J35" s="21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</row>
    <row r="36" spans="1:31" ht="13.15" x14ac:dyDescent="0.4">
      <c r="A36" s="19"/>
      <c r="B36" s="19"/>
      <c r="C36" s="19"/>
      <c r="D36" s="19"/>
      <c r="E36" s="19"/>
      <c r="F36" s="19"/>
      <c r="G36" s="19"/>
      <c r="H36" s="19"/>
      <c r="I36" s="21"/>
      <c r="J36" s="21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</row>
    <row r="37" spans="1:31" ht="13.15" x14ac:dyDescent="0.4">
      <c r="A37" s="19"/>
      <c r="B37" s="19"/>
      <c r="C37" s="19"/>
      <c r="D37" s="19"/>
      <c r="E37" s="19"/>
      <c r="F37" s="19"/>
      <c r="G37" s="19"/>
      <c r="H37" s="19"/>
      <c r="I37" s="21"/>
      <c r="J37" s="21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</row>
    <row r="38" spans="1:31" ht="13.15" x14ac:dyDescent="0.4">
      <c r="A38" s="19"/>
      <c r="B38" s="19"/>
      <c r="C38" s="19"/>
      <c r="D38" s="19"/>
      <c r="E38" s="19"/>
      <c r="F38" s="19"/>
      <c r="G38" s="19"/>
      <c r="H38" s="19"/>
      <c r="I38" s="21"/>
      <c r="J38" s="21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</row>
    <row r="39" spans="1:31" ht="13.15" x14ac:dyDescent="0.4">
      <c r="A39" s="19"/>
      <c r="B39" s="19"/>
      <c r="C39" s="19"/>
      <c r="D39" s="19"/>
      <c r="E39" s="19"/>
      <c r="F39" s="19"/>
      <c r="G39" s="19"/>
      <c r="H39" s="19"/>
      <c r="I39" s="21"/>
      <c r="J39" s="21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</row>
    <row r="40" spans="1:31" ht="13.15" x14ac:dyDescent="0.4">
      <c r="A40" s="19"/>
      <c r="B40" s="19"/>
      <c r="C40" s="19"/>
      <c r="D40" s="19"/>
      <c r="E40" s="19"/>
      <c r="F40" s="19"/>
      <c r="G40" s="19"/>
      <c r="H40" s="19"/>
      <c r="I40" s="21"/>
      <c r="J40" s="21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</row>
    <row r="41" spans="1:31" ht="13.15" x14ac:dyDescent="0.4">
      <c r="A41" s="19"/>
      <c r="B41" s="19"/>
      <c r="C41" s="19"/>
      <c r="D41" s="19"/>
      <c r="E41" s="19"/>
      <c r="F41" s="19"/>
      <c r="G41" s="19"/>
      <c r="H41" s="19"/>
      <c r="I41" s="21"/>
      <c r="J41" s="21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</row>
    <row r="42" spans="1:31" ht="13.15" x14ac:dyDescent="0.4">
      <c r="A42" s="19"/>
      <c r="B42" s="19"/>
      <c r="C42" s="19"/>
      <c r="D42" s="19"/>
      <c r="E42" s="19"/>
      <c r="F42" s="19"/>
      <c r="G42" s="19"/>
      <c r="H42" s="19"/>
      <c r="I42" s="21"/>
      <c r="J42" s="21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</row>
    <row r="43" spans="1:31" ht="13.15" x14ac:dyDescent="0.4">
      <c r="A43" s="19"/>
      <c r="B43" s="19"/>
      <c r="C43" s="19"/>
      <c r="D43" s="19"/>
      <c r="E43" s="19"/>
      <c r="F43" s="19"/>
      <c r="G43" s="19"/>
      <c r="H43" s="19"/>
      <c r="I43" s="21"/>
      <c r="J43" s="21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</row>
    <row r="44" spans="1:31" ht="13.15" x14ac:dyDescent="0.4">
      <c r="A44" s="19"/>
      <c r="B44" s="19"/>
      <c r="C44" s="19"/>
      <c r="D44" s="19"/>
      <c r="E44" s="19"/>
      <c r="F44" s="19"/>
      <c r="G44" s="19"/>
      <c r="H44" s="19"/>
      <c r="I44" s="21"/>
      <c r="J44" s="21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</row>
    <row r="45" spans="1:31" ht="13.15" x14ac:dyDescent="0.4">
      <c r="A45" s="19"/>
      <c r="B45" s="19"/>
      <c r="C45" s="19"/>
      <c r="D45" s="19"/>
      <c r="E45" s="19"/>
      <c r="F45" s="19"/>
      <c r="G45" s="19"/>
      <c r="H45" s="19"/>
      <c r="I45" s="21"/>
      <c r="J45" s="21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</row>
    <row r="46" spans="1:31" ht="13.15" x14ac:dyDescent="0.4">
      <c r="A46" s="19"/>
      <c r="B46" s="19"/>
      <c r="C46" s="19"/>
      <c r="D46" s="19"/>
      <c r="E46" s="19"/>
      <c r="F46" s="19"/>
      <c r="G46" s="19"/>
      <c r="H46" s="19"/>
      <c r="I46" s="21"/>
      <c r="J46" s="21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</row>
    <row r="47" spans="1:31" ht="13.15" x14ac:dyDescent="0.4">
      <c r="A47" s="19"/>
      <c r="B47" s="19"/>
      <c r="C47" s="19"/>
      <c r="D47" s="19"/>
      <c r="E47" s="19"/>
      <c r="F47" s="19"/>
      <c r="G47" s="19"/>
      <c r="H47" s="19"/>
      <c r="I47" s="21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</row>
    <row r="48" spans="1:31" ht="13.15" x14ac:dyDescent="0.4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</row>
    <row r="49" spans="1:31" ht="13.15" x14ac:dyDescent="0.4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</row>
    <row r="50" spans="1:31" ht="13.15" x14ac:dyDescent="0.4">
      <c r="A50" s="19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</row>
    <row r="51" spans="1:31" ht="13.15" x14ac:dyDescent="0.4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</row>
    <row r="52" spans="1:31" ht="13.15" x14ac:dyDescent="0.4">
      <c r="A52" s="19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</row>
    <row r="53" spans="1:31" ht="13.15" x14ac:dyDescent="0.4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</row>
    <row r="54" spans="1:31" ht="13.15" x14ac:dyDescent="0.4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</row>
    <row r="55" spans="1:31" ht="13.15" x14ac:dyDescent="0.4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</row>
    <row r="56" spans="1:31" ht="13.15" x14ac:dyDescent="0.4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</row>
    <row r="57" spans="1:31" ht="13.15" x14ac:dyDescent="0.4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</row>
    <row r="58" spans="1:31" ht="13.15" x14ac:dyDescent="0.4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</row>
    <row r="59" spans="1:31" ht="13.15" x14ac:dyDescent="0.4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</row>
    <row r="60" spans="1:31" ht="13.15" x14ac:dyDescent="0.4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</row>
    <row r="61" spans="1:31" ht="13.15" x14ac:dyDescent="0.4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</row>
    <row r="62" spans="1:31" ht="13.15" x14ac:dyDescent="0.4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</row>
    <row r="63" spans="1:31" ht="13.15" x14ac:dyDescent="0.4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</row>
    <row r="64" spans="1:31" ht="13.15" x14ac:dyDescent="0.4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</row>
    <row r="65" spans="1:31" ht="13.15" x14ac:dyDescent="0.4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</row>
    <row r="66" spans="1:31" ht="13.15" x14ac:dyDescent="0.4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</row>
    <row r="67" spans="1:31" ht="13.15" x14ac:dyDescent="0.4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</row>
    <row r="68" spans="1:31" ht="13.15" x14ac:dyDescent="0.4">
      <c r="A68" s="19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</row>
    <row r="69" spans="1:31" ht="13.15" x14ac:dyDescent="0.4">
      <c r="A69" s="19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</row>
    <row r="70" spans="1:31" ht="13.15" x14ac:dyDescent="0.4">
      <c r="A70" s="19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</row>
    <row r="71" spans="1:31" ht="13.15" x14ac:dyDescent="0.4">
      <c r="A71" s="19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</row>
    <row r="72" spans="1:31" ht="13.15" x14ac:dyDescent="0.4">
      <c r="A72" s="19"/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</row>
    <row r="73" spans="1:31" ht="13.15" x14ac:dyDescent="0.4">
      <c r="A73" s="19"/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</row>
    <row r="74" spans="1:31" ht="13.15" x14ac:dyDescent="0.4">
      <c r="A74" s="19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</row>
    <row r="75" spans="1:31" ht="13.15" x14ac:dyDescent="0.4">
      <c r="A75" s="19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</row>
    <row r="76" spans="1:31" ht="13.15" x14ac:dyDescent="0.4">
      <c r="A76" s="19"/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</row>
    <row r="77" spans="1:31" ht="13.15" x14ac:dyDescent="0.4">
      <c r="A77" s="19"/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</row>
    <row r="78" spans="1:31" ht="13.15" x14ac:dyDescent="0.4">
      <c r="A78" s="19"/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</row>
    <row r="79" spans="1:31" ht="13.15" x14ac:dyDescent="0.4">
      <c r="A79" s="19"/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</row>
    <row r="80" spans="1:31" ht="13.15" x14ac:dyDescent="0.4">
      <c r="A80" s="19"/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</row>
    <row r="81" spans="1:31" ht="13.15" x14ac:dyDescent="0.4">
      <c r="A81" s="19"/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</row>
    <row r="82" spans="1:31" ht="13.15" x14ac:dyDescent="0.4">
      <c r="A82" s="19"/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</row>
    <row r="83" spans="1:31" ht="13.15" x14ac:dyDescent="0.4">
      <c r="A83" s="19"/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</row>
    <row r="84" spans="1:31" ht="13.15" x14ac:dyDescent="0.4">
      <c r="A84" s="19"/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</row>
    <row r="85" spans="1:31" ht="13.15" x14ac:dyDescent="0.4">
      <c r="A85" s="19"/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</row>
    <row r="86" spans="1:31" ht="13.15" x14ac:dyDescent="0.4">
      <c r="A86" s="19"/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</row>
    <row r="87" spans="1:31" ht="13.15" x14ac:dyDescent="0.4">
      <c r="A87" s="19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</row>
    <row r="88" spans="1:31" ht="13.15" x14ac:dyDescent="0.4">
      <c r="A88" s="19"/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</row>
    <row r="89" spans="1:31" ht="13.15" x14ac:dyDescent="0.4">
      <c r="A89" s="19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</row>
    <row r="90" spans="1:31" ht="13.15" x14ac:dyDescent="0.4">
      <c r="A90" s="19"/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</row>
    <row r="91" spans="1:31" ht="13.15" x14ac:dyDescent="0.4">
      <c r="A91" s="19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</row>
    <row r="92" spans="1:31" ht="13.15" x14ac:dyDescent="0.4">
      <c r="A92" s="19"/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</row>
    <row r="93" spans="1:31" ht="13.15" x14ac:dyDescent="0.4">
      <c r="A93" s="19"/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</row>
    <row r="94" spans="1:31" ht="13.15" x14ac:dyDescent="0.4">
      <c r="A94" s="19"/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</row>
    <row r="95" spans="1:31" ht="13.15" x14ac:dyDescent="0.4">
      <c r="A95" s="19"/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</row>
    <row r="96" spans="1:31" ht="13.15" x14ac:dyDescent="0.4">
      <c r="A96" s="19"/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</row>
    <row r="97" spans="1:31" ht="13.15" x14ac:dyDescent="0.4">
      <c r="A97" s="19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</row>
    <row r="98" spans="1:31" ht="13.15" x14ac:dyDescent="0.4">
      <c r="A98" s="19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</row>
    <row r="99" spans="1:31" ht="13.15" x14ac:dyDescent="0.4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</row>
    <row r="100" spans="1:31" ht="13.15" x14ac:dyDescent="0.4">
      <c r="A100" s="19"/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</row>
    <row r="101" spans="1:31" ht="13.15" x14ac:dyDescent="0.4">
      <c r="A101" s="19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</row>
    <row r="102" spans="1:31" ht="13.15" x14ac:dyDescent="0.4">
      <c r="A102" s="19"/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</row>
    <row r="103" spans="1:31" ht="13.15" x14ac:dyDescent="0.4">
      <c r="A103" s="19"/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</row>
    <row r="104" spans="1:31" ht="13.15" x14ac:dyDescent="0.4">
      <c r="A104" s="19"/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</row>
    <row r="105" spans="1:31" ht="13.15" x14ac:dyDescent="0.4">
      <c r="A105" s="19"/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</row>
    <row r="106" spans="1:31" ht="13.15" x14ac:dyDescent="0.4">
      <c r="A106" s="19"/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</row>
    <row r="107" spans="1:31" ht="13.15" x14ac:dyDescent="0.4">
      <c r="A107" s="19"/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</row>
    <row r="108" spans="1:31" ht="13.15" x14ac:dyDescent="0.4">
      <c r="A108" s="19"/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</row>
    <row r="109" spans="1:31" ht="13.15" x14ac:dyDescent="0.4">
      <c r="A109" s="19"/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</row>
    <row r="110" spans="1:31" ht="13.15" x14ac:dyDescent="0.4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</row>
    <row r="111" spans="1:31" ht="13.15" x14ac:dyDescent="0.4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</row>
    <row r="112" spans="1:31" ht="13.15" x14ac:dyDescent="0.4">
      <c r="A112" s="19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</row>
    <row r="113" spans="1:31" ht="13.15" x14ac:dyDescent="0.4">
      <c r="A113" s="19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</row>
    <row r="114" spans="1:31" ht="13.15" x14ac:dyDescent="0.4">
      <c r="A114" s="19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</row>
    <row r="115" spans="1:31" ht="13.15" x14ac:dyDescent="0.4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</row>
    <row r="116" spans="1:31" ht="13.15" x14ac:dyDescent="0.4">
      <c r="A116" s="19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</row>
    <row r="117" spans="1:31" ht="13.15" x14ac:dyDescent="0.4">
      <c r="A117" s="19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</row>
    <row r="118" spans="1:31" ht="13.15" x14ac:dyDescent="0.4">
      <c r="A118" s="19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</row>
    <row r="119" spans="1:31" ht="13.15" x14ac:dyDescent="0.4">
      <c r="A119" s="19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</row>
    <row r="120" spans="1:31" ht="13.15" x14ac:dyDescent="0.4">
      <c r="A120" s="19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</row>
    <row r="121" spans="1:31" ht="13.15" x14ac:dyDescent="0.4">
      <c r="A121" s="19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</row>
    <row r="122" spans="1:31" ht="13.15" x14ac:dyDescent="0.4">
      <c r="A122" s="19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</row>
    <row r="123" spans="1:31" ht="13.15" x14ac:dyDescent="0.4">
      <c r="A123" s="19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</row>
    <row r="124" spans="1:31" ht="13.15" x14ac:dyDescent="0.4">
      <c r="A124" s="19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</row>
    <row r="125" spans="1:31" ht="13.15" x14ac:dyDescent="0.4">
      <c r="A125" s="19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</row>
    <row r="126" spans="1:31" ht="13.15" x14ac:dyDescent="0.4">
      <c r="A126" s="19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</row>
    <row r="127" spans="1:31" ht="13.15" x14ac:dyDescent="0.4">
      <c r="A127" s="19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</row>
    <row r="128" spans="1:31" ht="13.15" x14ac:dyDescent="0.4">
      <c r="A128" s="19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</row>
    <row r="129" spans="1:31" ht="13.15" x14ac:dyDescent="0.4">
      <c r="A129" s="19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</row>
    <row r="130" spans="1:31" ht="13.15" x14ac:dyDescent="0.4">
      <c r="A130" s="19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</row>
    <row r="131" spans="1:31" ht="13.15" x14ac:dyDescent="0.4">
      <c r="A131" s="19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</row>
    <row r="132" spans="1:31" ht="13.15" x14ac:dyDescent="0.4">
      <c r="A132" s="19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</row>
    <row r="133" spans="1:31" ht="13.15" x14ac:dyDescent="0.4">
      <c r="A133" s="19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</row>
    <row r="134" spans="1:31" ht="13.15" x14ac:dyDescent="0.4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</row>
    <row r="135" spans="1:31" ht="13.15" x14ac:dyDescent="0.4">
      <c r="A135" s="19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</row>
    <row r="136" spans="1:31" ht="13.15" x14ac:dyDescent="0.4">
      <c r="A136" s="19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</row>
    <row r="137" spans="1:31" ht="13.15" x14ac:dyDescent="0.4">
      <c r="A137" s="19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</row>
    <row r="138" spans="1:31" ht="13.15" x14ac:dyDescent="0.4">
      <c r="A138" s="19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</row>
    <row r="139" spans="1:31" ht="13.15" x14ac:dyDescent="0.4">
      <c r="A139" s="19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</row>
    <row r="140" spans="1:31" ht="13.15" x14ac:dyDescent="0.4">
      <c r="A140" s="19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</row>
    <row r="141" spans="1:31" ht="13.15" x14ac:dyDescent="0.4">
      <c r="A141" s="19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</row>
    <row r="142" spans="1:31" ht="13.15" x14ac:dyDescent="0.4">
      <c r="A142" s="19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</row>
    <row r="143" spans="1:31" ht="13.15" x14ac:dyDescent="0.4">
      <c r="A143" s="19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</row>
    <row r="144" spans="1:31" ht="13.15" x14ac:dyDescent="0.4">
      <c r="A144" s="19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</row>
    <row r="145" spans="1:31" ht="13.15" x14ac:dyDescent="0.4">
      <c r="A145" s="19"/>
      <c r="B145" s="19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19"/>
    </row>
    <row r="146" spans="1:31" ht="13.15" x14ac:dyDescent="0.4">
      <c r="A146" s="19"/>
      <c r="B146" s="19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  <c r="AE146" s="19"/>
    </row>
    <row r="147" spans="1:31" ht="13.15" x14ac:dyDescent="0.4">
      <c r="A147" s="19"/>
      <c r="B147" s="19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</row>
    <row r="148" spans="1:31" ht="13.15" x14ac:dyDescent="0.4">
      <c r="A148" s="19"/>
      <c r="B148" s="19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</row>
    <row r="149" spans="1:31" ht="13.15" x14ac:dyDescent="0.4">
      <c r="A149" s="19"/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19"/>
    </row>
    <row r="150" spans="1:31" ht="13.15" x14ac:dyDescent="0.4">
      <c r="A150" s="19"/>
      <c r="B150" s="19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  <c r="AE150" s="19"/>
    </row>
    <row r="151" spans="1:31" ht="13.15" x14ac:dyDescent="0.4">
      <c r="A151" s="19"/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  <c r="AE151" s="19"/>
    </row>
    <row r="152" spans="1:31" ht="13.15" x14ac:dyDescent="0.4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19"/>
    </row>
    <row r="153" spans="1:31" ht="13.15" x14ac:dyDescent="0.4">
      <c r="A153" s="19"/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  <c r="AE153" s="19"/>
    </row>
    <row r="154" spans="1:31" ht="13.15" x14ac:dyDescent="0.4">
      <c r="A154" s="19"/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/>
      <c r="AD154" s="19"/>
      <c r="AE154" s="19"/>
    </row>
    <row r="155" spans="1:31" ht="13.15" x14ac:dyDescent="0.4">
      <c r="A155" s="19"/>
      <c r="B155" s="19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</row>
    <row r="156" spans="1:31" ht="13.15" x14ac:dyDescent="0.4">
      <c r="A156" s="19"/>
      <c r="B156" s="19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  <c r="AD156" s="19"/>
      <c r="AE156" s="19"/>
    </row>
    <row r="157" spans="1:31" ht="13.15" x14ac:dyDescent="0.4">
      <c r="A157" s="19"/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  <c r="AE157" s="19"/>
    </row>
    <row r="158" spans="1:31" ht="13.15" x14ac:dyDescent="0.4">
      <c r="A158" s="19"/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19"/>
    </row>
    <row r="159" spans="1:31" ht="13.15" x14ac:dyDescent="0.4">
      <c r="A159" s="19"/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</row>
    <row r="160" spans="1:31" ht="13.15" x14ac:dyDescent="0.4">
      <c r="A160" s="19"/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  <c r="AC160" s="19"/>
      <c r="AD160" s="19"/>
      <c r="AE160" s="19"/>
    </row>
    <row r="161" spans="1:31" ht="13.15" x14ac:dyDescent="0.4">
      <c r="A161" s="19"/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  <c r="AC161" s="19"/>
      <c r="AD161" s="19"/>
      <c r="AE161" s="19"/>
    </row>
    <row r="162" spans="1:31" ht="13.15" x14ac:dyDescent="0.4">
      <c r="A162" s="19"/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  <c r="AC162" s="19"/>
      <c r="AD162" s="19"/>
      <c r="AE162" s="19"/>
    </row>
    <row r="163" spans="1:31" ht="13.15" x14ac:dyDescent="0.4">
      <c r="A163" s="19"/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  <c r="AC163" s="19"/>
      <c r="AD163" s="19"/>
      <c r="AE163" s="19"/>
    </row>
    <row r="164" spans="1:31" ht="13.15" x14ac:dyDescent="0.4">
      <c r="A164" s="19"/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  <c r="AC164" s="19"/>
      <c r="AD164" s="19"/>
      <c r="AE164" s="19"/>
    </row>
    <row r="165" spans="1:31" ht="13.15" x14ac:dyDescent="0.4">
      <c r="A165" s="19"/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19"/>
      <c r="AD165" s="19"/>
      <c r="AE165" s="19"/>
    </row>
    <row r="166" spans="1:31" ht="13.15" x14ac:dyDescent="0.4">
      <c r="A166" s="19"/>
      <c r="B166" s="19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  <c r="AC166" s="19"/>
      <c r="AD166" s="19"/>
      <c r="AE166" s="19"/>
    </row>
    <row r="167" spans="1:31" ht="13.15" x14ac:dyDescent="0.4">
      <c r="A167" s="19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</row>
    <row r="168" spans="1:31" ht="13.15" x14ac:dyDescent="0.4">
      <c r="A168" s="19"/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</row>
    <row r="169" spans="1:31" ht="13.15" x14ac:dyDescent="0.4">
      <c r="A169" s="19"/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  <c r="AE169" s="19"/>
    </row>
    <row r="170" spans="1:31" ht="13.15" x14ac:dyDescent="0.4">
      <c r="A170" s="19"/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</row>
    <row r="171" spans="1:31" ht="13.15" x14ac:dyDescent="0.4">
      <c r="A171" s="19"/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</row>
    <row r="172" spans="1:31" ht="13.15" x14ac:dyDescent="0.4">
      <c r="A172" s="19"/>
      <c r="B172" s="19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19"/>
    </row>
    <row r="173" spans="1:31" ht="13.15" x14ac:dyDescent="0.4">
      <c r="A173" s="19"/>
      <c r="B173" s="19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</row>
    <row r="174" spans="1:31" ht="13.15" x14ac:dyDescent="0.4">
      <c r="A174" s="19"/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</row>
    <row r="175" spans="1:31" ht="13.15" x14ac:dyDescent="0.4">
      <c r="A175" s="19"/>
      <c r="B175" s="19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</row>
    <row r="176" spans="1:31" ht="13.15" x14ac:dyDescent="0.4">
      <c r="A176" s="19"/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</row>
    <row r="177" spans="1:31" ht="13.15" x14ac:dyDescent="0.4">
      <c r="A177" s="19"/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  <c r="AE177" s="19"/>
    </row>
    <row r="178" spans="1:31" ht="13.15" x14ac:dyDescent="0.4">
      <c r="A178" s="19"/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</row>
    <row r="179" spans="1:31" ht="13.15" x14ac:dyDescent="0.4">
      <c r="A179" s="19"/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</row>
    <row r="180" spans="1:31" ht="13.15" x14ac:dyDescent="0.4">
      <c r="A180" s="19"/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  <c r="AE180" s="19"/>
    </row>
    <row r="181" spans="1:31" ht="13.15" x14ac:dyDescent="0.4">
      <c r="A181" s="19"/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</row>
    <row r="182" spans="1:31" ht="13.15" x14ac:dyDescent="0.4">
      <c r="A182" s="19"/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</row>
    <row r="183" spans="1:31" ht="13.15" x14ac:dyDescent="0.4">
      <c r="A183" s="19"/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</row>
    <row r="184" spans="1:31" ht="13.15" x14ac:dyDescent="0.4">
      <c r="A184" s="19"/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</row>
    <row r="185" spans="1:31" ht="13.15" x14ac:dyDescent="0.4">
      <c r="A185" s="19"/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</row>
    <row r="186" spans="1:31" ht="13.15" x14ac:dyDescent="0.4">
      <c r="A186" s="19"/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</row>
    <row r="187" spans="1:31" ht="13.15" x14ac:dyDescent="0.4">
      <c r="A187" s="19"/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</row>
    <row r="188" spans="1:31" ht="13.15" x14ac:dyDescent="0.4">
      <c r="A188" s="19"/>
      <c r="B188" s="19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</row>
    <row r="189" spans="1:31" ht="13.15" x14ac:dyDescent="0.4">
      <c r="A189" s="19"/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</row>
    <row r="190" spans="1:31" ht="13.15" x14ac:dyDescent="0.4">
      <c r="A190" s="19"/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</row>
    <row r="191" spans="1:31" ht="13.15" x14ac:dyDescent="0.4">
      <c r="A191" s="19"/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</row>
    <row r="192" spans="1:31" ht="13.15" x14ac:dyDescent="0.4">
      <c r="A192" s="19"/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</row>
    <row r="193" spans="1:31" ht="13.15" x14ac:dyDescent="0.4">
      <c r="A193" s="19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</row>
    <row r="194" spans="1:31" ht="13.15" x14ac:dyDescent="0.4">
      <c r="A194" s="19"/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</row>
    <row r="195" spans="1:31" ht="13.15" x14ac:dyDescent="0.4">
      <c r="A195" s="19"/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</row>
    <row r="196" spans="1:31" ht="13.15" x14ac:dyDescent="0.4">
      <c r="A196" s="19"/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</row>
    <row r="197" spans="1:31" ht="13.15" x14ac:dyDescent="0.4">
      <c r="A197" s="19"/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</row>
    <row r="198" spans="1:31" ht="13.15" x14ac:dyDescent="0.4">
      <c r="A198" s="19"/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</row>
    <row r="199" spans="1:31" ht="13.15" x14ac:dyDescent="0.4">
      <c r="A199" s="19"/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</row>
    <row r="200" spans="1:31" ht="13.15" x14ac:dyDescent="0.4">
      <c r="A200" s="19"/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</row>
    <row r="201" spans="1:31" ht="13.15" x14ac:dyDescent="0.4">
      <c r="A201" s="19"/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</row>
    <row r="202" spans="1:31" ht="13.15" x14ac:dyDescent="0.4">
      <c r="A202" s="19"/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</row>
    <row r="203" spans="1:31" ht="13.15" x14ac:dyDescent="0.4">
      <c r="A203" s="19"/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</row>
    <row r="204" spans="1:31" ht="13.15" x14ac:dyDescent="0.4">
      <c r="A204" s="19"/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</row>
    <row r="205" spans="1:31" ht="13.15" x14ac:dyDescent="0.4">
      <c r="A205" s="19"/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</row>
    <row r="206" spans="1:31" ht="13.15" x14ac:dyDescent="0.4">
      <c r="A206" s="19"/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</row>
    <row r="207" spans="1:31" ht="13.15" x14ac:dyDescent="0.4">
      <c r="A207" s="19"/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</row>
    <row r="208" spans="1:31" ht="13.15" x14ac:dyDescent="0.4">
      <c r="A208" s="19"/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</row>
    <row r="209" spans="1:31" ht="13.15" x14ac:dyDescent="0.4">
      <c r="A209" s="19"/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</row>
    <row r="210" spans="1:31" ht="13.15" x14ac:dyDescent="0.4">
      <c r="A210" s="19"/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</row>
    <row r="211" spans="1:31" ht="13.15" x14ac:dyDescent="0.4">
      <c r="A211" s="19"/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</row>
    <row r="212" spans="1:31" ht="13.15" x14ac:dyDescent="0.4">
      <c r="A212" s="19"/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</row>
    <row r="213" spans="1:31" ht="13.15" x14ac:dyDescent="0.4">
      <c r="A213" s="19"/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</row>
    <row r="214" spans="1:31" ht="13.15" x14ac:dyDescent="0.4">
      <c r="A214" s="19"/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</row>
    <row r="215" spans="1:31" ht="13.15" x14ac:dyDescent="0.4">
      <c r="A215" s="19"/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</row>
    <row r="216" spans="1:31" ht="13.15" x14ac:dyDescent="0.4">
      <c r="A216" s="19"/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</row>
    <row r="217" spans="1:31" ht="13.15" x14ac:dyDescent="0.4">
      <c r="A217" s="19"/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</row>
    <row r="218" spans="1:31" ht="13.15" x14ac:dyDescent="0.4">
      <c r="A218" s="19"/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</row>
    <row r="219" spans="1:31" ht="13.15" x14ac:dyDescent="0.4">
      <c r="A219" s="19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</row>
    <row r="220" spans="1:31" ht="13.15" x14ac:dyDescent="0.4">
      <c r="A220" s="19"/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</row>
    <row r="221" spans="1:31" ht="13.15" x14ac:dyDescent="0.4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</row>
    <row r="222" spans="1:31" ht="13.15" x14ac:dyDescent="0.4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</row>
    <row r="223" spans="1:31" ht="13.15" x14ac:dyDescent="0.4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</row>
    <row r="224" spans="1:31" ht="13.15" x14ac:dyDescent="0.4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</row>
    <row r="225" spans="1:31" ht="13.15" x14ac:dyDescent="0.4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</row>
    <row r="226" spans="1:31" ht="13.15" x14ac:dyDescent="0.4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</row>
    <row r="227" spans="1:31" ht="13.15" x14ac:dyDescent="0.4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</row>
    <row r="228" spans="1:31" ht="13.15" x14ac:dyDescent="0.4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</row>
    <row r="229" spans="1:31" ht="13.15" x14ac:dyDescent="0.4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  <c r="AE229" s="19"/>
    </row>
    <row r="230" spans="1:31" ht="13.15" x14ac:dyDescent="0.4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</row>
    <row r="231" spans="1:31" ht="13.15" x14ac:dyDescent="0.4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</row>
    <row r="232" spans="1:31" ht="13.15" x14ac:dyDescent="0.4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</row>
    <row r="233" spans="1:31" ht="13.15" x14ac:dyDescent="0.4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</row>
    <row r="234" spans="1:31" ht="13.15" x14ac:dyDescent="0.4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</row>
    <row r="235" spans="1:31" ht="13.15" x14ac:dyDescent="0.4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</row>
    <row r="236" spans="1:31" ht="13.15" x14ac:dyDescent="0.4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</row>
    <row r="237" spans="1:31" ht="13.15" x14ac:dyDescent="0.4">
      <c r="A237" s="19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</row>
    <row r="238" spans="1:31" ht="13.15" x14ac:dyDescent="0.4">
      <c r="A238" s="19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</row>
    <row r="239" spans="1:31" ht="13.15" x14ac:dyDescent="0.4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</row>
    <row r="240" spans="1:31" ht="13.15" x14ac:dyDescent="0.4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</row>
    <row r="241" spans="1:31" ht="13.15" x14ac:dyDescent="0.4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</row>
    <row r="242" spans="1:31" ht="13.15" x14ac:dyDescent="0.4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</row>
    <row r="243" spans="1:31" ht="13.15" x14ac:dyDescent="0.4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</row>
    <row r="244" spans="1:31" ht="13.15" x14ac:dyDescent="0.4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</row>
    <row r="245" spans="1:31" ht="13.15" x14ac:dyDescent="0.4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</row>
    <row r="246" spans="1:31" ht="13.15" x14ac:dyDescent="0.4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</row>
    <row r="247" spans="1:31" ht="13.15" x14ac:dyDescent="0.4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</row>
    <row r="248" spans="1:31" ht="13.15" x14ac:dyDescent="0.4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</row>
    <row r="249" spans="1:31" ht="13.15" x14ac:dyDescent="0.4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</row>
    <row r="250" spans="1:31" ht="13.15" x14ac:dyDescent="0.4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</row>
    <row r="251" spans="1:31" ht="13.15" x14ac:dyDescent="0.4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</row>
    <row r="252" spans="1:31" ht="13.15" x14ac:dyDescent="0.4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</row>
    <row r="253" spans="1:31" ht="13.15" x14ac:dyDescent="0.4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</row>
    <row r="254" spans="1:31" ht="13.15" x14ac:dyDescent="0.4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</row>
    <row r="255" spans="1:31" ht="13.15" x14ac:dyDescent="0.4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</row>
    <row r="256" spans="1:31" ht="13.15" x14ac:dyDescent="0.4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  <c r="AC256" s="19"/>
      <c r="AD256" s="19"/>
      <c r="AE256" s="19"/>
    </row>
    <row r="257" spans="1:31" ht="13.15" x14ac:dyDescent="0.4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9"/>
      <c r="AE257" s="19"/>
    </row>
    <row r="258" spans="1:31" ht="13.15" x14ac:dyDescent="0.4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</row>
    <row r="259" spans="1:31" ht="13.15" x14ac:dyDescent="0.4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  <c r="AC259" s="19"/>
      <c r="AD259" s="19"/>
      <c r="AE259" s="19"/>
    </row>
    <row r="260" spans="1:31" ht="13.15" x14ac:dyDescent="0.4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</row>
    <row r="261" spans="1:31" ht="13.15" x14ac:dyDescent="0.4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</row>
    <row r="262" spans="1:31" ht="13.15" x14ac:dyDescent="0.4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</row>
    <row r="263" spans="1:31" ht="13.15" x14ac:dyDescent="0.4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</row>
    <row r="264" spans="1:31" ht="13.15" x14ac:dyDescent="0.4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</row>
    <row r="265" spans="1:31" ht="13.15" x14ac:dyDescent="0.4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</row>
    <row r="266" spans="1:31" ht="13.15" x14ac:dyDescent="0.4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</row>
    <row r="267" spans="1:31" ht="13.15" x14ac:dyDescent="0.4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</row>
    <row r="268" spans="1:31" ht="13.15" x14ac:dyDescent="0.4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</row>
    <row r="269" spans="1:31" ht="13.15" x14ac:dyDescent="0.4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</row>
    <row r="270" spans="1:31" ht="13.15" x14ac:dyDescent="0.4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</row>
    <row r="271" spans="1:31" ht="13.15" x14ac:dyDescent="0.4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</row>
    <row r="272" spans="1:31" ht="13.15" x14ac:dyDescent="0.4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</row>
    <row r="273" spans="1:31" ht="13.15" x14ac:dyDescent="0.4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</row>
    <row r="274" spans="1:31" ht="13.15" x14ac:dyDescent="0.4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</row>
    <row r="275" spans="1:31" ht="13.15" x14ac:dyDescent="0.4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</row>
    <row r="276" spans="1:31" ht="13.15" x14ac:dyDescent="0.4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</row>
    <row r="277" spans="1:31" ht="13.15" x14ac:dyDescent="0.4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</row>
    <row r="278" spans="1:31" ht="13.15" x14ac:dyDescent="0.4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  <c r="AD278" s="19"/>
      <c r="AE278" s="19"/>
    </row>
    <row r="279" spans="1:31" ht="13.15" x14ac:dyDescent="0.4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</row>
    <row r="280" spans="1:31" ht="13.15" x14ac:dyDescent="0.4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</row>
    <row r="281" spans="1:31" ht="13.15" x14ac:dyDescent="0.4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</row>
    <row r="282" spans="1:31" ht="13.15" x14ac:dyDescent="0.4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</row>
    <row r="283" spans="1:31" ht="13.15" x14ac:dyDescent="0.4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</row>
    <row r="284" spans="1:31" ht="13.15" x14ac:dyDescent="0.4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E284" s="19"/>
    </row>
    <row r="285" spans="1:31" ht="13.15" x14ac:dyDescent="0.4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  <c r="AE285" s="19"/>
    </row>
    <row r="286" spans="1:31" ht="13.15" x14ac:dyDescent="0.4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</row>
    <row r="287" spans="1:31" ht="13.15" x14ac:dyDescent="0.4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  <c r="AD287" s="19"/>
      <c r="AE287" s="19"/>
    </row>
    <row r="288" spans="1:31" ht="13.15" x14ac:dyDescent="0.4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  <c r="AD288" s="19"/>
      <c r="AE288" s="19"/>
    </row>
    <row r="289" spans="1:31" ht="13.15" x14ac:dyDescent="0.4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</row>
    <row r="290" spans="1:31" ht="13.15" x14ac:dyDescent="0.4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</row>
    <row r="291" spans="1:31" ht="13.15" x14ac:dyDescent="0.4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  <c r="AD291" s="19"/>
      <c r="AE291" s="19"/>
    </row>
    <row r="292" spans="1:31" ht="13.15" x14ac:dyDescent="0.4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</row>
    <row r="293" spans="1:31" ht="13.15" x14ac:dyDescent="0.4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/>
      <c r="AE293" s="19"/>
    </row>
    <row r="294" spans="1:31" ht="13.15" x14ac:dyDescent="0.4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9"/>
      <c r="AE294" s="19"/>
    </row>
    <row r="295" spans="1:31" ht="13.15" x14ac:dyDescent="0.4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/>
      <c r="AE295" s="19"/>
    </row>
    <row r="296" spans="1:31" ht="13.15" x14ac:dyDescent="0.4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19"/>
      <c r="AE296" s="19"/>
    </row>
    <row r="297" spans="1:31" ht="13.15" x14ac:dyDescent="0.4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</row>
    <row r="298" spans="1:31" ht="13.15" x14ac:dyDescent="0.4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19"/>
      <c r="AD298" s="19"/>
      <c r="AE298" s="19"/>
    </row>
    <row r="299" spans="1:31" ht="13.15" x14ac:dyDescent="0.4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19"/>
      <c r="AE299" s="19"/>
    </row>
    <row r="300" spans="1:31" ht="13.15" x14ac:dyDescent="0.4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19"/>
      <c r="AD300" s="19"/>
      <c r="AE300" s="19"/>
    </row>
    <row r="301" spans="1:31" ht="13.15" x14ac:dyDescent="0.4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/>
      <c r="AE301" s="19"/>
    </row>
    <row r="302" spans="1:31" ht="13.15" x14ac:dyDescent="0.4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E302" s="19"/>
    </row>
    <row r="303" spans="1:31" ht="13.15" x14ac:dyDescent="0.4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  <c r="AC303" s="19"/>
      <c r="AD303" s="19"/>
      <c r="AE303" s="19"/>
    </row>
    <row r="304" spans="1:31" ht="13.15" x14ac:dyDescent="0.4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  <c r="AC304" s="19"/>
      <c r="AD304" s="19"/>
      <c r="AE304" s="19"/>
    </row>
    <row r="305" spans="1:31" ht="13.15" x14ac:dyDescent="0.4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  <c r="AC305" s="19"/>
      <c r="AD305" s="19"/>
      <c r="AE305" s="19"/>
    </row>
    <row r="306" spans="1:31" ht="13.15" x14ac:dyDescent="0.4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  <c r="AC306" s="19"/>
      <c r="AD306" s="19"/>
      <c r="AE306" s="19"/>
    </row>
    <row r="307" spans="1:31" ht="13.15" x14ac:dyDescent="0.4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  <c r="AC307" s="19"/>
      <c r="AD307" s="19"/>
      <c r="AE307" s="19"/>
    </row>
    <row r="308" spans="1:31" ht="13.15" x14ac:dyDescent="0.4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  <c r="AC308" s="19"/>
      <c r="AD308" s="19"/>
      <c r="AE308" s="19"/>
    </row>
    <row r="309" spans="1:31" ht="13.15" x14ac:dyDescent="0.4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  <c r="AC309" s="19"/>
      <c r="AD309" s="19"/>
      <c r="AE309" s="19"/>
    </row>
    <row r="310" spans="1:31" ht="13.15" x14ac:dyDescent="0.4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  <c r="AC310" s="19"/>
      <c r="AD310" s="19"/>
      <c r="AE310" s="19"/>
    </row>
    <row r="311" spans="1:31" ht="13.15" x14ac:dyDescent="0.4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  <c r="AC311" s="19"/>
      <c r="AD311" s="19"/>
      <c r="AE311" s="19"/>
    </row>
    <row r="312" spans="1:31" ht="13.15" x14ac:dyDescent="0.4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  <c r="AC312" s="19"/>
      <c r="AD312" s="19"/>
      <c r="AE312" s="19"/>
    </row>
    <row r="313" spans="1:31" ht="13.15" x14ac:dyDescent="0.4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  <c r="AC313" s="19"/>
      <c r="AD313" s="19"/>
      <c r="AE313" s="19"/>
    </row>
    <row r="314" spans="1:31" ht="13.15" x14ac:dyDescent="0.4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  <c r="AC314" s="19"/>
      <c r="AD314" s="19"/>
      <c r="AE314" s="19"/>
    </row>
    <row r="315" spans="1:31" ht="13.15" x14ac:dyDescent="0.4">
      <c r="A315" s="19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  <c r="AD315" s="19"/>
      <c r="AE315" s="19"/>
    </row>
    <row r="316" spans="1:31" ht="13.15" x14ac:dyDescent="0.4">
      <c r="A316" s="19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  <c r="AC316" s="19"/>
      <c r="AD316" s="19"/>
      <c r="AE316" s="19"/>
    </row>
    <row r="317" spans="1:31" ht="13.15" x14ac:dyDescent="0.4">
      <c r="A317" s="19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</row>
    <row r="318" spans="1:31" ht="13.15" x14ac:dyDescent="0.4">
      <c r="A318" s="19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  <c r="AC318" s="19"/>
      <c r="AD318" s="19"/>
      <c r="AE318" s="19"/>
    </row>
    <row r="319" spans="1:31" ht="13.15" x14ac:dyDescent="0.4">
      <c r="A319" s="19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  <c r="AC319" s="19"/>
      <c r="AD319" s="19"/>
      <c r="AE319" s="19"/>
    </row>
    <row r="320" spans="1:31" ht="13.15" x14ac:dyDescent="0.4">
      <c r="A320" s="19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  <c r="AC320" s="19"/>
      <c r="AD320" s="19"/>
      <c r="AE320" s="19"/>
    </row>
    <row r="321" spans="1:31" ht="13.15" x14ac:dyDescent="0.4">
      <c r="A321" s="19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  <c r="AC321" s="19"/>
      <c r="AD321" s="19"/>
      <c r="AE321" s="19"/>
    </row>
    <row r="322" spans="1:31" ht="13.15" x14ac:dyDescent="0.4">
      <c r="A322" s="19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  <c r="AC322" s="19"/>
      <c r="AD322" s="19"/>
      <c r="AE322" s="19"/>
    </row>
    <row r="323" spans="1:31" ht="13.15" x14ac:dyDescent="0.4">
      <c r="A323" s="19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  <c r="AC323" s="19"/>
      <c r="AD323" s="19"/>
      <c r="AE323" s="19"/>
    </row>
    <row r="324" spans="1:31" ht="13.15" x14ac:dyDescent="0.4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  <c r="AC324" s="19"/>
      <c r="AD324" s="19"/>
      <c r="AE324" s="19"/>
    </row>
    <row r="325" spans="1:31" ht="13.15" x14ac:dyDescent="0.4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  <c r="AC325" s="19"/>
      <c r="AD325" s="19"/>
      <c r="AE325" s="19"/>
    </row>
    <row r="326" spans="1:31" ht="13.15" x14ac:dyDescent="0.4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  <c r="AD326" s="19"/>
      <c r="AE326" s="19"/>
    </row>
    <row r="327" spans="1:31" ht="13.15" x14ac:dyDescent="0.4">
      <c r="A327" s="19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  <c r="AC327" s="19"/>
      <c r="AD327" s="19"/>
      <c r="AE327" s="19"/>
    </row>
    <row r="328" spans="1:31" ht="13.15" x14ac:dyDescent="0.4">
      <c r="A328" s="19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  <c r="AC328" s="19"/>
      <c r="AD328" s="19"/>
      <c r="AE328" s="19"/>
    </row>
    <row r="329" spans="1:31" ht="13.15" x14ac:dyDescent="0.4">
      <c r="A329" s="19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  <c r="AC329" s="19"/>
      <c r="AD329" s="19"/>
      <c r="AE329" s="19"/>
    </row>
    <row r="330" spans="1:31" ht="13.15" x14ac:dyDescent="0.4">
      <c r="A330" s="19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  <c r="AC330" s="19"/>
      <c r="AD330" s="19"/>
      <c r="AE330" s="19"/>
    </row>
    <row r="331" spans="1:31" ht="13.15" x14ac:dyDescent="0.4">
      <c r="A331" s="19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  <c r="AC331" s="19"/>
      <c r="AD331" s="19"/>
      <c r="AE331" s="19"/>
    </row>
    <row r="332" spans="1:31" ht="13.15" x14ac:dyDescent="0.4">
      <c r="A332" s="19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  <c r="AC332" s="19"/>
      <c r="AD332" s="19"/>
      <c r="AE332" s="19"/>
    </row>
    <row r="333" spans="1:31" ht="13.15" x14ac:dyDescent="0.4">
      <c r="A333" s="19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  <c r="AC333" s="19"/>
      <c r="AD333" s="19"/>
      <c r="AE333" s="19"/>
    </row>
    <row r="334" spans="1:31" ht="13.15" x14ac:dyDescent="0.4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  <c r="AC334" s="19"/>
      <c r="AD334" s="19"/>
      <c r="AE334" s="19"/>
    </row>
    <row r="335" spans="1:31" ht="13.15" x14ac:dyDescent="0.4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  <c r="AC335" s="19"/>
      <c r="AD335" s="19"/>
      <c r="AE335" s="19"/>
    </row>
    <row r="336" spans="1:31" ht="13.15" x14ac:dyDescent="0.4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  <c r="AC336" s="19"/>
      <c r="AD336" s="19"/>
      <c r="AE336" s="19"/>
    </row>
    <row r="337" spans="1:31" ht="13.15" x14ac:dyDescent="0.4">
      <c r="A337" s="19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  <c r="AC337" s="19"/>
      <c r="AD337" s="19"/>
      <c r="AE337" s="19"/>
    </row>
    <row r="338" spans="1:31" ht="13.15" x14ac:dyDescent="0.4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  <c r="AC338" s="19"/>
      <c r="AD338" s="19"/>
      <c r="AE338" s="19"/>
    </row>
    <row r="339" spans="1:31" ht="13.15" x14ac:dyDescent="0.4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  <c r="AC339" s="19"/>
      <c r="AD339" s="19"/>
      <c r="AE339" s="19"/>
    </row>
    <row r="340" spans="1:31" ht="13.15" x14ac:dyDescent="0.4">
      <c r="A340" s="19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  <c r="AC340" s="19"/>
      <c r="AD340" s="19"/>
      <c r="AE340" s="19"/>
    </row>
    <row r="341" spans="1:31" ht="13.15" x14ac:dyDescent="0.4">
      <c r="A341" s="19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  <c r="AC341" s="19"/>
      <c r="AD341" s="19"/>
      <c r="AE341" s="19"/>
    </row>
    <row r="342" spans="1:31" ht="13.15" x14ac:dyDescent="0.4">
      <c r="A342" s="19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  <c r="AC342" s="19"/>
      <c r="AD342" s="19"/>
      <c r="AE342" s="19"/>
    </row>
    <row r="343" spans="1:31" ht="13.15" x14ac:dyDescent="0.4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  <c r="AC343" s="19"/>
      <c r="AD343" s="19"/>
      <c r="AE343" s="19"/>
    </row>
    <row r="344" spans="1:31" ht="13.15" x14ac:dyDescent="0.4">
      <c r="A344" s="19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  <c r="AC344" s="19"/>
      <c r="AD344" s="19"/>
      <c r="AE344" s="19"/>
    </row>
    <row r="345" spans="1:31" ht="13.15" x14ac:dyDescent="0.4">
      <c r="A345" s="19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  <c r="AC345" s="19"/>
      <c r="AD345" s="19"/>
      <c r="AE345" s="19"/>
    </row>
    <row r="346" spans="1:31" ht="13.15" x14ac:dyDescent="0.4">
      <c r="A346" s="19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  <c r="AC346" s="19"/>
      <c r="AD346" s="19"/>
      <c r="AE346" s="19"/>
    </row>
    <row r="347" spans="1:31" ht="13.15" x14ac:dyDescent="0.4">
      <c r="A347" s="19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  <c r="AC347" s="19"/>
      <c r="AD347" s="19"/>
      <c r="AE347" s="19"/>
    </row>
    <row r="348" spans="1:31" ht="13.15" x14ac:dyDescent="0.4">
      <c r="A348" s="19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  <c r="AC348" s="19"/>
      <c r="AD348" s="19"/>
      <c r="AE348" s="19"/>
    </row>
    <row r="349" spans="1:31" ht="13.15" x14ac:dyDescent="0.4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  <c r="AC349" s="19"/>
      <c r="AD349" s="19"/>
      <c r="AE349" s="19"/>
    </row>
    <row r="350" spans="1:31" ht="13.15" x14ac:dyDescent="0.4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  <c r="AC350" s="19"/>
      <c r="AD350" s="19"/>
      <c r="AE350" s="19"/>
    </row>
    <row r="351" spans="1:31" ht="13.15" x14ac:dyDescent="0.4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  <c r="AC351" s="19"/>
      <c r="AD351" s="19"/>
      <c r="AE351" s="19"/>
    </row>
    <row r="352" spans="1:31" ht="13.15" x14ac:dyDescent="0.4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  <c r="AC352" s="19"/>
      <c r="AD352" s="19"/>
      <c r="AE352" s="19"/>
    </row>
    <row r="353" spans="1:31" ht="13.15" x14ac:dyDescent="0.4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  <c r="AC353" s="19"/>
      <c r="AD353" s="19"/>
      <c r="AE353" s="19"/>
    </row>
    <row r="354" spans="1:31" ht="13.15" x14ac:dyDescent="0.4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  <c r="AC354" s="19"/>
      <c r="AD354" s="19"/>
      <c r="AE354" s="19"/>
    </row>
    <row r="355" spans="1:31" ht="13.15" x14ac:dyDescent="0.4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  <c r="AC355" s="19"/>
      <c r="AD355" s="19"/>
      <c r="AE355" s="19"/>
    </row>
    <row r="356" spans="1:31" ht="13.15" x14ac:dyDescent="0.4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  <c r="AC356" s="19"/>
      <c r="AD356" s="19"/>
      <c r="AE356" s="19"/>
    </row>
    <row r="357" spans="1:31" ht="13.15" x14ac:dyDescent="0.4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  <c r="AC357" s="19"/>
      <c r="AD357" s="19"/>
      <c r="AE357" s="19"/>
    </row>
    <row r="358" spans="1:31" ht="13.15" x14ac:dyDescent="0.4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</row>
    <row r="359" spans="1:31" ht="13.15" x14ac:dyDescent="0.4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</row>
    <row r="360" spans="1:31" ht="13.15" x14ac:dyDescent="0.4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</row>
    <row r="361" spans="1:31" ht="13.15" x14ac:dyDescent="0.4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  <c r="AC361" s="19"/>
      <c r="AD361" s="19"/>
      <c r="AE361" s="19"/>
    </row>
    <row r="362" spans="1:31" ht="13.15" x14ac:dyDescent="0.4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  <c r="AC362" s="19"/>
      <c r="AD362" s="19"/>
      <c r="AE362" s="19"/>
    </row>
    <row r="363" spans="1:31" ht="13.15" x14ac:dyDescent="0.4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</row>
    <row r="364" spans="1:31" ht="13.15" x14ac:dyDescent="0.4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  <c r="AC364" s="19"/>
      <c r="AD364" s="19"/>
      <c r="AE364" s="19"/>
    </row>
    <row r="365" spans="1:31" ht="13.15" x14ac:dyDescent="0.4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  <c r="AC365" s="19"/>
      <c r="AD365" s="19"/>
      <c r="AE365" s="19"/>
    </row>
    <row r="366" spans="1:31" ht="13.15" x14ac:dyDescent="0.4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  <c r="AC366" s="19"/>
      <c r="AD366" s="19"/>
      <c r="AE366" s="19"/>
    </row>
    <row r="367" spans="1:31" ht="13.15" x14ac:dyDescent="0.4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  <c r="AC367" s="19"/>
      <c r="AD367" s="19"/>
      <c r="AE367" s="19"/>
    </row>
    <row r="368" spans="1:31" ht="13.15" x14ac:dyDescent="0.4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  <c r="AC368" s="19"/>
      <c r="AD368" s="19"/>
      <c r="AE368" s="19"/>
    </row>
    <row r="369" spans="1:31" ht="13.15" x14ac:dyDescent="0.4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  <c r="AC369" s="19"/>
      <c r="AD369" s="19"/>
      <c r="AE369" s="19"/>
    </row>
    <row r="370" spans="1:31" ht="13.15" x14ac:dyDescent="0.4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  <c r="AC370" s="19"/>
      <c r="AD370" s="19"/>
      <c r="AE370" s="19"/>
    </row>
    <row r="371" spans="1:31" ht="13.15" x14ac:dyDescent="0.4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</row>
    <row r="372" spans="1:31" ht="13.15" x14ac:dyDescent="0.4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  <c r="AC372" s="19"/>
      <c r="AD372" s="19"/>
      <c r="AE372" s="19"/>
    </row>
    <row r="373" spans="1:31" ht="13.15" x14ac:dyDescent="0.4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  <c r="AC373" s="19"/>
      <c r="AD373" s="19"/>
      <c r="AE373" s="19"/>
    </row>
    <row r="374" spans="1:31" ht="13.15" x14ac:dyDescent="0.4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  <c r="AC374" s="19"/>
      <c r="AD374" s="19"/>
      <c r="AE374" s="19"/>
    </row>
    <row r="375" spans="1:31" ht="13.15" x14ac:dyDescent="0.4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  <c r="AC375" s="19"/>
      <c r="AD375" s="19"/>
      <c r="AE375" s="19"/>
    </row>
    <row r="376" spans="1:31" ht="13.15" x14ac:dyDescent="0.4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  <c r="AC376" s="19"/>
      <c r="AD376" s="19"/>
      <c r="AE376" s="19"/>
    </row>
    <row r="377" spans="1:31" ht="13.15" x14ac:dyDescent="0.4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  <c r="AC377" s="19"/>
      <c r="AD377" s="19"/>
      <c r="AE377" s="19"/>
    </row>
    <row r="378" spans="1:31" ht="13.15" x14ac:dyDescent="0.4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  <c r="AC378" s="19"/>
      <c r="AD378" s="19"/>
      <c r="AE378" s="19"/>
    </row>
    <row r="379" spans="1:31" ht="13.15" x14ac:dyDescent="0.4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  <c r="AC379" s="19"/>
      <c r="AD379" s="19"/>
      <c r="AE379" s="19"/>
    </row>
    <row r="380" spans="1:31" ht="13.15" x14ac:dyDescent="0.4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  <c r="AC380" s="19"/>
      <c r="AD380" s="19"/>
      <c r="AE380" s="19"/>
    </row>
    <row r="381" spans="1:31" ht="13.15" x14ac:dyDescent="0.4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E381" s="19"/>
    </row>
    <row r="382" spans="1:31" ht="13.15" x14ac:dyDescent="0.4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  <c r="AC382" s="19"/>
      <c r="AD382" s="19"/>
      <c r="AE382" s="19"/>
    </row>
    <row r="383" spans="1:31" ht="13.15" x14ac:dyDescent="0.4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  <c r="AC383" s="19"/>
      <c r="AD383" s="19"/>
      <c r="AE383" s="19"/>
    </row>
    <row r="384" spans="1:31" ht="13.15" x14ac:dyDescent="0.4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  <c r="AC384" s="19"/>
      <c r="AD384" s="19"/>
      <c r="AE384" s="19"/>
    </row>
    <row r="385" spans="1:31" ht="13.15" x14ac:dyDescent="0.4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  <c r="AE385" s="19"/>
    </row>
    <row r="386" spans="1:31" ht="13.15" x14ac:dyDescent="0.4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9"/>
      <c r="AE386" s="19"/>
    </row>
    <row r="387" spans="1:31" ht="13.15" x14ac:dyDescent="0.4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  <c r="AE387" s="19"/>
    </row>
    <row r="388" spans="1:31" ht="13.15" x14ac:dyDescent="0.4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  <c r="AC388" s="19"/>
      <c r="AD388" s="19"/>
      <c r="AE388" s="19"/>
    </row>
    <row r="389" spans="1:31" ht="13.15" x14ac:dyDescent="0.4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  <c r="AC389" s="19"/>
      <c r="AD389" s="19"/>
      <c r="AE389" s="19"/>
    </row>
    <row r="390" spans="1:31" ht="13.15" x14ac:dyDescent="0.4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  <c r="AC390" s="19"/>
      <c r="AD390" s="19"/>
      <c r="AE390" s="19"/>
    </row>
    <row r="391" spans="1:31" ht="13.15" x14ac:dyDescent="0.4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  <c r="AC391" s="19"/>
      <c r="AD391" s="19"/>
      <c r="AE391" s="19"/>
    </row>
    <row r="392" spans="1:31" ht="13.15" x14ac:dyDescent="0.4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E392" s="19"/>
    </row>
    <row r="393" spans="1:31" ht="13.15" x14ac:dyDescent="0.4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/>
      <c r="AE393" s="19"/>
    </row>
    <row r="394" spans="1:31" ht="13.15" x14ac:dyDescent="0.4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</row>
    <row r="395" spans="1:31" ht="13.15" x14ac:dyDescent="0.4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19"/>
      <c r="AD395" s="19"/>
      <c r="AE395" s="19"/>
    </row>
    <row r="396" spans="1:31" ht="13.15" x14ac:dyDescent="0.4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/>
      <c r="AD396" s="19"/>
      <c r="AE396" s="19"/>
    </row>
    <row r="397" spans="1:31" ht="13.15" x14ac:dyDescent="0.4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  <c r="AC397" s="19"/>
      <c r="AD397" s="19"/>
      <c r="AE397" s="19"/>
    </row>
    <row r="398" spans="1:31" ht="13.15" x14ac:dyDescent="0.4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  <c r="AC398" s="19"/>
      <c r="AD398" s="19"/>
      <c r="AE398" s="19"/>
    </row>
    <row r="399" spans="1:31" ht="13.15" x14ac:dyDescent="0.4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  <c r="AC399" s="19"/>
      <c r="AD399" s="19"/>
      <c r="AE399" s="19"/>
    </row>
    <row r="400" spans="1:31" ht="13.15" x14ac:dyDescent="0.4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  <c r="AC400" s="19"/>
      <c r="AD400" s="19"/>
      <c r="AE400" s="19"/>
    </row>
    <row r="401" spans="1:31" ht="13.15" x14ac:dyDescent="0.4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  <c r="AC401" s="19"/>
      <c r="AD401" s="19"/>
      <c r="AE401" s="19"/>
    </row>
    <row r="402" spans="1:31" ht="13.15" x14ac:dyDescent="0.4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  <c r="AC402" s="19"/>
      <c r="AD402" s="19"/>
      <c r="AE402" s="19"/>
    </row>
    <row r="403" spans="1:31" ht="13.15" x14ac:dyDescent="0.4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/>
      <c r="AD403" s="19"/>
      <c r="AE403" s="19"/>
    </row>
    <row r="404" spans="1:31" ht="13.15" x14ac:dyDescent="0.4">
      <c r="A404" s="19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  <c r="AC404" s="19"/>
      <c r="AD404" s="19"/>
      <c r="AE404" s="19"/>
    </row>
    <row r="405" spans="1:31" ht="13.15" x14ac:dyDescent="0.4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  <c r="AC405" s="19"/>
      <c r="AD405" s="19"/>
      <c r="AE405" s="19"/>
    </row>
    <row r="406" spans="1:31" ht="13.15" x14ac:dyDescent="0.4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  <c r="AC406" s="19"/>
      <c r="AD406" s="19"/>
      <c r="AE406" s="19"/>
    </row>
    <row r="407" spans="1:31" ht="13.15" x14ac:dyDescent="0.4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  <c r="AC407" s="19"/>
      <c r="AD407" s="19"/>
      <c r="AE407" s="19"/>
    </row>
    <row r="408" spans="1:31" ht="13.15" x14ac:dyDescent="0.4">
      <c r="A408" s="19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  <c r="AC408" s="19"/>
      <c r="AD408" s="19"/>
      <c r="AE408" s="19"/>
    </row>
    <row r="409" spans="1:31" ht="13.15" x14ac:dyDescent="0.4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  <c r="AC409" s="19"/>
      <c r="AD409" s="19"/>
      <c r="AE409" s="19"/>
    </row>
    <row r="410" spans="1:31" ht="13.15" x14ac:dyDescent="0.4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  <c r="AC410" s="19"/>
      <c r="AD410" s="19"/>
      <c r="AE410" s="19"/>
    </row>
    <row r="411" spans="1:31" ht="13.15" x14ac:dyDescent="0.4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  <c r="AC411" s="19"/>
      <c r="AD411" s="19"/>
      <c r="AE411" s="19"/>
    </row>
    <row r="412" spans="1:31" ht="13.15" x14ac:dyDescent="0.4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  <c r="AC412" s="19"/>
      <c r="AD412" s="19"/>
      <c r="AE412" s="19"/>
    </row>
    <row r="413" spans="1:31" ht="13.15" x14ac:dyDescent="0.4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  <c r="AC413" s="19"/>
      <c r="AD413" s="19"/>
      <c r="AE413" s="19"/>
    </row>
    <row r="414" spans="1:31" ht="13.15" x14ac:dyDescent="0.4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  <c r="AC414" s="19"/>
      <c r="AD414" s="19"/>
      <c r="AE414" s="19"/>
    </row>
    <row r="415" spans="1:31" ht="13.15" x14ac:dyDescent="0.4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  <c r="AC415" s="19"/>
      <c r="AD415" s="19"/>
      <c r="AE415" s="19"/>
    </row>
    <row r="416" spans="1:31" ht="13.15" x14ac:dyDescent="0.4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  <c r="AC416" s="19"/>
      <c r="AD416" s="19"/>
      <c r="AE416" s="19"/>
    </row>
    <row r="417" spans="1:31" ht="13.15" x14ac:dyDescent="0.4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  <c r="AC417" s="19"/>
      <c r="AD417" s="19"/>
      <c r="AE417" s="19"/>
    </row>
    <row r="418" spans="1:31" ht="13.15" x14ac:dyDescent="0.4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  <c r="AC418" s="19"/>
      <c r="AD418" s="19"/>
      <c r="AE418" s="19"/>
    </row>
    <row r="419" spans="1:31" ht="13.15" x14ac:dyDescent="0.4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  <c r="AC419" s="19"/>
      <c r="AD419" s="19"/>
      <c r="AE419" s="19"/>
    </row>
    <row r="420" spans="1:31" ht="13.15" x14ac:dyDescent="0.4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  <c r="AC420" s="19"/>
      <c r="AD420" s="19"/>
      <c r="AE420" s="19"/>
    </row>
    <row r="421" spans="1:31" ht="13.15" x14ac:dyDescent="0.4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  <c r="AC421" s="19"/>
      <c r="AD421" s="19"/>
      <c r="AE421" s="19"/>
    </row>
    <row r="422" spans="1:31" ht="13.15" x14ac:dyDescent="0.4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  <c r="AC422" s="19"/>
      <c r="AD422" s="19"/>
      <c r="AE422" s="19"/>
    </row>
    <row r="423" spans="1:31" ht="13.15" x14ac:dyDescent="0.4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  <c r="AC423" s="19"/>
      <c r="AD423" s="19"/>
      <c r="AE423" s="19"/>
    </row>
    <row r="424" spans="1:31" ht="13.15" x14ac:dyDescent="0.4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  <c r="AC424" s="19"/>
      <c r="AD424" s="19"/>
      <c r="AE424" s="19"/>
    </row>
    <row r="425" spans="1:31" ht="13.15" x14ac:dyDescent="0.4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  <c r="AB425" s="19"/>
      <c r="AC425" s="19"/>
      <c r="AD425" s="19"/>
      <c r="AE425" s="19"/>
    </row>
    <row r="426" spans="1:31" ht="13.15" x14ac:dyDescent="0.4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  <c r="AB426" s="19"/>
      <c r="AC426" s="19"/>
      <c r="AD426" s="19"/>
      <c r="AE426" s="19"/>
    </row>
    <row r="427" spans="1:31" ht="13.15" x14ac:dyDescent="0.4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/>
      <c r="AC427" s="19"/>
      <c r="AD427" s="19"/>
      <c r="AE427" s="19"/>
    </row>
    <row r="428" spans="1:31" ht="13.15" x14ac:dyDescent="0.4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  <c r="AC428" s="19"/>
      <c r="AD428" s="19"/>
      <c r="AE428" s="19"/>
    </row>
    <row r="429" spans="1:31" ht="13.15" x14ac:dyDescent="0.4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  <c r="AC429" s="19"/>
      <c r="AD429" s="19"/>
      <c r="AE429" s="19"/>
    </row>
    <row r="430" spans="1:31" ht="13.15" x14ac:dyDescent="0.4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  <c r="AC430" s="19"/>
      <c r="AD430" s="19"/>
      <c r="AE430" s="19"/>
    </row>
    <row r="431" spans="1:31" ht="13.15" x14ac:dyDescent="0.4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  <c r="AC431" s="19"/>
      <c r="AD431" s="19"/>
      <c r="AE431" s="19"/>
    </row>
    <row r="432" spans="1:31" ht="13.15" x14ac:dyDescent="0.4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  <c r="AB432" s="19"/>
      <c r="AC432" s="19"/>
      <c r="AD432" s="19"/>
      <c r="AE432" s="19"/>
    </row>
    <row r="433" spans="1:31" ht="13.15" x14ac:dyDescent="0.4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  <c r="AC433" s="19"/>
      <c r="AD433" s="19"/>
      <c r="AE433" s="19"/>
    </row>
    <row r="434" spans="1:31" ht="13.15" x14ac:dyDescent="0.4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/>
      <c r="AC434" s="19"/>
      <c r="AD434" s="19"/>
      <c r="AE434" s="19"/>
    </row>
    <row r="435" spans="1:31" ht="13.15" x14ac:dyDescent="0.4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  <c r="AC435" s="19"/>
      <c r="AD435" s="19"/>
      <c r="AE435" s="19"/>
    </row>
    <row r="436" spans="1:31" ht="13.15" x14ac:dyDescent="0.4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  <c r="AC436" s="19"/>
      <c r="AD436" s="19"/>
      <c r="AE436" s="19"/>
    </row>
    <row r="437" spans="1:31" ht="13.15" x14ac:dyDescent="0.4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  <c r="AC437" s="19"/>
      <c r="AD437" s="19"/>
      <c r="AE437" s="19"/>
    </row>
    <row r="438" spans="1:31" ht="13.15" x14ac:dyDescent="0.4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  <c r="AC438" s="19"/>
      <c r="AD438" s="19"/>
      <c r="AE438" s="19"/>
    </row>
    <row r="439" spans="1:31" ht="13.15" x14ac:dyDescent="0.4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  <c r="AC439" s="19"/>
      <c r="AD439" s="19"/>
      <c r="AE439" s="19"/>
    </row>
    <row r="440" spans="1:31" ht="13.15" x14ac:dyDescent="0.4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  <c r="AC440" s="19"/>
      <c r="AD440" s="19"/>
      <c r="AE440" s="19"/>
    </row>
    <row r="441" spans="1:31" ht="13.15" x14ac:dyDescent="0.4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  <c r="AC441" s="19"/>
      <c r="AD441" s="19"/>
      <c r="AE441" s="19"/>
    </row>
    <row r="442" spans="1:31" ht="13.15" x14ac:dyDescent="0.4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  <c r="AC442" s="19"/>
      <c r="AD442" s="19"/>
      <c r="AE442" s="19"/>
    </row>
    <row r="443" spans="1:31" ht="13.15" x14ac:dyDescent="0.4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  <c r="AC443" s="19"/>
      <c r="AD443" s="19"/>
      <c r="AE443" s="19"/>
    </row>
    <row r="444" spans="1:31" ht="13.15" x14ac:dyDescent="0.4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  <c r="AC444" s="19"/>
      <c r="AD444" s="19"/>
      <c r="AE444" s="19"/>
    </row>
    <row r="445" spans="1:31" ht="13.15" x14ac:dyDescent="0.4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  <c r="AC445" s="19"/>
      <c r="AD445" s="19"/>
      <c r="AE445" s="19"/>
    </row>
    <row r="446" spans="1:31" ht="13.15" x14ac:dyDescent="0.4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  <c r="AB446" s="19"/>
      <c r="AC446" s="19"/>
      <c r="AD446" s="19"/>
      <c r="AE446" s="19"/>
    </row>
    <row r="447" spans="1:31" ht="13.15" x14ac:dyDescent="0.4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  <c r="AC447" s="19"/>
      <c r="AD447" s="19"/>
      <c r="AE447" s="19"/>
    </row>
    <row r="448" spans="1:31" ht="13.15" x14ac:dyDescent="0.4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  <c r="AC448" s="19"/>
      <c r="AD448" s="19"/>
      <c r="AE448" s="19"/>
    </row>
    <row r="449" spans="1:31" ht="13.15" x14ac:dyDescent="0.4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  <c r="AC449" s="19"/>
      <c r="AD449" s="19"/>
      <c r="AE449" s="19"/>
    </row>
    <row r="450" spans="1:31" ht="13.15" x14ac:dyDescent="0.4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/>
      <c r="AC450" s="19"/>
      <c r="AD450" s="19"/>
      <c r="AE450" s="19"/>
    </row>
    <row r="451" spans="1:31" ht="13.15" x14ac:dyDescent="0.4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  <c r="AB451" s="19"/>
      <c r="AC451" s="19"/>
      <c r="AD451" s="19"/>
      <c r="AE451" s="19"/>
    </row>
    <row r="452" spans="1:31" ht="13.15" x14ac:dyDescent="0.4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  <c r="AB452" s="19"/>
      <c r="AC452" s="19"/>
      <c r="AD452" s="19"/>
      <c r="AE452" s="19"/>
    </row>
    <row r="453" spans="1:31" ht="13.15" x14ac:dyDescent="0.4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  <c r="AB453" s="19"/>
      <c r="AC453" s="19"/>
      <c r="AD453" s="19"/>
      <c r="AE453" s="19"/>
    </row>
    <row r="454" spans="1:31" ht="13.15" x14ac:dyDescent="0.4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  <c r="AB454" s="19"/>
      <c r="AC454" s="19"/>
      <c r="AD454" s="19"/>
      <c r="AE454" s="19"/>
    </row>
    <row r="455" spans="1:31" ht="13.15" x14ac:dyDescent="0.4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  <c r="AB455" s="19"/>
      <c r="AC455" s="19"/>
      <c r="AD455" s="19"/>
      <c r="AE455" s="19"/>
    </row>
    <row r="456" spans="1:31" ht="13.15" x14ac:dyDescent="0.4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  <c r="AC456" s="19"/>
      <c r="AD456" s="19"/>
      <c r="AE456" s="19"/>
    </row>
    <row r="457" spans="1:31" ht="13.15" x14ac:dyDescent="0.4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  <c r="AA457" s="19"/>
      <c r="AB457" s="19"/>
      <c r="AC457" s="19"/>
      <c r="AD457" s="19"/>
      <c r="AE457" s="19"/>
    </row>
    <row r="458" spans="1:31" ht="13.15" x14ac:dyDescent="0.4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  <c r="AA458" s="19"/>
      <c r="AB458" s="19"/>
      <c r="AC458" s="19"/>
      <c r="AD458" s="19"/>
      <c r="AE458" s="19"/>
    </row>
    <row r="459" spans="1:31" ht="13.15" x14ac:dyDescent="0.4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  <c r="AB459" s="19"/>
      <c r="AC459" s="19"/>
      <c r="AD459" s="19"/>
      <c r="AE459" s="19"/>
    </row>
    <row r="460" spans="1:31" ht="13.15" x14ac:dyDescent="0.4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  <c r="AB460" s="19"/>
      <c r="AC460" s="19"/>
      <c r="AD460" s="19"/>
      <c r="AE460" s="19"/>
    </row>
    <row r="461" spans="1:31" ht="13.15" x14ac:dyDescent="0.4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  <c r="AB461" s="19"/>
      <c r="AC461" s="19"/>
      <c r="AD461" s="19"/>
      <c r="AE461" s="19"/>
    </row>
    <row r="462" spans="1:31" ht="13.15" x14ac:dyDescent="0.4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  <c r="AC462" s="19"/>
      <c r="AD462" s="19"/>
      <c r="AE462" s="19"/>
    </row>
    <row r="463" spans="1:31" ht="13.15" x14ac:dyDescent="0.4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  <c r="AB463" s="19"/>
      <c r="AC463" s="19"/>
      <c r="AD463" s="19"/>
      <c r="AE463" s="19"/>
    </row>
    <row r="464" spans="1:31" ht="13.15" x14ac:dyDescent="0.4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  <c r="AC464" s="19"/>
      <c r="AD464" s="19"/>
      <c r="AE464" s="19"/>
    </row>
    <row r="465" spans="1:31" ht="13.15" x14ac:dyDescent="0.4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/>
      <c r="AC465" s="19"/>
      <c r="AD465" s="19"/>
      <c r="AE465" s="19"/>
    </row>
    <row r="466" spans="1:31" ht="13.15" x14ac:dyDescent="0.4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  <c r="AB466" s="19"/>
      <c r="AC466" s="19"/>
      <c r="AD466" s="19"/>
      <c r="AE466" s="19"/>
    </row>
    <row r="467" spans="1:31" ht="13.15" x14ac:dyDescent="0.4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  <c r="AC467" s="19"/>
      <c r="AD467" s="19"/>
      <c r="AE467" s="19"/>
    </row>
    <row r="468" spans="1:31" ht="13.15" x14ac:dyDescent="0.4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  <c r="AB468" s="19"/>
      <c r="AC468" s="19"/>
      <c r="AD468" s="19"/>
      <c r="AE468" s="19"/>
    </row>
    <row r="469" spans="1:31" ht="13.15" x14ac:dyDescent="0.4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  <c r="AB469" s="19"/>
      <c r="AC469" s="19"/>
      <c r="AD469" s="19"/>
      <c r="AE469" s="19"/>
    </row>
    <row r="470" spans="1:31" ht="13.15" x14ac:dyDescent="0.4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  <c r="AB470" s="19"/>
      <c r="AC470" s="19"/>
      <c r="AD470" s="19"/>
      <c r="AE470" s="19"/>
    </row>
    <row r="471" spans="1:31" ht="13.15" x14ac:dyDescent="0.4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  <c r="AC471" s="19"/>
      <c r="AD471" s="19"/>
      <c r="AE471" s="19"/>
    </row>
    <row r="472" spans="1:31" ht="13.15" x14ac:dyDescent="0.4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  <c r="AB472" s="19"/>
      <c r="AC472" s="19"/>
      <c r="AD472" s="19"/>
      <c r="AE472" s="19"/>
    </row>
    <row r="473" spans="1:31" ht="13.15" x14ac:dyDescent="0.4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  <c r="AC473" s="19"/>
      <c r="AD473" s="19"/>
      <c r="AE473" s="19"/>
    </row>
    <row r="474" spans="1:31" ht="13.15" x14ac:dyDescent="0.4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/>
      <c r="AC474" s="19"/>
      <c r="AD474" s="19"/>
      <c r="AE474" s="19"/>
    </row>
    <row r="475" spans="1:31" ht="13.15" x14ac:dyDescent="0.4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  <c r="AC475" s="19"/>
      <c r="AD475" s="19"/>
      <c r="AE475" s="19"/>
    </row>
    <row r="476" spans="1:31" ht="13.15" x14ac:dyDescent="0.4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/>
      <c r="AC476" s="19"/>
      <c r="AD476" s="19"/>
      <c r="AE476" s="19"/>
    </row>
    <row r="477" spans="1:31" ht="13.15" x14ac:dyDescent="0.4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  <c r="AC477" s="19"/>
      <c r="AD477" s="19"/>
      <c r="AE477" s="19"/>
    </row>
    <row r="478" spans="1:31" ht="13.15" x14ac:dyDescent="0.4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  <c r="AC478" s="19"/>
      <c r="AD478" s="19"/>
      <c r="AE478" s="19"/>
    </row>
    <row r="479" spans="1:31" ht="13.15" x14ac:dyDescent="0.4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  <c r="AC479" s="19"/>
      <c r="AD479" s="19"/>
      <c r="AE479" s="19"/>
    </row>
    <row r="480" spans="1:31" ht="13.15" x14ac:dyDescent="0.4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  <c r="AC480" s="19"/>
      <c r="AD480" s="19"/>
      <c r="AE480" s="19"/>
    </row>
    <row r="481" spans="1:31" ht="13.15" x14ac:dyDescent="0.4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  <c r="AB481" s="19"/>
      <c r="AC481" s="19"/>
      <c r="AD481" s="19"/>
      <c r="AE481" s="19"/>
    </row>
    <row r="482" spans="1:31" ht="13.15" x14ac:dyDescent="0.4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  <c r="AC482" s="19"/>
      <c r="AD482" s="19"/>
      <c r="AE482" s="19"/>
    </row>
    <row r="483" spans="1:31" ht="13.15" x14ac:dyDescent="0.4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19"/>
      <c r="AC483" s="19"/>
      <c r="AD483" s="19"/>
      <c r="AE483" s="19"/>
    </row>
    <row r="484" spans="1:31" ht="13.15" x14ac:dyDescent="0.4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  <c r="AB484" s="19"/>
      <c r="AC484" s="19"/>
      <c r="AD484" s="19"/>
      <c r="AE484" s="19"/>
    </row>
    <row r="485" spans="1:31" ht="13.15" x14ac:dyDescent="0.4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  <c r="AA485" s="19"/>
      <c r="AB485" s="19"/>
      <c r="AC485" s="19"/>
      <c r="AD485" s="19"/>
      <c r="AE485" s="19"/>
    </row>
    <row r="486" spans="1:31" ht="13.15" x14ac:dyDescent="0.4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  <c r="AB486" s="19"/>
      <c r="AC486" s="19"/>
      <c r="AD486" s="19"/>
      <c r="AE486" s="19"/>
    </row>
    <row r="487" spans="1:31" ht="13.15" x14ac:dyDescent="0.4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  <c r="AA487" s="19"/>
      <c r="AB487" s="19"/>
      <c r="AC487" s="19"/>
      <c r="AD487" s="19"/>
      <c r="AE487" s="19"/>
    </row>
    <row r="488" spans="1:31" ht="13.15" x14ac:dyDescent="0.4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  <c r="AC488" s="19"/>
      <c r="AD488" s="19"/>
      <c r="AE488" s="19"/>
    </row>
    <row r="489" spans="1:31" ht="13.15" x14ac:dyDescent="0.4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  <c r="AB489" s="19"/>
      <c r="AC489" s="19"/>
      <c r="AD489" s="19"/>
      <c r="AE489" s="19"/>
    </row>
    <row r="490" spans="1:31" ht="13.15" x14ac:dyDescent="0.4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  <c r="AC490" s="19"/>
      <c r="AD490" s="19"/>
      <c r="AE490" s="19"/>
    </row>
    <row r="491" spans="1:31" ht="13.15" x14ac:dyDescent="0.4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  <c r="AB491" s="19"/>
      <c r="AC491" s="19"/>
      <c r="AD491" s="19"/>
      <c r="AE491" s="19"/>
    </row>
    <row r="492" spans="1:31" ht="13.15" x14ac:dyDescent="0.4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  <c r="AB492" s="19"/>
      <c r="AC492" s="19"/>
      <c r="AD492" s="19"/>
      <c r="AE492" s="19"/>
    </row>
    <row r="493" spans="1:31" ht="13.15" x14ac:dyDescent="0.4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  <c r="AB493" s="19"/>
      <c r="AC493" s="19"/>
      <c r="AD493" s="19"/>
      <c r="AE493" s="19"/>
    </row>
    <row r="494" spans="1:31" ht="13.15" x14ac:dyDescent="0.4">
      <c r="A494" s="19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  <c r="AA494" s="19"/>
      <c r="AB494" s="19"/>
      <c r="AC494" s="19"/>
      <c r="AD494" s="19"/>
      <c r="AE494" s="19"/>
    </row>
    <row r="495" spans="1:31" ht="13.15" x14ac:dyDescent="0.4">
      <c r="A495" s="19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  <c r="AA495" s="19"/>
      <c r="AB495" s="19"/>
      <c r="AC495" s="19"/>
      <c r="AD495" s="19"/>
      <c r="AE495" s="19"/>
    </row>
    <row r="496" spans="1:31" ht="13.15" x14ac:dyDescent="0.4">
      <c r="A496" s="19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  <c r="AA496" s="19"/>
      <c r="AB496" s="19"/>
      <c r="AC496" s="19"/>
      <c r="AD496" s="19"/>
      <c r="AE496" s="19"/>
    </row>
    <row r="497" spans="1:31" ht="13.15" x14ac:dyDescent="0.4">
      <c r="A497" s="19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  <c r="AA497" s="19"/>
      <c r="AB497" s="19"/>
      <c r="AC497" s="19"/>
      <c r="AD497" s="19"/>
      <c r="AE497" s="19"/>
    </row>
    <row r="498" spans="1:31" ht="13.15" x14ac:dyDescent="0.4">
      <c r="A498" s="19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  <c r="AA498" s="19"/>
      <c r="AB498" s="19"/>
      <c r="AC498" s="19"/>
      <c r="AD498" s="19"/>
      <c r="AE498" s="19"/>
    </row>
    <row r="499" spans="1:31" ht="13.15" x14ac:dyDescent="0.4">
      <c r="A499" s="19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  <c r="AB499" s="19"/>
      <c r="AC499" s="19"/>
      <c r="AD499" s="19"/>
      <c r="AE499" s="19"/>
    </row>
    <row r="500" spans="1:31" ht="13.15" x14ac:dyDescent="0.4">
      <c r="A500" s="19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  <c r="AA500" s="19"/>
      <c r="AB500" s="19"/>
      <c r="AC500" s="19"/>
      <c r="AD500" s="19"/>
      <c r="AE500" s="19"/>
    </row>
    <row r="501" spans="1:31" ht="13.15" x14ac:dyDescent="0.4">
      <c r="A501" s="19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  <c r="AA501" s="19"/>
      <c r="AB501" s="19"/>
      <c r="AC501" s="19"/>
      <c r="AD501" s="19"/>
      <c r="AE501" s="19"/>
    </row>
    <row r="502" spans="1:31" ht="13.15" x14ac:dyDescent="0.4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  <c r="AA502" s="19"/>
      <c r="AB502" s="19"/>
      <c r="AC502" s="19"/>
      <c r="AD502" s="19"/>
      <c r="AE502" s="19"/>
    </row>
    <row r="503" spans="1:31" ht="13.15" x14ac:dyDescent="0.4">
      <c r="A503" s="19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  <c r="AB503" s="19"/>
      <c r="AC503" s="19"/>
      <c r="AD503" s="19"/>
      <c r="AE503" s="19"/>
    </row>
    <row r="504" spans="1:31" ht="13.15" x14ac:dyDescent="0.4">
      <c r="A504" s="19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  <c r="AB504" s="19"/>
      <c r="AC504" s="19"/>
      <c r="AD504" s="19"/>
      <c r="AE504" s="19"/>
    </row>
    <row r="505" spans="1:31" ht="13.15" x14ac:dyDescent="0.4">
      <c r="A505" s="19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  <c r="AB505" s="19"/>
      <c r="AC505" s="19"/>
      <c r="AD505" s="19"/>
      <c r="AE505" s="19"/>
    </row>
    <row r="506" spans="1:31" ht="13.15" x14ac:dyDescent="0.4">
      <c r="A506" s="19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  <c r="AB506" s="19"/>
      <c r="AC506" s="19"/>
      <c r="AD506" s="19"/>
      <c r="AE506" s="19"/>
    </row>
    <row r="507" spans="1:31" ht="13.15" x14ac:dyDescent="0.4">
      <c r="A507" s="19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  <c r="AB507" s="19"/>
      <c r="AC507" s="19"/>
      <c r="AD507" s="19"/>
      <c r="AE507" s="19"/>
    </row>
    <row r="508" spans="1:31" ht="13.15" x14ac:dyDescent="0.4">
      <c r="A508" s="19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  <c r="AC508" s="19"/>
      <c r="AD508" s="19"/>
      <c r="AE508" s="19"/>
    </row>
    <row r="509" spans="1:31" ht="13.15" x14ac:dyDescent="0.4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AB509" s="19"/>
      <c r="AC509" s="19"/>
      <c r="AD509" s="19"/>
      <c r="AE509" s="19"/>
    </row>
    <row r="510" spans="1:31" ht="13.15" x14ac:dyDescent="0.4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  <c r="AC510" s="19"/>
      <c r="AD510" s="19"/>
      <c r="AE510" s="19"/>
    </row>
    <row r="511" spans="1:31" ht="13.15" x14ac:dyDescent="0.4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  <c r="AC511" s="19"/>
      <c r="AD511" s="19"/>
      <c r="AE511" s="19"/>
    </row>
    <row r="512" spans="1:31" ht="13.15" x14ac:dyDescent="0.4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  <c r="AC512" s="19"/>
      <c r="AD512" s="19"/>
      <c r="AE512" s="19"/>
    </row>
    <row r="513" spans="1:31" ht="13.15" x14ac:dyDescent="0.4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AB513" s="19"/>
      <c r="AC513" s="19"/>
      <c r="AD513" s="19"/>
      <c r="AE513" s="19"/>
    </row>
    <row r="514" spans="1:31" ht="13.15" x14ac:dyDescent="0.4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  <c r="AB514" s="19"/>
      <c r="AC514" s="19"/>
      <c r="AD514" s="19"/>
      <c r="AE514" s="19"/>
    </row>
    <row r="515" spans="1:31" ht="13.15" x14ac:dyDescent="0.4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/>
      <c r="AC515" s="19"/>
      <c r="AD515" s="19"/>
      <c r="AE515" s="19"/>
    </row>
    <row r="516" spans="1:31" ht="13.15" x14ac:dyDescent="0.4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  <c r="AC516" s="19"/>
      <c r="AD516" s="19"/>
      <c r="AE516" s="19"/>
    </row>
    <row r="517" spans="1:31" ht="13.15" x14ac:dyDescent="0.4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  <c r="AB517" s="19"/>
      <c r="AC517" s="19"/>
      <c r="AD517" s="19"/>
      <c r="AE517" s="19"/>
    </row>
    <row r="518" spans="1:31" ht="13.15" x14ac:dyDescent="0.4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  <c r="AB518" s="19"/>
      <c r="AC518" s="19"/>
      <c r="AD518" s="19"/>
      <c r="AE518" s="19"/>
    </row>
    <row r="519" spans="1:31" ht="13.15" x14ac:dyDescent="0.4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  <c r="AA519" s="19"/>
      <c r="AB519" s="19"/>
      <c r="AC519" s="19"/>
      <c r="AD519" s="19"/>
      <c r="AE519" s="19"/>
    </row>
    <row r="520" spans="1:31" ht="13.15" x14ac:dyDescent="0.4">
      <c r="A520" s="19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  <c r="AB520" s="19"/>
      <c r="AC520" s="19"/>
      <c r="AD520" s="19"/>
      <c r="AE520" s="19"/>
    </row>
    <row r="521" spans="1:31" ht="13.15" x14ac:dyDescent="0.4">
      <c r="A521" s="19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  <c r="AB521" s="19"/>
      <c r="AC521" s="19"/>
      <c r="AD521" s="19"/>
      <c r="AE521" s="19"/>
    </row>
    <row r="522" spans="1:31" ht="13.15" x14ac:dyDescent="0.4">
      <c r="A522" s="19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  <c r="AA522" s="19"/>
      <c r="AB522" s="19"/>
      <c r="AC522" s="19"/>
      <c r="AD522" s="19"/>
      <c r="AE522" s="19"/>
    </row>
    <row r="523" spans="1:31" ht="13.15" x14ac:dyDescent="0.4">
      <c r="A523" s="19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  <c r="AB523" s="19"/>
      <c r="AC523" s="19"/>
      <c r="AD523" s="19"/>
      <c r="AE523" s="19"/>
    </row>
    <row r="524" spans="1:31" ht="13.15" x14ac:dyDescent="0.4">
      <c r="A524" s="19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  <c r="AA524" s="19"/>
      <c r="AB524" s="19"/>
      <c r="AC524" s="19"/>
      <c r="AD524" s="19"/>
      <c r="AE524" s="19"/>
    </row>
    <row r="525" spans="1:31" ht="13.15" x14ac:dyDescent="0.4">
      <c r="A525" s="19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  <c r="AC525" s="19"/>
      <c r="AD525" s="19"/>
      <c r="AE525" s="19"/>
    </row>
    <row r="526" spans="1:31" ht="13.15" x14ac:dyDescent="0.4">
      <c r="A526" s="19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  <c r="AC526" s="19"/>
      <c r="AD526" s="19"/>
      <c r="AE526" s="19"/>
    </row>
    <row r="527" spans="1:31" ht="13.15" x14ac:dyDescent="0.4">
      <c r="A527" s="19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  <c r="AC527" s="19"/>
      <c r="AD527" s="19"/>
      <c r="AE527" s="19"/>
    </row>
    <row r="528" spans="1:31" ht="13.15" x14ac:dyDescent="0.4">
      <c r="A528" s="19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  <c r="AC528" s="19"/>
      <c r="AD528" s="19"/>
      <c r="AE528" s="19"/>
    </row>
    <row r="529" spans="1:31" ht="13.15" x14ac:dyDescent="0.4">
      <c r="A529" s="19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  <c r="AB529" s="19"/>
      <c r="AC529" s="19"/>
      <c r="AD529" s="19"/>
      <c r="AE529" s="19"/>
    </row>
    <row r="530" spans="1:31" ht="13.15" x14ac:dyDescent="0.4">
      <c r="A530" s="19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  <c r="AC530" s="19"/>
      <c r="AD530" s="19"/>
      <c r="AE530" s="19"/>
    </row>
    <row r="531" spans="1:31" ht="13.15" x14ac:dyDescent="0.4">
      <c r="A531" s="19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  <c r="AC531" s="19"/>
      <c r="AD531" s="19"/>
      <c r="AE531" s="19"/>
    </row>
    <row r="532" spans="1:31" ht="13.15" x14ac:dyDescent="0.4">
      <c r="A532" s="19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  <c r="AC532" s="19"/>
      <c r="AD532" s="19"/>
      <c r="AE532" s="19"/>
    </row>
    <row r="533" spans="1:31" ht="13.15" x14ac:dyDescent="0.4">
      <c r="A533" s="19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  <c r="AC533" s="19"/>
      <c r="AD533" s="19"/>
      <c r="AE533" s="19"/>
    </row>
    <row r="534" spans="1:31" ht="13.15" x14ac:dyDescent="0.4">
      <c r="A534" s="19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  <c r="AC534" s="19"/>
      <c r="AD534" s="19"/>
      <c r="AE534" s="19"/>
    </row>
    <row r="535" spans="1:31" ht="13.15" x14ac:dyDescent="0.4">
      <c r="A535" s="19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  <c r="AB535" s="19"/>
      <c r="AC535" s="19"/>
      <c r="AD535" s="19"/>
      <c r="AE535" s="19"/>
    </row>
    <row r="536" spans="1:31" ht="13.15" x14ac:dyDescent="0.4">
      <c r="A536" s="19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  <c r="AC536" s="19"/>
      <c r="AD536" s="19"/>
      <c r="AE536" s="19"/>
    </row>
    <row r="537" spans="1:31" ht="13.15" x14ac:dyDescent="0.4">
      <c r="A537" s="19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  <c r="AC537" s="19"/>
      <c r="AD537" s="19"/>
      <c r="AE537" s="19"/>
    </row>
    <row r="538" spans="1:31" ht="13.15" x14ac:dyDescent="0.4">
      <c r="A538" s="19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  <c r="AC538" s="19"/>
      <c r="AD538" s="19"/>
      <c r="AE538" s="19"/>
    </row>
    <row r="539" spans="1:31" ht="13.15" x14ac:dyDescent="0.4">
      <c r="A539" s="19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  <c r="AC539" s="19"/>
      <c r="AD539" s="19"/>
      <c r="AE539" s="19"/>
    </row>
    <row r="540" spans="1:31" ht="13.15" x14ac:dyDescent="0.4">
      <c r="A540" s="19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  <c r="AA540" s="19"/>
      <c r="AB540" s="19"/>
      <c r="AC540" s="19"/>
      <c r="AD540" s="19"/>
      <c r="AE540" s="19"/>
    </row>
    <row r="541" spans="1:31" ht="13.15" x14ac:dyDescent="0.4">
      <c r="A541" s="19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  <c r="AC541" s="19"/>
      <c r="AD541" s="19"/>
      <c r="AE541" s="19"/>
    </row>
    <row r="542" spans="1:31" ht="13.15" x14ac:dyDescent="0.4">
      <c r="A542" s="19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</row>
    <row r="543" spans="1:31" ht="13.15" x14ac:dyDescent="0.4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  <c r="AB543" s="19"/>
      <c r="AC543" s="19"/>
      <c r="AD543" s="19"/>
      <c r="AE543" s="19"/>
    </row>
    <row r="544" spans="1:31" ht="13.15" x14ac:dyDescent="0.4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  <c r="AA544" s="19"/>
      <c r="AB544" s="19"/>
      <c r="AC544" s="19"/>
      <c r="AD544" s="19"/>
      <c r="AE544" s="19"/>
    </row>
    <row r="545" spans="1:31" ht="13.15" x14ac:dyDescent="0.4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  <c r="AA545" s="19"/>
      <c r="AB545" s="19"/>
      <c r="AC545" s="19"/>
      <c r="AD545" s="19"/>
      <c r="AE545" s="19"/>
    </row>
    <row r="546" spans="1:31" ht="13.15" x14ac:dyDescent="0.4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  <c r="AA546" s="19"/>
      <c r="AB546" s="19"/>
      <c r="AC546" s="19"/>
      <c r="AD546" s="19"/>
      <c r="AE546" s="19"/>
    </row>
    <row r="547" spans="1:31" ht="13.15" x14ac:dyDescent="0.4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  <c r="AC547" s="19"/>
      <c r="AD547" s="19"/>
      <c r="AE547" s="19"/>
    </row>
    <row r="548" spans="1:31" ht="13.15" x14ac:dyDescent="0.4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  <c r="AA548" s="19"/>
      <c r="AB548" s="19"/>
      <c r="AC548" s="19"/>
      <c r="AD548" s="19"/>
      <c r="AE548" s="19"/>
    </row>
    <row r="549" spans="1:31" ht="13.15" x14ac:dyDescent="0.4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  <c r="AA549" s="19"/>
      <c r="AB549" s="19"/>
      <c r="AC549" s="19"/>
      <c r="AD549" s="19"/>
      <c r="AE549" s="19"/>
    </row>
    <row r="550" spans="1:31" ht="13.15" x14ac:dyDescent="0.4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  <c r="AA550" s="19"/>
      <c r="AB550" s="19"/>
      <c r="AC550" s="19"/>
      <c r="AD550" s="19"/>
      <c r="AE550" s="19"/>
    </row>
    <row r="551" spans="1:31" ht="13.15" x14ac:dyDescent="0.4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  <c r="AA551" s="19"/>
      <c r="AB551" s="19"/>
      <c r="AC551" s="19"/>
      <c r="AD551" s="19"/>
      <c r="AE551" s="19"/>
    </row>
    <row r="552" spans="1:31" ht="13.15" x14ac:dyDescent="0.4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  <c r="AA552" s="19"/>
      <c r="AB552" s="19"/>
      <c r="AC552" s="19"/>
      <c r="AD552" s="19"/>
      <c r="AE552" s="19"/>
    </row>
    <row r="553" spans="1:31" ht="13.15" x14ac:dyDescent="0.4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  <c r="AA553" s="19"/>
      <c r="AB553" s="19"/>
      <c r="AC553" s="19"/>
      <c r="AD553" s="19"/>
      <c r="AE553" s="19"/>
    </row>
    <row r="554" spans="1:31" ht="13.15" x14ac:dyDescent="0.4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  <c r="AA554" s="19"/>
      <c r="AB554" s="19"/>
      <c r="AC554" s="19"/>
      <c r="AD554" s="19"/>
      <c r="AE554" s="19"/>
    </row>
    <row r="555" spans="1:31" ht="13.15" x14ac:dyDescent="0.4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  <c r="AA555" s="19"/>
      <c r="AB555" s="19"/>
      <c r="AC555" s="19"/>
      <c r="AD555" s="19"/>
      <c r="AE555" s="19"/>
    </row>
    <row r="556" spans="1:31" ht="13.15" x14ac:dyDescent="0.4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  <c r="AB556" s="19"/>
      <c r="AC556" s="19"/>
      <c r="AD556" s="19"/>
      <c r="AE556" s="19"/>
    </row>
    <row r="557" spans="1:31" ht="13.15" x14ac:dyDescent="0.4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  <c r="AA557" s="19"/>
      <c r="AB557" s="19"/>
      <c r="AC557" s="19"/>
      <c r="AD557" s="19"/>
      <c r="AE557" s="19"/>
    </row>
    <row r="558" spans="1:31" ht="13.15" x14ac:dyDescent="0.4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  <c r="AA558" s="19"/>
      <c r="AB558" s="19"/>
      <c r="AC558" s="19"/>
      <c r="AD558" s="19"/>
      <c r="AE558" s="19"/>
    </row>
    <row r="559" spans="1:31" ht="13.15" x14ac:dyDescent="0.4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  <c r="AA559" s="19"/>
      <c r="AB559" s="19"/>
      <c r="AC559" s="19"/>
      <c r="AD559" s="19"/>
      <c r="AE559" s="19"/>
    </row>
    <row r="560" spans="1:31" ht="13.15" x14ac:dyDescent="0.4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  <c r="AA560" s="19"/>
      <c r="AB560" s="19"/>
      <c r="AC560" s="19"/>
      <c r="AD560" s="19"/>
      <c r="AE560" s="19"/>
    </row>
    <row r="561" spans="1:31" ht="13.15" x14ac:dyDescent="0.4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  <c r="AA561" s="19"/>
      <c r="AB561" s="19"/>
      <c r="AC561" s="19"/>
      <c r="AD561" s="19"/>
      <c r="AE561" s="19"/>
    </row>
    <row r="562" spans="1:31" ht="13.15" x14ac:dyDescent="0.4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  <c r="AA562" s="19"/>
      <c r="AB562" s="19"/>
      <c r="AC562" s="19"/>
      <c r="AD562" s="19"/>
      <c r="AE562" s="19"/>
    </row>
    <row r="563" spans="1:31" ht="13.15" x14ac:dyDescent="0.4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  <c r="AB563" s="19"/>
      <c r="AC563" s="19"/>
      <c r="AD563" s="19"/>
      <c r="AE563" s="19"/>
    </row>
    <row r="564" spans="1:31" ht="13.15" x14ac:dyDescent="0.4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  <c r="AA564" s="19"/>
      <c r="AB564" s="19"/>
      <c r="AC564" s="19"/>
      <c r="AD564" s="19"/>
      <c r="AE564" s="19"/>
    </row>
    <row r="565" spans="1:31" ht="13.15" x14ac:dyDescent="0.4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  <c r="AA565" s="19"/>
      <c r="AB565" s="19"/>
      <c r="AC565" s="19"/>
      <c r="AD565" s="19"/>
      <c r="AE565" s="19"/>
    </row>
    <row r="566" spans="1:31" ht="13.15" x14ac:dyDescent="0.4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  <c r="AA566" s="19"/>
      <c r="AB566" s="19"/>
      <c r="AC566" s="19"/>
      <c r="AD566" s="19"/>
      <c r="AE566" s="19"/>
    </row>
    <row r="567" spans="1:31" ht="13.15" x14ac:dyDescent="0.4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  <c r="AA567" s="19"/>
      <c r="AB567" s="19"/>
      <c r="AC567" s="19"/>
      <c r="AD567" s="19"/>
      <c r="AE567" s="19"/>
    </row>
    <row r="568" spans="1:31" ht="13.15" x14ac:dyDescent="0.4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  <c r="AA568" s="19"/>
      <c r="AB568" s="19"/>
      <c r="AC568" s="19"/>
      <c r="AD568" s="19"/>
      <c r="AE568" s="19"/>
    </row>
    <row r="569" spans="1:31" ht="13.15" x14ac:dyDescent="0.4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  <c r="AC569" s="19"/>
      <c r="AD569" s="19"/>
      <c r="AE569" s="19"/>
    </row>
    <row r="570" spans="1:31" ht="13.15" x14ac:dyDescent="0.4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  <c r="AA570" s="19"/>
      <c r="AB570" s="19"/>
      <c r="AC570" s="19"/>
      <c r="AD570" s="19"/>
      <c r="AE570" s="19"/>
    </row>
    <row r="571" spans="1:31" ht="13.15" x14ac:dyDescent="0.4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  <c r="AA571" s="19"/>
      <c r="AB571" s="19"/>
      <c r="AC571" s="19"/>
      <c r="AD571" s="19"/>
      <c r="AE571" s="19"/>
    </row>
    <row r="572" spans="1:31" ht="13.15" x14ac:dyDescent="0.4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  <c r="AA572" s="19"/>
      <c r="AB572" s="19"/>
      <c r="AC572" s="19"/>
      <c r="AD572" s="19"/>
      <c r="AE572" s="19"/>
    </row>
    <row r="573" spans="1:31" ht="13.15" x14ac:dyDescent="0.4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  <c r="AA573" s="19"/>
      <c r="AB573" s="19"/>
      <c r="AC573" s="19"/>
      <c r="AD573" s="19"/>
      <c r="AE573" s="19"/>
    </row>
    <row r="574" spans="1:31" ht="13.15" x14ac:dyDescent="0.4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  <c r="AC574" s="19"/>
      <c r="AD574" s="19"/>
      <c r="AE574" s="19"/>
    </row>
    <row r="575" spans="1:31" ht="13.15" x14ac:dyDescent="0.4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  <c r="AA575" s="19"/>
      <c r="AB575" s="19"/>
      <c r="AC575" s="19"/>
      <c r="AD575" s="19"/>
      <c r="AE575" s="19"/>
    </row>
    <row r="576" spans="1:31" ht="13.15" x14ac:dyDescent="0.4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  <c r="AA576" s="19"/>
      <c r="AB576" s="19"/>
      <c r="AC576" s="19"/>
      <c r="AD576" s="19"/>
      <c r="AE576" s="19"/>
    </row>
    <row r="577" spans="1:31" ht="13.15" x14ac:dyDescent="0.4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  <c r="AA577" s="19"/>
      <c r="AB577" s="19"/>
      <c r="AC577" s="19"/>
      <c r="AD577" s="19"/>
      <c r="AE577" s="19"/>
    </row>
    <row r="578" spans="1:31" ht="13.15" x14ac:dyDescent="0.4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  <c r="AA578" s="19"/>
      <c r="AB578" s="19"/>
      <c r="AC578" s="19"/>
      <c r="AD578" s="19"/>
      <c r="AE578" s="19"/>
    </row>
    <row r="579" spans="1:31" ht="13.15" x14ac:dyDescent="0.4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  <c r="AA579" s="19"/>
      <c r="AB579" s="19"/>
      <c r="AC579" s="19"/>
      <c r="AD579" s="19"/>
      <c r="AE579" s="19"/>
    </row>
    <row r="580" spans="1:31" ht="13.15" x14ac:dyDescent="0.4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  <c r="AA580" s="19"/>
      <c r="AB580" s="19"/>
      <c r="AC580" s="19"/>
      <c r="AD580" s="19"/>
      <c r="AE580" s="19"/>
    </row>
    <row r="581" spans="1:31" ht="13.15" x14ac:dyDescent="0.4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  <c r="AA581" s="19"/>
      <c r="AB581" s="19"/>
      <c r="AC581" s="19"/>
      <c r="AD581" s="19"/>
      <c r="AE581" s="19"/>
    </row>
    <row r="582" spans="1:31" ht="13.15" x14ac:dyDescent="0.4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  <c r="AA582" s="19"/>
      <c r="AB582" s="19"/>
      <c r="AC582" s="19"/>
      <c r="AD582" s="19"/>
      <c r="AE582" s="19"/>
    </row>
    <row r="583" spans="1:31" ht="13.15" x14ac:dyDescent="0.4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  <c r="AB583" s="19"/>
      <c r="AC583" s="19"/>
      <c r="AD583" s="19"/>
      <c r="AE583" s="19"/>
    </row>
    <row r="584" spans="1:31" ht="13.15" x14ac:dyDescent="0.4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  <c r="AA584" s="19"/>
      <c r="AB584" s="19"/>
      <c r="AC584" s="19"/>
      <c r="AD584" s="19"/>
      <c r="AE584" s="19"/>
    </row>
    <row r="585" spans="1:31" ht="13.15" x14ac:dyDescent="0.4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  <c r="AA585" s="19"/>
      <c r="AB585" s="19"/>
      <c r="AC585" s="19"/>
      <c r="AD585" s="19"/>
      <c r="AE585" s="19"/>
    </row>
    <row r="586" spans="1:31" ht="13.15" x14ac:dyDescent="0.4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  <c r="AA586" s="19"/>
      <c r="AB586" s="19"/>
      <c r="AC586" s="19"/>
      <c r="AD586" s="19"/>
      <c r="AE586" s="19"/>
    </row>
    <row r="587" spans="1:31" ht="13.15" x14ac:dyDescent="0.4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  <c r="AA587" s="19"/>
      <c r="AB587" s="19"/>
      <c r="AC587" s="19"/>
      <c r="AD587" s="19"/>
      <c r="AE587" s="19"/>
    </row>
    <row r="588" spans="1:31" ht="13.15" x14ac:dyDescent="0.4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  <c r="AA588" s="19"/>
      <c r="AB588" s="19"/>
      <c r="AC588" s="19"/>
      <c r="AD588" s="19"/>
      <c r="AE588" s="19"/>
    </row>
    <row r="589" spans="1:31" ht="13.15" x14ac:dyDescent="0.4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  <c r="AA589" s="19"/>
      <c r="AB589" s="19"/>
      <c r="AC589" s="19"/>
      <c r="AD589" s="19"/>
      <c r="AE589" s="19"/>
    </row>
    <row r="590" spans="1:31" ht="13.15" x14ac:dyDescent="0.4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  <c r="AA590" s="19"/>
      <c r="AB590" s="19"/>
      <c r="AC590" s="19"/>
      <c r="AD590" s="19"/>
      <c r="AE590" s="19"/>
    </row>
    <row r="591" spans="1:31" ht="13.15" x14ac:dyDescent="0.4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  <c r="AA591" s="19"/>
      <c r="AB591" s="19"/>
      <c r="AC591" s="19"/>
      <c r="AD591" s="19"/>
      <c r="AE591" s="19"/>
    </row>
    <row r="592" spans="1:31" ht="13.15" x14ac:dyDescent="0.4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  <c r="AA592" s="19"/>
      <c r="AB592" s="19"/>
      <c r="AC592" s="19"/>
      <c r="AD592" s="19"/>
      <c r="AE592" s="19"/>
    </row>
    <row r="593" spans="1:31" ht="13.15" x14ac:dyDescent="0.4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  <c r="AA593" s="19"/>
      <c r="AB593" s="19"/>
      <c r="AC593" s="19"/>
      <c r="AD593" s="19"/>
      <c r="AE593" s="19"/>
    </row>
    <row r="594" spans="1:31" ht="13.15" x14ac:dyDescent="0.4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  <c r="AA594" s="19"/>
      <c r="AB594" s="19"/>
      <c r="AC594" s="19"/>
      <c r="AD594" s="19"/>
      <c r="AE594" s="19"/>
    </row>
    <row r="595" spans="1:31" ht="13.15" x14ac:dyDescent="0.4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  <c r="AA595" s="19"/>
      <c r="AB595" s="19"/>
      <c r="AC595" s="19"/>
      <c r="AD595" s="19"/>
      <c r="AE595" s="19"/>
    </row>
    <row r="596" spans="1:31" ht="13.15" x14ac:dyDescent="0.4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  <c r="AA596" s="19"/>
      <c r="AB596" s="19"/>
      <c r="AC596" s="19"/>
      <c r="AD596" s="19"/>
      <c r="AE596" s="19"/>
    </row>
    <row r="597" spans="1:31" ht="13.15" x14ac:dyDescent="0.4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  <c r="AA597" s="19"/>
      <c r="AB597" s="19"/>
      <c r="AC597" s="19"/>
      <c r="AD597" s="19"/>
      <c r="AE597" s="19"/>
    </row>
    <row r="598" spans="1:31" ht="13.15" x14ac:dyDescent="0.4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  <c r="AA598" s="19"/>
      <c r="AB598" s="19"/>
      <c r="AC598" s="19"/>
      <c r="AD598" s="19"/>
      <c r="AE598" s="19"/>
    </row>
    <row r="599" spans="1:31" ht="13.15" x14ac:dyDescent="0.4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  <c r="AA599" s="19"/>
      <c r="AB599" s="19"/>
      <c r="AC599" s="19"/>
      <c r="AD599" s="19"/>
      <c r="AE599" s="19"/>
    </row>
    <row r="600" spans="1:31" ht="13.15" x14ac:dyDescent="0.4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  <c r="AA600" s="19"/>
      <c r="AB600" s="19"/>
      <c r="AC600" s="19"/>
      <c r="AD600" s="19"/>
      <c r="AE600" s="19"/>
    </row>
    <row r="601" spans="1:31" ht="13.15" x14ac:dyDescent="0.4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  <c r="AB601" s="19"/>
      <c r="AC601" s="19"/>
      <c r="AD601" s="19"/>
      <c r="AE601" s="19"/>
    </row>
    <row r="602" spans="1:31" ht="13.15" x14ac:dyDescent="0.4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  <c r="AA602" s="19"/>
      <c r="AB602" s="19"/>
      <c r="AC602" s="19"/>
      <c r="AD602" s="19"/>
      <c r="AE602" s="19"/>
    </row>
    <row r="603" spans="1:31" ht="13.15" x14ac:dyDescent="0.4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  <c r="AA603" s="19"/>
      <c r="AB603" s="19"/>
      <c r="AC603" s="19"/>
      <c r="AD603" s="19"/>
      <c r="AE603" s="19"/>
    </row>
    <row r="604" spans="1:31" ht="13.15" x14ac:dyDescent="0.4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  <c r="AA604" s="19"/>
      <c r="AB604" s="19"/>
      <c r="AC604" s="19"/>
      <c r="AD604" s="19"/>
      <c r="AE604" s="19"/>
    </row>
    <row r="605" spans="1:31" ht="13.15" x14ac:dyDescent="0.4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  <c r="AA605" s="19"/>
      <c r="AB605" s="19"/>
      <c r="AC605" s="19"/>
      <c r="AD605" s="19"/>
      <c r="AE605" s="19"/>
    </row>
    <row r="606" spans="1:31" ht="13.15" x14ac:dyDescent="0.4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  <c r="AA606" s="19"/>
      <c r="AB606" s="19"/>
      <c r="AC606" s="19"/>
      <c r="AD606" s="19"/>
      <c r="AE606" s="19"/>
    </row>
    <row r="607" spans="1:31" ht="13.15" x14ac:dyDescent="0.4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  <c r="AA607" s="19"/>
      <c r="AB607" s="19"/>
      <c r="AC607" s="19"/>
      <c r="AD607" s="19"/>
      <c r="AE607" s="19"/>
    </row>
    <row r="608" spans="1:31" ht="13.15" x14ac:dyDescent="0.4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  <c r="AB608" s="19"/>
      <c r="AC608" s="19"/>
      <c r="AD608" s="19"/>
      <c r="AE608" s="19"/>
    </row>
    <row r="609" spans="1:31" ht="13.15" x14ac:dyDescent="0.4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  <c r="AA609" s="19"/>
      <c r="AB609" s="19"/>
      <c r="AC609" s="19"/>
      <c r="AD609" s="19"/>
      <c r="AE609" s="19"/>
    </row>
    <row r="610" spans="1:31" ht="13.15" x14ac:dyDescent="0.4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  <c r="AA610" s="19"/>
      <c r="AB610" s="19"/>
      <c r="AC610" s="19"/>
      <c r="AD610" s="19"/>
      <c r="AE610" s="19"/>
    </row>
    <row r="611" spans="1:31" ht="13.15" x14ac:dyDescent="0.4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  <c r="AA611" s="19"/>
      <c r="AB611" s="19"/>
      <c r="AC611" s="19"/>
      <c r="AD611" s="19"/>
      <c r="AE611" s="19"/>
    </row>
    <row r="612" spans="1:31" ht="13.15" x14ac:dyDescent="0.4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  <c r="AA612" s="19"/>
      <c r="AB612" s="19"/>
      <c r="AC612" s="19"/>
      <c r="AD612" s="19"/>
      <c r="AE612" s="19"/>
    </row>
    <row r="613" spans="1:31" ht="13.15" x14ac:dyDescent="0.4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  <c r="AC613" s="19"/>
      <c r="AD613" s="19"/>
      <c r="AE613" s="19"/>
    </row>
    <row r="614" spans="1:31" ht="13.15" x14ac:dyDescent="0.4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  <c r="AC614" s="19"/>
      <c r="AD614" s="19"/>
      <c r="AE614" s="19"/>
    </row>
    <row r="615" spans="1:31" ht="13.15" x14ac:dyDescent="0.4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  <c r="AC615" s="19"/>
      <c r="AD615" s="19"/>
      <c r="AE615" s="19"/>
    </row>
    <row r="616" spans="1:31" ht="13.15" x14ac:dyDescent="0.4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  <c r="AC616" s="19"/>
      <c r="AD616" s="19"/>
      <c r="AE616" s="19"/>
    </row>
    <row r="617" spans="1:31" ht="13.15" x14ac:dyDescent="0.4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  <c r="AA617" s="19"/>
      <c r="AB617" s="19"/>
      <c r="AC617" s="19"/>
      <c r="AD617" s="19"/>
      <c r="AE617" s="19"/>
    </row>
    <row r="618" spans="1:31" ht="13.15" x14ac:dyDescent="0.4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  <c r="AA618" s="19"/>
      <c r="AB618" s="19"/>
      <c r="AC618" s="19"/>
      <c r="AD618" s="19"/>
      <c r="AE618" s="19"/>
    </row>
    <row r="619" spans="1:31" ht="13.15" x14ac:dyDescent="0.4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  <c r="AA619" s="19"/>
      <c r="AB619" s="19"/>
      <c r="AC619" s="19"/>
      <c r="AD619" s="19"/>
      <c r="AE619" s="19"/>
    </row>
    <row r="620" spans="1:31" ht="13.15" x14ac:dyDescent="0.4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  <c r="AB620" s="19"/>
      <c r="AC620" s="19"/>
      <c r="AD620" s="19"/>
      <c r="AE620" s="19"/>
    </row>
    <row r="621" spans="1:31" ht="13.15" x14ac:dyDescent="0.4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  <c r="AA621" s="19"/>
      <c r="AB621" s="19"/>
      <c r="AC621" s="19"/>
      <c r="AD621" s="19"/>
      <c r="AE621" s="19"/>
    </row>
    <row r="622" spans="1:31" ht="13.15" x14ac:dyDescent="0.4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  <c r="AA622" s="19"/>
      <c r="AB622" s="19"/>
      <c r="AC622" s="19"/>
      <c r="AD622" s="19"/>
      <c r="AE622" s="19"/>
    </row>
    <row r="623" spans="1:31" ht="13.15" x14ac:dyDescent="0.4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  <c r="AA623" s="19"/>
      <c r="AB623" s="19"/>
      <c r="AC623" s="19"/>
      <c r="AD623" s="19"/>
      <c r="AE623" s="19"/>
    </row>
    <row r="624" spans="1:31" ht="13.15" x14ac:dyDescent="0.4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  <c r="AA624" s="19"/>
      <c r="AB624" s="19"/>
      <c r="AC624" s="19"/>
      <c r="AD624" s="19"/>
      <c r="AE624" s="19"/>
    </row>
    <row r="625" spans="1:31" ht="13.15" x14ac:dyDescent="0.4">
      <c r="A625" s="19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  <c r="AA625" s="19"/>
      <c r="AB625" s="19"/>
      <c r="AC625" s="19"/>
      <c r="AD625" s="19"/>
      <c r="AE625" s="19"/>
    </row>
    <row r="626" spans="1:31" ht="13.15" x14ac:dyDescent="0.4">
      <c r="A626" s="19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  <c r="AA626" s="19"/>
      <c r="AB626" s="19"/>
      <c r="AC626" s="19"/>
      <c r="AD626" s="19"/>
      <c r="AE626" s="19"/>
    </row>
    <row r="627" spans="1:31" ht="13.15" x14ac:dyDescent="0.4">
      <c r="A627" s="19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  <c r="AA627" s="19"/>
      <c r="AB627" s="19"/>
      <c r="AC627" s="19"/>
      <c r="AD627" s="19"/>
      <c r="AE627" s="19"/>
    </row>
    <row r="628" spans="1:31" ht="13.15" x14ac:dyDescent="0.4">
      <c r="A628" s="19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  <c r="AA628" s="19"/>
      <c r="AB628" s="19"/>
      <c r="AC628" s="19"/>
      <c r="AD628" s="19"/>
      <c r="AE628" s="19"/>
    </row>
    <row r="629" spans="1:31" ht="13.15" x14ac:dyDescent="0.4">
      <c r="A629" s="19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  <c r="AA629" s="19"/>
      <c r="AB629" s="19"/>
      <c r="AC629" s="19"/>
      <c r="AD629" s="19"/>
      <c r="AE629" s="19"/>
    </row>
    <row r="630" spans="1:31" ht="13.15" x14ac:dyDescent="0.4">
      <c r="A630" s="19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  <c r="AA630" s="19"/>
      <c r="AB630" s="19"/>
      <c r="AC630" s="19"/>
      <c r="AD630" s="19"/>
      <c r="AE630" s="19"/>
    </row>
    <row r="631" spans="1:31" ht="13.15" x14ac:dyDescent="0.4">
      <c r="A631" s="19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  <c r="AC631" s="19"/>
      <c r="AD631" s="19"/>
      <c r="AE631" s="19"/>
    </row>
    <row r="632" spans="1:31" ht="13.15" x14ac:dyDescent="0.4">
      <c r="A632" s="19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  <c r="AA632" s="19"/>
      <c r="AB632" s="19"/>
      <c r="AC632" s="19"/>
      <c r="AD632" s="19"/>
      <c r="AE632" s="19"/>
    </row>
    <row r="633" spans="1:31" ht="13.15" x14ac:dyDescent="0.4">
      <c r="A633" s="19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  <c r="AA633" s="19"/>
      <c r="AB633" s="19"/>
      <c r="AC633" s="19"/>
      <c r="AD633" s="19"/>
      <c r="AE633" s="19"/>
    </row>
    <row r="634" spans="1:31" ht="13.15" x14ac:dyDescent="0.4">
      <c r="A634" s="19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  <c r="AA634" s="19"/>
      <c r="AB634" s="19"/>
      <c r="AC634" s="19"/>
      <c r="AD634" s="19"/>
      <c r="AE634" s="19"/>
    </row>
    <row r="635" spans="1:31" ht="13.15" x14ac:dyDescent="0.4">
      <c r="A635" s="19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  <c r="AA635" s="19"/>
      <c r="AB635" s="19"/>
      <c r="AC635" s="19"/>
      <c r="AD635" s="19"/>
      <c r="AE635" s="19"/>
    </row>
    <row r="636" spans="1:31" ht="13.15" x14ac:dyDescent="0.4">
      <c r="A636" s="19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  <c r="AA636" s="19"/>
      <c r="AB636" s="19"/>
      <c r="AC636" s="19"/>
      <c r="AD636" s="19"/>
      <c r="AE636" s="19"/>
    </row>
    <row r="637" spans="1:31" ht="13.15" x14ac:dyDescent="0.4">
      <c r="A637" s="19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  <c r="AA637" s="19"/>
      <c r="AB637" s="19"/>
      <c r="AC637" s="19"/>
      <c r="AD637" s="19"/>
      <c r="AE637" s="19"/>
    </row>
    <row r="638" spans="1:31" ht="13.15" x14ac:dyDescent="0.4">
      <c r="A638" s="19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  <c r="AA638" s="19"/>
      <c r="AB638" s="19"/>
      <c r="AC638" s="19"/>
      <c r="AD638" s="19"/>
      <c r="AE638" s="19"/>
    </row>
    <row r="639" spans="1:31" ht="13.15" x14ac:dyDescent="0.4">
      <c r="A639" s="19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  <c r="AA639" s="19"/>
      <c r="AB639" s="19"/>
      <c r="AC639" s="19"/>
      <c r="AD639" s="19"/>
      <c r="AE639" s="19"/>
    </row>
    <row r="640" spans="1:31" ht="13.15" x14ac:dyDescent="0.4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  <c r="AA640" s="19"/>
      <c r="AB640" s="19"/>
      <c r="AC640" s="19"/>
      <c r="AD640" s="19"/>
      <c r="AE640" s="19"/>
    </row>
    <row r="641" spans="1:31" ht="13.15" x14ac:dyDescent="0.4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  <c r="AA641" s="19"/>
      <c r="AB641" s="19"/>
      <c r="AC641" s="19"/>
      <c r="AD641" s="19"/>
      <c r="AE641" s="19"/>
    </row>
    <row r="642" spans="1:31" ht="13.15" x14ac:dyDescent="0.4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  <c r="AA642" s="19"/>
      <c r="AB642" s="19"/>
      <c r="AC642" s="19"/>
      <c r="AD642" s="19"/>
      <c r="AE642" s="19"/>
    </row>
    <row r="643" spans="1:31" ht="13.15" x14ac:dyDescent="0.4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  <c r="AA643" s="19"/>
      <c r="AB643" s="19"/>
      <c r="AC643" s="19"/>
      <c r="AD643" s="19"/>
      <c r="AE643" s="19"/>
    </row>
    <row r="644" spans="1:31" ht="13.15" x14ac:dyDescent="0.4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  <c r="AA644" s="19"/>
      <c r="AB644" s="19"/>
      <c r="AC644" s="19"/>
      <c r="AD644" s="19"/>
      <c r="AE644" s="19"/>
    </row>
    <row r="645" spans="1:31" ht="13.15" x14ac:dyDescent="0.4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  <c r="AA645" s="19"/>
      <c r="AB645" s="19"/>
      <c r="AC645" s="19"/>
      <c r="AD645" s="19"/>
      <c r="AE645" s="19"/>
    </row>
    <row r="646" spans="1:31" ht="13.15" x14ac:dyDescent="0.4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  <c r="AB646" s="19"/>
      <c r="AC646" s="19"/>
      <c r="AD646" s="19"/>
      <c r="AE646" s="19"/>
    </row>
    <row r="647" spans="1:31" ht="13.15" x14ac:dyDescent="0.4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  <c r="AA647" s="19"/>
      <c r="AB647" s="19"/>
      <c r="AC647" s="19"/>
      <c r="AD647" s="19"/>
      <c r="AE647" s="19"/>
    </row>
    <row r="648" spans="1:31" ht="13.15" x14ac:dyDescent="0.4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  <c r="AA648" s="19"/>
      <c r="AB648" s="19"/>
      <c r="AC648" s="19"/>
      <c r="AD648" s="19"/>
      <c r="AE648" s="19"/>
    </row>
    <row r="649" spans="1:31" ht="13.15" x14ac:dyDescent="0.4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  <c r="AA649" s="19"/>
      <c r="AB649" s="19"/>
      <c r="AC649" s="19"/>
      <c r="AD649" s="19"/>
      <c r="AE649" s="19"/>
    </row>
    <row r="650" spans="1:31" ht="13.15" x14ac:dyDescent="0.4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  <c r="AA650" s="19"/>
      <c r="AB650" s="19"/>
      <c r="AC650" s="19"/>
      <c r="AD650" s="19"/>
      <c r="AE650" s="19"/>
    </row>
    <row r="651" spans="1:31" ht="13.15" x14ac:dyDescent="0.4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  <c r="AA651" s="19"/>
      <c r="AB651" s="19"/>
      <c r="AC651" s="19"/>
      <c r="AD651" s="19"/>
      <c r="AE651" s="19"/>
    </row>
    <row r="652" spans="1:31" ht="13.15" x14ac:dyDescent="0.4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  <c r="AA652" s="19"/>
      <c r="AB652" s="19"/>
      <c r="AC652" s="19"/>
      <c r="AD652" s="19"/>
      <c r="AE652" s="19"/>
    </row>
    <row r="653" spans="1:31" ht="13.15" x14ac:dyDescent="0.4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  <c r="AA653" s="19"/>
      <c r="AB653" s="19"/>
      <c r="AC653" s="19"/>
      <c r="AD653" s="19"/>
      <c r="AE653" s="19"/>
    </row>
    <row r="654" spans="1:31" ht="13.15" x14ac:dyDescent="0.4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  <c r="AA654" s="19"/>
      <c r="AB654" s="19"/>
      <c r="AC654" s="19"/>
      <c r="AD654" s="19"/>
      <c r="AE654" s="19"/>
    </row>
    <row r="655" spans="1:31" ht="13.15" x14ac:dyDescent="0.4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  <c r="AA655" s="19"/>
      <c r="AB655" s="19"/>
      <c r="AC655" s="19"/>
      <c r="AD655" s="19"/>
      <c r="AE655" s="19"/>
    </row>
    <row r="656" spans="1:31" ht="13.15" x14ac:dyDescent="0.4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  <c r="AA656" s="19"/>
      <c r="AB656" s="19"/>
      <c r="AC656" s="19"/>
      <c r="AD656" s="19"/>
      <c r="AE656" s="19"/>
    </row>
    <row r="657" spans="1:31" ht="13.15" x14ac:dyDescent="0.4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  <c r="AA657" s="19"/>
      <c r="AB657" s="19"/>
      <c r="AC657" s="19"/>
      <c r="AD657" s="19"/>
      <c r="AE657" s="19"/>
    </row>
    <row r="658" spans="1:31" ht="13.15" x14ac:dyDescent="0.4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  <c r="AA658" s="19"/>
      <c r="AB658" s="19"/>
      <c r="AC658" s="19"/>
      <c r="AD658" s="19"/>
      <c r="AE658" s="19"/>
    </row>
    <row r="659" spans="1:31" ht="13.15" x14ac:dyDescent="0.4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  <c r="AA659" s="19"/>
      <c r="AB659" s="19"/>
      <c r="AC659" s="19"/>
      <c r="AD659" s="19"/>
      <c r="AE659" s="19"/>
    </row>
    <row r="660" spans="1:31" ht="13.15" x14ac:dyDescent="0.4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  <c r="AA660" s="19"/>
      <c r="AB660" s="19"/>
      <c r="AC660" s="19"/>
      <c r="AD660" s="19"/>
      <c r="AE660" s="19"/>
    </row>
    <row r="661" spans="1:31" ht="13.15" x14ac:dyDescent="0.4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  <c r="AA661" s="19"/>
      <c r="AB661" s="19"/>
      <c r="AC661" s="19"/>
      <c r="AD661" s="19"/>
      <c r="AE661" s="19"/>
    </row>
    <row r="662" spans="1:31" ht="13.15" x14ac:dyDescent="0.4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  <c r="AA662" s="19"/>
      <c r="AB662" s="19"/>
      <c r="AC662" s="19"/>
      <c r="AD662" s="19"/>
      <c r="AE662" s="19"/>
    </row>
    <row r="663" spans="1:31" ht="13.15" x14ac:dyDescent="0.4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  <c r="AA663" s="19"/>
      <c r="AB663" s="19"/>
      <c r="AC663" s="19"/>
      <c r="AD663" s="19"/>
      <c r="AE663" s="19"/>
    </row>
    <row r="664" spans="1:31" ht="13.15" x14ac:dyDescent="0.4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  <c r="AA664" s="19"/>
      <c r="AB664" s="19"/>
      <c r="AC664" s="19"/>
      <c r="AD664" s="19"/>
      <c r="AE664" s="19"/>
    </row>
    <row r="665" spans="1:31" ht="13.15" x14ac:dyDescent="0.4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  <c r="AA665" s="19"/>
      <c r="AB665" s="19"/>
      <c r="AC665" s="19"/>
      <c r="AD665" s="19"/>
      <c r="AE665" s="19"/>
    </row>
    <row r="666" spans="1:31" ht="13.15" x14ac:dyDescent="0.4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  <c r="AA666" s="19"/>
      <c r="AB666" s="19"/>
      <c r="AC666" s="19"/>
      <c r="AD666" s="19"/>
      <c r="AE666" s="19"/>
    </row>
    <row r="667" spans="1:31" ht="13.15" x14ac:dyDescent="0.4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  <c r="AA667" s="19"/>
      <c r="AB667" s="19"/>
      <c r="AC667" s="19"/>
      <c r="AD667" s="19"/>
      <c r="AE667" s="19"/>
    </row>
    <row r="668" spans="1:31" ht="13.15" x14ac:dyDescent="0.4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  <c r="AA668" s="19"/>
      <c r="AB668" s="19"/>
      <c r="AC668" s="19"/>
      <c r="AD668" s="19"/>
      <c r="AE668" s="19"/>
    </row>
    <row r="669" spans="1:31" ht="13.15" x14ac:dyDescent="0.4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  <c r="AA669" s="19"/>
      <c r="AB669" s="19"/>
      <c r="AC669" s="19"/>
      <c r="AD669" s="19"/>
      <c r="AE669" s="19"/>
    </row>
    <row r="670" spans="1:31" ht="13.15" x14ac:dyDescent="0.4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  <c r="AA670" s="19"/>
      <c r="AB670" s="19"/>
      <c r="AC670" s="19"/>
      <c r="AD670" s="19"/>
      <c r="AE670" s="19"/>
    </row>
    <row r="671" spans="1:31" ht="13.15" x14ac:dyDescent="0.4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  <c r="AA671" s="19"/>
      <c r="AB671" s="19"/>
      <c r="AC671" s="19"/>
      <c r="AD671" s="19"/>
      <c r="AE671" s="19"/>
    </row>
    <row r="672" spans="1:31" ht="13.15" x14ac:dyDescent="0.4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  <c r="AA672" s="19"/>
      <c r="AB672" s="19"/>
      <c r="AC672" s="19"/>
      <c r="AD672" s="19"/>
      <c r="AE672" s="19"/>
    </row>
    <row r="673" spans="1:31" ht="13.15" x14ac:dyDescent="0.4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  <c r="AA673" s="19"/>
      <c r="AB673" s="19"/>
      <c r="AC673" s="19"/>
      <c r="AD673" s="19"/>
      <c r="AE673" s="19"/>
    </row>
    <row r="674" spans="1:31" ht="13.15" x14ac:dyDescent="0.4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  <c r="AA674" s="19"/>
      <c r="AB674" s="19"/>
      <c r="AC674" s="19"/>
      <c r="AD674" s="19"/>
      <c r="AE674" s="19"/>
    </row>
    <row r="675" spans="1:31" ht="13.15" x14ac:dyDescent="0.4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  <c r="AA675" s="19"/>
      <c r="AB675" s="19"/>
      <c r="AC675" s="19"/>
      <c r="AD675" s="19"/>
      <c r="AE675" s="19"/>
    </row>
    <row r="676" spans="1:31" ht="13.15" x14ac:dyDescent="0.4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  <c r="AA676" s="19"/>
      <c r="AB676" s="19"/>
      <c r="AC676" s="19"/>
      <c r="AD676" s="19"/>
      <c r="AE676" s="19"/>
    </row>
    <row r="677" spans="1:31" ht="13.15" x14ac:dyDescent="0.4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  <c r="AA677" s="19"/>
      <c r="AB677" s="19"/>
      <c r="AC677" s="19"/>
      <c r="AD677" s="19"/>
      <c r="AE677" s="19"/>
    </row>
    <row r="678" spans="1:31" ht="13.15" x14ac:dyDescent="0.4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  <c r="AA678" s="19"/>
      <c r="AB678" s="19"/>
      <c r="AC678" s="19"/>
      <c r="AD678" s="19"/>
      <c r="AE678" s="19"/>
    </row>
    <row r="679" spans="1:31" ht="13.15" x14ac:dyDescent="0.4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A679" s="19"/>
      <c r="AB679" s="19"/>
      <c r="AC679" s="19"/>
      <c r="AD679" s="19"/>
      <c r="AE679" s="19"/>
    </row>
    <row r="680" spans="1:31" ht="13.15" x14ac:dyDescent="0.4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  <c r="AA680" s="19"/>
      <c r="AB680" s="19"/>
      <c r="AC680" s="19"/>
      <c r="AD680" s="19"/>
      <c r="AE680" s="19"/>
    </row>
    <row r="681" spans="1:31" ht="13.15" x14ac:dyDescent="0.4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  <c r="AA681" s="19"/>
      <c r="AB681" s="19"/>
      <c r="AC681" s="19"/>
      <c r="AD681" s="19"/>
      <c r="AE681" s="19"/>
    </row>
    <row r="682" spans="1:31" ht="13.15" x14ac:dyDescent="0.4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  <c r="AA682" s="19"/>
      <c r="AB682" s="19"/>
      <c r="AC682" s="19"/>
      <c r="AD682" s="19"/>
      <c r="AE682" s="19"/>
    </row>
    <row r="683" spans="1:31" ht="13.15" x14ac:dyDescent="0.4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  <c r="AA683" s="19"/>
      <c r="AB683" s="19"/>
      <c r="AC683" s="19"/>
      <c r="AD683" s="19"/>
      <c r="AE683" s="19"/>
    </row>
    <row r="684" spans="1:31" ht="13.15" x14ac:dyDescent="0.4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  <c r="AA684" s="19"/>
      <c r="AB684" s="19"/>
      <c r="AC684" s="19"/>
      <c r="AD684" s="19"/>
      <c r="AE684" s="19"/>
    </row>
    <row r="685" spans="1:31" ht="13.15" x14ac:dyDescent="0.4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  <c r="AA685" s="19"/>
      <c r="AB685" s="19"/>
      <c r="AC685" s="19"/>
      <c r="AD685" s="19"/>
      <c r="AE685" s="19"/>
    </row>
    <row r="686" spans="1:31" ht="13.15" x14ac:dyDescent="0.4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  <c r="AA686" s="19"/>
      <c r="AB686" s="19"/>
      <c r="AC686" s="19"/>
      <c r="AD686" s="19"/>
      <c r="AE686" s="19"/>
    </row>
    <row r="687" spans="1:31" ht="13.15" x14ac:dyDescent="0.4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  <c r="AA687" s="19"/>
      <c r="AB687" s="19"/>
      <c r="AC687" s="19"/>
      <c r="AD687" s="19"/>
      <c r="AE687" s="19"/>
    </row>
    <row r="688" spans="1:31" ht="13.15" x14ac:dyDescent="0.4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  <c r="AA688" s="19"/>
      <c r="AB688" s="19"/>
      <c r="AC688" s="19"/>
      <c r="AD688" s="19"/>
      <c r="AE688" s="19"/>
    </row>
    <row r="689" spans="1:31" ht="13.15" x14ac:dyDescent="0.4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  <c r="AA689" s="19"/>
      <c r="AB689" s="19"/>
      <c r="AC689" s="19"/>
      <c r="AD689" s="19"/>
      <c r="AE689" s="19"/>
    </row>
    <row r="690" spans="1:31" ht="13.15" x14ac:dyDescent="0.4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  <c r="AA690" s="19"/>
      <c r="AB690" s="19"/>
      <c r="AC690" s="19"/>
      <c r="AD690" s="19"/>
      <c r="AE690" s="19"/>
    </row>
    <row r="691" spans="1:31" ht="13.15" x14ac:dyDescent="0.4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  <c r="AA691" s="19"/>
      <c r="AB691" s="19"/>
      <c r="AC691" s="19"/>
      <c r="AD691" s="19"/>
      <c r="AE691" s="19"/>
    </row>
    <row r="692" spans="1:31" ht="13.15" x14ac:dyDescent="0.4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  <c r="AA692" s="19"/>
      <c r="AB692" s="19"/>
      <c r="AC692" s="19"/>
      <c r="AD692" s="19"/>
      <c r="AE692" s="19"/>
    </row>
    <row r="693" spans="1:31" ht="13.15" x14ac:dyDescent="0.4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  <c r="AA693" s="19"/>
      <c r="AB693" s="19"/>
      <c r="AC693" s="19"/>
      <c r="AD693" s="19"/>
      <c r="AE693" s="19"/>
    </row>
    <row r="694" spans="1:31" ht="13.15" x14ac:dyDescent="0.4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  <c r="AA694" s="19"/>
      <c r="AB694" s="19"/>
      <c r="AC694" s="19"/>
      <c r="AD694" s="19"/>
      <c r="AE694" s="19"/>
    </row>
    <row r="695" spans="1:31" ht="13.15" x14ac:dyDescent="0.4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  <c r="AA695" s="19"/>
      <c r="AB695" s="19"/>
      <c r="AC695" s="19"/>
      <c r="AD695" s="19"/>
      <c r="AE695" s="19"/>
    </row>
    <row r="696" spans="1:31" ht="13.15" x14ac:dyDescent="0.4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  <c r="AA696" s="19"/>
      <c r="AB696" s="19"/>
      <c r="AC696" s="19"/>
      <c r="AD696" s="19"/>
      <c r="AE696" s="19"/>
    </row>
    <row r="697" spans="1:31" ht="13.15" x14ac:dyDescent="0.4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  <c r="AA697" s="19"/>
      <c r="AB697" s="19"/>
      <c r="AC697" s="19"/>
      <c r="AD697" s="19"/>
      <c r="AE697" s="19"/>
    </row>
    <row r="698" spans="1:31" ht="13.15" x14ac:dyDescent="0.4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  <c r="AA698" s="19"/>
      <c r="AB698" s="19"/>
      <c r="AC698" s="19"/>
      <c r="AD698" s="19"/>
      <c r="AE698" s="19"/>
    </row>
    <row r="699" spans="1:31" ht="13.15" x14ac:dyDescent="0.4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  <c r="AA699" s="19"/>
      <c r="AB699" s="19"/>
      <c r="AC699" s="19"/>
      <c r="AD699" s="19"/>
      <c r="AE699" s="19"/>
    </row>
    <row r="700" spans="1:31" ht="13.15" x14ac:dyDescent="0.4">
      <c r="A700" s="19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  <c r="AA700" s="19"/>
      <c r="AB700" s="19"/>
      <c r="AC700" s="19"/>
      <c r="AD700" s="19"/>
      <c r="AE700" s="19"/>
    </row>
    <row r="701" spans="1:31" ht="13.15" x14ac:dyDescent="0.4">
      <c r="A701" s="19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  <c r="AA701" s="19"/>
      <c r="AB701" s="19"/>
      <c r="AC701" s="19"/>
      <c r="AD701" s="19"/>
      <c r="AE701" s="19"/>
    </row>
    <row r="702" spans="1:31" ht="13.15" x14ac:dyDescent="0.4">
      <c r="A702" s="19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  <c r="AA702" s="19"/>
      <c r="AB702" s="19"/>
      <c r="AC702" s="19"/>
      <c r="AD702" s="19"/>
      <c r="AE702" s="19"/>
    </row>
    <row r="703" spans="1:31" ht="13.15" x14ac:dyDescent="0.4">
      <c r="A703" s="19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  <c r="AA703" s="19"/>
      <c r="AB703" s="19"/>
      <c r="AC703" s="19"/>
      <c r="AD703" s="19"/>
      <c r="AE703" s="19"/>
    </row>
    <row r="704" spans="1:31" ht="13.15" x14ac:dyDescent="0.4">
      <c r="A704" s="19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  <c r="AA704" s="19"/>
      <c r="AB704" s="19"/>
      <c r="AC704" s="19"/>
      <c r="AD704" s="19"/>
      <c r="AE704" s="19"/>
    </row>
    <row r="705" spans="1:31" ht="13.15" x14ac:dyDescent="0.4">
      <c r="A705" s="19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  <c r="AA705" s="19"/>
      <c r="AB705" s="19"/>
      <c r="AC705" s="19"/>
      <c r="AD705" s="19"/>
      <c r="AE705" s="19"/>
    </row>
    <row r="706" spans="1:31" ht="13.15" x14ac:dyDescent="0.4">
      <c r="A706" s="19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A706" s="19"/>
      <c r="AB706" s="19"/>
      <c r="AC706" s="19"/>
      <c r="AD706" s="19"/>
      <c r="AE706" s="19"/>
    </row>
    <row r="707" spans="1:31" ht="13.15" x14ac:dyDescent="0.4">
      <c r="A707" s="19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  <c r="AA707" s="19"/>
      <c r="AB707" s="19"/>
      <c r="AC707" s="19"/>
      <c r="AD707" s="19"/>
      <c r="AE707" s="19"/>
    </row>
    <row r="708" spans="1:31" ht="13.15" x14ac:dyDescent="0.4">
      <c r="A708" s="19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  <c r="AA708" s="19"/>
      <c r="AB708" s="19"/>
      <c r="AC708" s="19"/>
      <c r="AD708" s="19"/>
      <c r="AE708" s="19"/>
    </row>
    <row r="709" spans="1:31" ht="13.15" x14ac:dyDescent="0.4">
      <c r="A709" s="19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  <c r="AA709" s="19"/>
      <c r="AB709" s="19"/>
      <c r="AC709" s="19"/>
      <c r="AD709" s="19"/>
      <c r="AE709" s="19"/>
    </row>
    <row r="710" spans="1:31" ht="13.15" x14ac:dyDescent="0.4">
      <c r="A710" s="19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  <c r="AA710" s="19"/>
      <c r="AB710" s="19"/>
      <c r="AC710" s="19"/>
      <c r="AD710" s="19"/>
      <c r="AE710" s="19"/>
    </row>
    <row r="711" spans="1:31" ht="13.15" x14ac:dyDescent="0.4">
      <c r="A711" s="19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  <c r="AB711" s="19"/>
      <c r="AC711" s="19"/>
      <c r="AD711" s="19"/>
      <c r="AE711" s="19"/>
    </row>
    <row r="712" spans="1:31" ht="13.15" x14ac:dyDescent="0.4">
      <c r="A712" s="19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  <c r="AA712" s="19"/>
      <c r="AB712" s="19"/>
      <c r="AC712" s="19"/>
      <c r="AD712" s="19"/>
      <c r="AE712" s="19"/>
    </row>
    <row r="713" spans="1:31" ht="13.15" x14ac:dyDescent="0.4">
      <c r="A713" s="19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  <c r="AA713" s="19"/>
      <c r="AB713" s="19"/>
      <c r="AC713" s="19"/>
      <c r="AD713" s="19"/>
      <c r="AE713" s="19"/>
    </row>
    <row r="714" spans="1:31" ht="13.15" x14ac:dyDescent="0.4">
      <c r="A714" s="19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  <c r="AA714" s="19"/>
      <c r="AB714" s="19"/>
      <c r="AC714" s="19"/>
      <c r="AD714" s="19"/>
      <c r="AE714" s="19"/>
    </row>
    <row r="715" spans="1:31" ht="13.15" x14ac:dyDescent="0.4">
      <c r="A715" s="19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  <c r="AA715" s="19"/>
      <c r="AB715" s="19"/>
      <c r="AC715" s="19"/>
      <c r="AD715" s="19"/>
      <c r="AE715" s="19"/>
    </row>
    <row r="716" spans="1:31" ht="13.15" x14ac:dyDescent="0.4">
      <c r="A716" s="19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  <c r="AA716" s="19"/>
      <c r="AB716" s="19"/>
      <c r="AC716" s="19"/>
      <c r="AD716" s="19"/>
      <c r="AE716" s="19"/>
    </row>
    <row r="717" spans="1:31" ht="13.15" x14ac:dyDescent="0.4">
      <c r="A717" s="19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  <c r="AA717" s="19"/>
      <c r="AB717" s="19"/>
      <c r="AC717" s="19"/>
      <c r="AD717" s="19"/>
      <c r="AE717" s="19"/>
    </row>
    <row r="718" spans="1:31" ht="13.15" x14ac:dyDescent="0.4">
      <c r="A718" s="19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  <c r="AA718" s="19"/>
      <c r="AB718" s="19"/>
      <c r="AC718" s="19"/>
      <c r="AD718" s="19"/>
      <c r="AE718" s="19"/>
    </row>
    <row r="719" spans="1:31" ht="13.15" x14ac:dyDescent="0.4">
      <c r="A719" s="19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  <c r="AA719" s="19"/>
      <c r="AB719" s="19"/>
      <c r="AC719" s="19"/>
      <c r="AD719" s="19"/>
      <c r="AE719" s="19"/>
    </row>
    <row r="720" spans="1:31" ht="13.15" x14ac:dyDescent="0.4">
      <c r="A720" s="19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  <c r="AA720" s="19"/>
      <c r="AB720" s="19"/>
      <c r="AC720" s="19"/>
      <c r="AD720" s="19"/>
      <c r="AE720" s="19"/>
    </row>
    <row r="721" spans="1:31" ht="13.15" x14ac:dyDescent="0.4">
      <c r="A721" s="19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  <c r="AA721" s="19"/>
      <c r="AB721" s="19"/>
      <c r="AC721" s="19"/>
      <c r="AD721" s="19"/>
      <c r="AE721" s="19"/>
    </row>
    <row r="722" spans="1:31" ht="13.15" x14ac:dyDescent="0.4">
      <c r="A722" s="19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  <c r="AA722" s="19"/>
      <c r="AB722" s="19"/>
      <c r="AC722" s="19"/>
      <c r="AD722" s="19"/>
      <c r="AE722" s="19"/>
    </row>
    <row r="723" spans="1:31" ht="13.15" x14ac:dyDescent="0.4">
      <c r="A723" s="19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  <c r="AA723" s="19"/>
      <c r="AB723" s="19"/>
      <c r="AC723" s="19"/>
      <c r="AD723" s="19"/>
      <c r="AE723" s="19"/>
    </row>
    <row r="724" spans="1:31" ht="13.15" x14ac:dyDescent="0.4">
      <c r="A724" s="19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  <c r="AA724" s="19"/>
      <c r="AB724" s="19"/>
      <c r="AC724" s="19"/>
      <c r="AD724" s="19"/>
      <c r="AE724" s="19"/>
    </row>
    <row r="725" spans="1:31" ht="13.15" x14ac:dyDescent="0.4">
      <c r="A725" s="19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  <c r="AA725" s="19"/>
      <c r="AB725" s="19"/>
      <c r="AC725" s="19"/>
      <c r="AD725" s="19"/>
      <c r="AE725" s="19"/>
    </row>
    <row r="726" spans="1:31" ht="13.15" x14ac:dyDescent="0.4">
      <c r="A726" s="19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  <c r="AA726" s="19"/>
      <c r="AB726" s="19"/>
      <c r="AC726" s="19"/>
      <c r="AD726" s="19"/>
      <c r="AE726" s="19"/>
    </row>
    <row r="727" spans="1:31" ht="13.15" x14ac:dyDescent="0.4">
      <c r="A727" s="19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  <c r="AA727" s="19"/>
      <c r="AB727" s="19"/>
      <c r="AC727" s="19"/>
      <c r="AD727" s="19"/>
      <c r="AE727" s="19"/>
    </row>
    <row r="728" spans="1:31" ht="13.15" x14ac:dyDescent="0.4">
      <c r="A728" s="19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  <c r="AB728" s="19"/>
      <c r="AC728" s="19"/>
      <c r="AD728" s="19"/>
      <c r="AE728" s="19"/>
    </row>
    <row r="729" spans="1:31" ht="13.15" x14ac:dyDescent="0.4">
      <c r="A729" s="19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A729" s="19"/>
      <c r="AB729" s="19"/>
      <c r="AC729" s="19"/>
      <c r="AD729" s="19"/>
      <c r="AE729" s="19"/>
    </row>
    <row r="730" spans="1:31" ht="13.15" x14ac:dyDescent="0.4">
      <c r="A730" s="19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  <c r="AA730" s="19"/>
      <c r="AB730" s="19"/>
      <c r="AC730" s="19"/>
      <c r="AD730" s="19"/>
      <c r="AE730" s="19"/>
    </row>
    <row r="731" spans="1:31" ht="13.15" x14ac:dyDescent="0.4">
      <c r="A731" s="19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  <c r="AA731" s="19"/>
      <c r="AB731" s="19"/>
      <c r="AC731" s="19"/>
      <c r="AD731" s="19"/>
      <c r="AE731" s="19"/>
    </row>
    <row r="732" spans="1:31" ht="13.15" x14ac:dyDescent="0.4">
      <c r="A732" s="19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  <c r="AA732" s="19"/>
      <c r="AB732" s="19"/>
      <c r="AC732" s="19"/>
      <c r="AD732" s="19"/>
      <c r="AE732" s="19"/>
    </row>
    <row r="733" spans="1:31" ht="13.15" x14ac:dyDescent="0.4">
      <c r="A733" s="19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  <c r="AA733" s="19"/>
      <c r="AB733" s="19"/>
      <c r="AC733" s="19"/>
      <c r="AD733" s="19"/>
      <c r="AE733" s="19"/>
    </row>
    <row r="734" spans="1:31" ht="13.15" x14ac:dyDescent="0.4">
      <c r="A734" s="19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  <c r="AA734" s="19"/>
      <c r="AB734" s="19"/>
      <c r="AC734" s="19"/>
      <c r="AD734" s="19"/>
      <c r="AE734" s="19"/>
    </row>
    <row r="735" spans="1:31" ht="13.15" x14ac:dyDescent="0.4">
      <c r="A735" s="19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  <c r="AA735" s="19"/>
      <c r="AB735" s="19"/>
      <c r="AC735" s="19"/>
      <c r="AD735" s="19"/>
      <c r="AE735" s="19"/>
    </row>
    <row r="736" spans="1:31" ht="13.15" x14ac:dyDescent="0.4">
      <c r="A736" s="19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  <c r="AA736" s="19"/>
      <c r="AB736" s="19"/>
      <c r="AC736" s="19"/>
      <c r="AD736" s="19"/>
      <c r="AE736" s="19"/>
    </row>
    <row r="737" spans="1:31" ht="13.15" x14ac:dyDescent="0.4">
      <c r="A737" s="19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  <c r="AA737" s="19"/>
      <c r="AB737" s="19"/>
      <c r="AC737" s="19"/>
      <c r="AD737" s="19"/>
      <c r="AE737" s="19"/>
    </row>
    <row r="738" spans="1:31" ht="13.15" x14ac:dyDescent="0.4">
      <c r="A738" s="19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  <c r="AA738" s="19"/>
      <c r="AB738" s="19"/>
      <c r="AC738" s="19"/>
      <c r="AD738" s="19"/>
      <c r="AE738" s="19"/>
    </row>
    <row r="739" spans="1:31" ht="13.15" x14ac:dyDescent="0.4">
      <c r="A739" s="19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  <c r="AA739" s="19"/>
      <c r="AB739" s="19"/>
      <c r="AC739" s="19"/>
      <c r="AD739" s="19"/>
      <c r="AE739" s="19"/>
    </row>
    <row r="740" spans="1:31" ht="13.15" x14ac:dyDescent="0.4">
      <c r="A740" s="19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  <c r="AA740" s="19"/>
      <c r="AB740" s="19"/>
      <c r="AC740" s="19"/>
      <c r="AD740" s="19"/>
      <c r="AE740" s="19"/>
    </row>
    <row r="741" spans="1:31" ht="13.15" x14ac:dyDescent="0.4">
      <c r="A741" s="19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  <c r="AA741" s="19"/>
      <c r="AB741" s="19"/>
      <c r="AC741" s="19"/>
      <c r="AD741" s="19"/>
      <c r="AE741" s="19"/>
    </row>
    <row r="742" spans="1:31" ht="13.15" x14ac:dyDescent="0.4">
      <c r="A742" s="19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  <c r="AA742" s="19"/>
      <c r="AB742" s="19"/>
      <c r="AC742" s="19"/>
      <c r="AD742" s="19"/>
      <c r="AE742" s="19"/>
    </row>
    <row r="743" spans="1:31" ht="13.15" x14ac:dyDescent="0.4">
      <c r="A743" s="19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  <c r="AA743" s="19"/>
      <c r="AB743" s="19"/>
      <c r="AC743" s="19"/>
      <c r="AD743" s="19"/>
      <c r="AE743" s="19"/>
    </row>
    <row r="744" spans="1:31" ht="13.15" x14ac:dyDescent="0.4">
      <c r="A744" s="19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  <c r="AA744" s="19"/>
      <c r="AB744" s="19"/>
      <c r="AC744" s="19"/>
      <c r="AD744" s="19"/>
      <c r="AE744" s="19"/>
    </row>
    <row r="745" spans="1:31" ht="13.15" x14ac:dyDescent="0.4">
      <c r="A745" s="19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  <c r="AA745" s="19"/>
      <c r="AB745" s="19"/>
      <c r="AC745" s="19"/>
      <c r="AD745" s="19"/>
      <c r="AE745" s="19"/>
    </row>
    <row r="746" spans="1:31" ht="13.15" x14ac:dyDescent="0.4">
      <c r="A746" s="19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  <c r="AA746" s="19"/>
      <c r="AB746" s="19"/>
      <c r="AC746" s="19"/>
      <c r="AD746" s="19"/>
      <c r="AE746" s="19"/>
    </row>
    <row r="747" spans="1:31" ht="13.15" x14ac:dyDescent="0.4">
      <c r="A747" s="19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  <c r="AA747" s="19"/>
      <c r="AB747" s="19"/>
      <c r="AC747" s="19"/>
      <c r="AD747" s="19"/>
      <c r="AE747" s="19"/>
    </row>
    <row r="748" spans="1:31" ht="13.15" x14ac:dyDescent="0.4">
      <c r="A748" s="19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  <c r="AA748" s="19"/>
      <c r="AB748" s="19"/>
      <c r="AC748" s="19"/>
      <c r="AD748" s="19"/>
      <c r="AE748" s="19"/>
    </row>
    <row r="749" spans="1:31" ht="13.15" x14ac:dyDescent="0.4">
      <c r="A749" s="19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  <c r="AA749" s="19"/>
      <c r="AB749" s="19"/>
      <c r="AC749" s="19"/>
      <c r="AD749" s="19"/>
      <c r="AE749" s="19"/>
    </row>
    <row r="750" spans="1:31" ht="13.15" x14ac:dyDescent="0.4">
      <c r="A750" s="19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  <c r="AA750" s="19"/>
      <c r="AB750" s="19"/>
      <c r="AC750" s="19"/>
      <c r="AD750" s="19"/>
      <c r="AE750" s="19"/>
    </row>
    <row r="751" spans="1:31" ht="13.15" x14ac:dyDescent="0.4">
      <c r="A751" s="19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  <c r="AA751" s="19"/>
      <c r="AB751" s="19"/>
      <c r="AC751" s="19"/>
      <c r="AD751" s="19"/>
      <c r="AE751" s="19"/>
    </row>
    <row r="752" spans="1:31" ht="13.15" x14ac:dyDescent="0.4">
      <c r="A752" s="19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  <c r="AA752" s="19"/>
      <c r="AB752" s="19"/>
      <c r="AC752" s="19"/>
      <c r="AD752" s="19"/>
      <c r="AE752" s="19"/>
    </row>
    <row r="753" spans="1:31" ht="13.15" x14ac:dyDescent="0.4">
      <c r="A753" s="19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  <c r="AA753" s="19"/>
      <c r="AB753" s="19"/>
      <c r="AC753" s="19"/>
      <c r="AD753" s="19"/>
      <c r="AE753" s="19"/>
    </row>
    <row r="754" spans="1:31" ht="13.15" x14ac:dyDescent="0.4">
      <c r="A754" s="19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  <c r="AA754" s="19"/>
      <c r="AB754" s="19"/>
      <c r="AC754" s="19"/>
      <c r="AD754" s="19"/>
      <c r="AE754" s="19"/>
    </row>
    <row r="755" spans="1:31" ht="13.15" x14ac:dyDescent="0.4">
      <c r="A755" s="19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  <c r="AA755" s="19"/>
      <c r="AB755" s="19"/>
      <c r="AC755" s="19"/>
      <c r="AD755" s="19"/>
      <c r="AE755" s="19"/>
    </row>
    <row r="756" spans="1:31" ht="13.15" x14ac:dyDescent="0.4">
      <c r="A756" s="19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  <c r="AA756" s="19"/>
      <c r="AB756" s="19"/>
      <c r="AC756" s="19"/>
      <c r="AD756" s="19"/>
      <c r="AE756" s="19"/>
    </row>
    <row r="757" spans="1:31" ht="13.15" x14ac:dyDescent="0.4">
      <c r="A757" s="19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  <c r="AA757" s="19"/>
      <c r="AB757" s="19"/>
      <c r="AC757" s="19"/>
      <c r="AD757" s="19"/>
      <c r="AE757" s="19"/>
    </row>
    <row r="758" spans="1:31" ht="13.15" x14ac:dyDescent="0.4">
      <c r="A758" s="19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  <c r="AA758" s="19"/>
      <c r="AB758" s="19"/>
      <c r="AC758" s="19"/>
      <c r="AD758" s="19"/>
      <c r="AE758" s="19"/>
    </row>
    <row r="759" spans="1:31" ht="13.15" x14ac:dyDescent="0.4">
      <c r="A759" s="19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  <c r="AA759" s="19"/>
      <c r="AB759" s="19"/>
      <c r="AC759" s="19"/>
      <c r="AD759" s="19"/>
      <c r="AE759" s="19"/>
    </row>
    <row r="760" spans="1:31" ht="13.15" x14ac:dyDescent="0.4">
      <c r="A760" s="19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  <c r="AA760" s="19"/>
      <c r="AB760" s="19"/>
      <c r="AC760" s="19"/>
      <c r="AD760" s="19"/>
      <c r="AE760" s="19"/>
    </row>
    <row r="761" spans="1:31" ht="13.15" x14ac:dyDescent="0.4">
      <c r="A761" s="19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  <c r="AA761" s="19"/>
      <c r="AB761" s="19"/>
      <c r="AC761" s="19"/>
      <c r="AD761" s="19"/>
      <c r="AE761" s="19"/>
    </row>
    <row r="762" spans="1:31" ht="13.15" x14ac:dyDescent="0.4">
      <c r="A762" s="19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  <c r="AB762" s="19"/>
      <c r="AC762" s="19"/>
      <c r="AD762" s="19"/>
      <c r="AE762" s="19"/>
    </row>
    <row r="763" spans="1:31" ht="13.15" x14ac:dyDescent="0.4">
      <c r="A763" s="19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  <c r="AA763" s="19"/>
      <c r="AB763" s="19"/>
      <c r="AC763" s="19"/>
      <c r="AD763" s="19"/>
      <c r="AE763" s="19"/>
    </row>
    <row r="764" spans="1:31" ht="13.15" x14ac:dyDescent="0.4">
      <c r="A764" s="19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  <c r="AA764" s="19"/>
      <c r="AB764" s="19"/>
      <c r="AC764" s="19"/>
      <c r="AD764" s="19"/>
      <c r="AE764" s="19"/>
    </row>
    <row r="765" spans="1:31" ht="13.15" x14ac:dyDescent="0.4">
      <c r="A765" s="19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  <c r="AA765" s="19"/>
      <c r="AB765" s="19"/>
      <c r="AC765" s="19"/>
      <c r="AD765" s="19"/>
      <c r="AE765" s="19"/>
    </row>
    <row r="766" spans="1:31" ht="13.15" x14ac:dyDescent="0.4">
      <c r="A766" s="19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  <c r="AA766" s="19"/>
      <c r="AB766" s="19"/>
      <c r="AC766" s="19"/>
      <c r="AD766" s="19"/>
      <c r="AE766" s="19"/>
    </row>
    <row r="767" spans="1:31" ht="13.15" x14ac:dyDescent="0.4">
      <c r="A767" s="19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  <c r="AA767" s="19"/>
      <c r="AB767" s="19"/>
      <c r="AC767" s="19"/>
      <c r="AD767" s="19"/>
      <c r="AE767" s="19"/>
    </row>
    <row r="768" spans="1:31" ht="13.15" x14ac:dyDescent="0.4">
      <c r="A768" s="19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  <c r="AA768" s="19"/>
      <c r="AB768" s="19"/>
      <c r="AC768" s="19"/>
      <c r="AD768" s="19"/>
      <c r="AE768" s="19"/>
    </row>
    <row r="769" spans="1:31" ht="13.15" x14ac:dyDescent="0.4">
      <c r="A769" s="19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  <c r="AA769" s="19"/>
      <c r="AB769" s="19"/>
      <c r="AC769" s="19"/>
      <c r="AD769" s="19"/>
      <c r="AE769" s="19"/>
    </row>
    <row r="770" spans="1:31" ht="13.15" x14ac:dyDescent="0.4">
      <c r="A770" s="19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  <c r="AA770" s="19"/>
      <c r="AB770" s="19"/>
      <c r="AC770" s="19"/>
      <c r="AD770" s="19"/>
      <c r="AE770" s="19"/>
    </row>
    <row r="771" spans="1:31" ht="13.15" x14ac:dyDescent="0.4">
      <c r="A771" s="19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  <c r="AA771" s="19"/>
      <c r="AB771" s="19"/>
      <c r="AC771" s="19"/>
      <c r="AD771" s="19"/>
      <c r="AE771" s="19"/>
    </row>
    <row r="772" spans="1:31" ht="13.15" x14ac:dyDescent="0.4">
      <c r="A772" s="19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  <c r="AA772" s="19"/>
      <c r="AB772" s="19"/>
      <c r="AC772" s="19"/>
      <c r="AD772" s="19"/>
      <c r="AE772" s="19"/>
    </row>
    <row r="773" spans="1:31" ht="13.15" x14ac:dyDescent="0.4">
      <c r="A773" s="19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  <c r="AA773" s="19"/>
      <c r="AB773" s="19"/>
      <c r="AC773" s="19"/>
      <c r="AD773" s="19"/>
      <c r="AE773" s="19"/>
    </row>
    <row r="774" spans="1:31" ht="13.15" x14ac:dyDescent="0.4">
      <c r="A774" s="19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  <c r="AA774" s="19"/>
      <c r="AB774" s="19"/>
      <c r="AC774" s="19"/>
      <c r="AD774" s="19"/>
      <c r="AE774" s="19"/>
    </row>
    <row r="775" spans="1:31" ht="13.15" x14ac:dyDescent="0.4">
      <c r="A775" s="19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  <c r="AA775" s="19"/>
      <c r="AB775" s="19"/>
      <c r="AC775" s="19"/>
      <c r="AD775" s="19"/>
      <c r="AE775" s="19"/>
    </row>
    <row r="776" spans="1:31" ht="13.15" x14ac:dyDescent="0.4">
      <c r="A776" s="19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  <c r="AA776" s="19"/>
      <c r="AB776" s="19"/>
      <c r="AC776" s="19"/>
      <c r="AD776" s="19"/>
      <c r="AE776" s="19"/>
    </row>
    <row r="777" spans="1:31" ht="13.15" x14ac:dyDescent="0.4">
      <c r="A777" s="19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  <c r="AA777" s="19"/>
      <c r="AB777" s="19"/>
      <c r="AC777" s="19"/>
      <c r="AD777" s="19"/>
      <c r="AE777" s="19"/>
    </row>
    <row r="778" spans="1:31" ht="13.15" x14ac:dyDescent="0.4">
      <c r="A778" s="19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  <c r="AA778" s="19"/>
      <c r="AB778" s="19"/>
      <c r="AC778" s="19"/>
      <c r="AD778" s="19"/>
      <c r="AE778" s="19"/>
    </row>
    <row r="779" spans="1:31" ht="13.15" x14ac:dyDescent="0.4">
      <c r="A779" s="19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  <c r="AA779" s="19"/>
      <c r="AB779" s="19"/>
      <c r="AC779" s="19"/>
      <c r="AD779" s="19"/>
      <c r="AE779" s="19"/>
    </row>
    <row r="780" spans="1:31" ht="13.15" x14ac:dyDescent="0.4">
      <c r="A780" s="19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  <c r="AA780" s="19"/>
      <c r="AB780" s="19"/>
      <c r="AC780" s="19"/>
      <c r="AD780" s="19"/>
      <c r="AE780" s="19"/>
    </row>
    <row r="781" spans="1:31" ht="13.15" x14ac:dyDescent="0.4">
      <c r="A781" s="19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  <c r="AA781" s="19"/>
      <c r="AB781" s="19"/>
      <c r="AC781" s="19"/>
      <c r="AD781" s="19"/>
      <c r="AE781" s="19"/>
    </row>
    <row r="782" spans="1:31" ht="13.15" x14ac:dyDescent="0.4">
      <c r="A782" s="19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  <c r="AA782" s="19"/>
      <c r="AB782" s="19"/>
      <c r="AC782" s="19"/>
      <c r="AD782" s="19"/>
      <c r="AE782" s="19"/>
    </row>
    <row r="783" spans="1:31" ht="13.15" x14ac:dyDescent="0.4">
      <c r="A783" s="19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  <c r="AA783" s="19"/>
      <c r="AB783" s="19"/>
      <c r="AC783" s="19"/>
      <c r="AD783" s="19"/>
      <c r="AE783" s="19"/>
    </row>
    <row r="784" spans="1:31" ht="13.15" x14ac:dyDescent="0.4">
      <c r="A784" s="19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  <c r="AA784" s="19"/>
      <c r="AB784" s="19"/>
      <c r="AC784" s="19"/>
      <c r="AD784" s="19"/>
      <c r="AE784" s="19"/>
    </row>
    <row r="785" spans="1:31" ht="13.15" x14ac:dyDescent="0.4">
      <c r="A785" s="19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  <c r="AA785" s="19"/>
      <c r="AB785" s="19"/>
      <c r="AC785" s="19"/>
      <c r="AD785" s="19"/>
      <c r="AE785" s="19"/>
    </row>
    <row r="786" spans="1:31" ht="13.15" x14ac:dyDescent="0.4">
      <c r="A786" s="19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  <c r="AA786" s="19"/>
      <c r="AB786" s="19"/>
      <c r="AC786" s="19"/>
      <c r="AD786" s="19"/>
      <c r="AE786" s="19"/>
    </row>
    <row r="787" spans="1:31" ht="13.15" x14ac:dyDescent="0.4">
      <c r="A787" s="19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  <c r="AA787" s="19"/>
      <c r="AB787" s="19"/>
      <c r="AC787" s="19"/>
      <c r="AD787" s="19"/>
      <c r="AE787" s="19"/>
    </row>
    <row r="788" spans="1:31" ht="13.15" x14ac:dyDescent="0.4">
      <c r="A788" s="19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  <c r="AA788" s="19"/>
      <c r="AB788" s="19"/>
      <c r="AC788" s="19"/>
      <c r="AD788" s="19"/>
      <c r="AE788" s="19"/>
    </row>
    <row r="789" spans="1:31" ht="13.15" x14ac:dyDescent="0.4">
      <c r="A789" s="19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  <c r="AA789" s="19"/>
      <c r="AB789" s="19"/>
      <c r="AC789" s="19"/>
      <c r="AD789" s="19"/>
      <c r="AE789" s="19"/>
    </row>
    <row r="790" spans="1:31" ht="13.15" x14ac:dyDescent="0.4">
      <c r="A790" s="19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  <c r="AA790" s="19"/>
      <c r="AB790" s="19"/>
      <c r="AC790" s="19"/>
      <c r="AD790" s="19"/>
      <c r="AE790" s="19"/>
    </row>
    <row r="791" spans="1:31" ht="13.15" x14ac:dyDescent="0.4">
      <c r="A791" s="19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  <c r="AA791" s="19"/>
      <c r="AB791" s="19"/>
      <c r="AC791" s="19"/>
      <c r="AD791" s="19"/>
      <c r="AE791" s="19"/>
    </row>
    <row r="792" spans="1:31" ht="13.15" x14ac:dyDescent="0.4">
      <c r="A792" s="19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  <c r="AA792" s="19"/>
      <c r="AB792" s="19"/>
      <c r="AC792" s="19"/>
      <c r="AD792" s="19"/>
      <c r="AE792" s="19"/>
    </row>
    <row r="793" spans="1:31" ht="13.15" x14ac:dyDescent="0.4">
      <c r="A793" s="19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  <c r="AA793" s="19"/>
      <c r="AB793" s="19"/>
      <c r="AC793" s="19"/>
      <c r="AD793" s="19"/>
      <c r="AE793" s="19"/>
    </row>
    <row r="794" spans="1:31" ht="13.15" x14ac:dyDescent="0.4">
      <c r="A794" s="19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  <c r="AA794" s="19"/>
      <c r="AB794" s="19"/>
      <c r="AC794" s="19"/>
      <c r="AD794" s="19"/>
      <c r="AE794" s="19"/>
    </row>
    <row r="795" spans="1:31" ht="13.15" x14ac:dyDescent="0.4">
      <c r="A795" s="19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  <c r="AA795" s="19"/>
      <c r="AB795" s="19"/>
      <c r="AC795" s="19"/>
      <c r="AD795" s="19"/>
      <c r="AE795" s="19"/>
    </row>
    <row r="796" spans="1:31" ht="13.15" x14ac:dyDescent="0.4">
      <c r="A796" s="19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  <c r="AA796" s="19"/>
      <c r="AB796" s="19"/>
      <c r="AC796" s="19"/>
      <c r="AD796" s="19"/>
      <c r="AE796" s="19"/>
    </row>
    <row r="797" spans="1:31" ht="13.15" x14ac:dyDescent="0.4">
      <c r="A797" s="19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  <c r="AA797" s="19"/>
      <c r="AB797" s="19"/>
      <c r="AC797" s="19"/>
      <c r="AD797" s="19"/>
      <c r="AE797" s="19"/>
    </row>
    <row r="798" spans="1:31" ht="13.15" x14ac:dyDescent="0.4">
      <c r="A798" s="19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  <c r="AA798" s="19"/>
      <c r="AB798" s="19"/>
      <c r="AC798" s="19"/>
      <c r="AD798" s="19"/>
      <c r="AE798" s="19"/>
    </row>
    <row r="799" spans="1:31" ht="13.15" x14ac:dyDescent="0.4">
      <c r="A799" s="19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  <c r="AA799" s="19"/>
      <c r="AB799" s="19"/>
      <c r="AC799" s="19"/>
      <c r="AD799" s="19"/>
      <c r="AE799" s="19"/>
    </row>
    <row r="800" spans="1:31" ht="13.15" x14ac:dyDescent="0.4">
      <c r="A800" s="19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  <c r="AA800" s="19"/>
      <c r="AB800" s="19"/>
      <c r="AC800" s="19"/>
      <c r="AD800" s="19"/>
      <c r="AE800" s="19"/>
    </row>
    <row r="801" spans="1:31" ht="13.15" x14ac:dyDescent="0.4">
      <c r="A801" s="19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  <c r="AA801" s="19"/>
      <c r="AB801" s="19"/>
      <c r="AC801" s="19"/>
      <c r="AD801" s="19"/>
      <c r="AE801" s="19"/>
    </row>
    <row r="802" spans="1:31" ht="13.15" x14ac:dyDescent="0.4">
      <c r="A802" s="19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  <c r="AA802" s="19"/>
      <c r="AB802" s="19"/>
      <c r="AC802" s="19"/>
      <c r="AD802" s="19"/>
      <c r="AE802" s="19"/>
    </row>
    <row r="803" spans="1:31" ht="13.15" x14ac:dyDescent="0.4">
      <c r="A803" s="19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  <c r="AA803" s="19"/>
      <c r="AB803" s="19"/>
      <c r="AC803" s="19"/>
      <c r="AD803" s="19"/>
      <c r="AE803" s="19"/>
    </row>
    <row r="804" spans="1:31" ht="13.15" x14ac:dyDescent="0.4">
      <c r="A804" s="19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  <c r="AA804" s="19"/>
      <c r="AB804" s="19"/>
      <c r="AC804" s="19"/>
      <c r="AD804" s="19"/>
      <c r="AE804" s="19"/>
    </row>
    <row r="805" spans="1:31" ht="13.15" x14ac:dyDescent="0.4">
      <c r="A805" s="19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  <c r="AA805" s="19"/>
      <c r="AB805" s="19"/>
      <c r="AC805" s="19"/>
      <c r="AD805" s="19"/>
      <c r="AE805" s="19"/>
    </row>
    <row r="806" spans="1:31" ht="13.15" x14ac:dyDescent="0.4">
      <c r="A806" s="19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  <c r="AA806" s="19"/>
      <c r="AB806" s="19"/>
      <c r="AC806" s="19"/>
      <c r="AD806" s="19"/>
      <c r="AE806" s="19"/>
    </row>
    <row r="807" spans="1:31" ht="13.15" x14ac:dyDescent="0.4">
      <c r="A807" s="19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  <c r="AA807" s="19"/>
      <c r="AB807" s="19"/>
      <c r="AC807" s="19"/>
      <c r="AD807" s="19"/>
      <c r="AE807" s="19"/>
    </row>
    <row r="808" spans="1:31" ht="13.15" x14ac:dyDescent="0.4">
      <c r="A808" s="19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  <c r="AA808" s="19"/>
      <c r="AB808" s="19"/>
      <c r="AC808" s="19"/>
      <c r="AD808" s="19"/>
      <c r="AE808" s="19"/>
    </row>
    <row r="809" spans="1:31" ht="13.15" x14ac:dyDescent="0.4">
      <c r="A809" s="19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  <c r="AA809" s="19"/>
      <c r="AB809" s="19"/>
      <c r="AC809" s="19"/>
      <c r="AD809" s="19"/>
      <c r="AE809" s="19"/>
    </row>
    <row r="810" spans="1:31" ht="13.15" x14ac:dyDescent="0.4">
      <c r="A810" s="19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  <c r="AA810" s="19"/>
      <c r="AB810" s="19"/>
      <c r="AC810" s="19"/>
      <c r="AD810" s="19"/>
      <c r="AE810" s="19"/>
    </row>
    <row r="811" spans="1:31" ht="13.15" x14ac:dyDescent="0.4">
      <c r="A811" s="19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  <c r="AA811" s="19"/>
      <c r="AB811" s="19"/>
      <c r="AC811" s="19"/>
      <c r="AD811" s="19"/>
      <c r="AE811" s="19"/>
    </row>
    <row r="812" spans="1:31" ht="13.15" x14ac:dyDescent="0.4">
      <c r="A812" s="19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  <c r="AA812" s="19"/>
      <c r="AB812" s="19"/>
      <c r="AC812" s="19"/>
      <c r="AD812" s="19"/>
      <c r="AE812" s="19"/>
    </row>
    <row r="813" spans="1:31" ht="13.15" x14ac:dyDescent="0.4">
      <c r="A813" s="19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  <c r="AA813" s="19"/>
      <c r="AB813" s="19"/>
      <c r="AC813" s="19"/>
      <c r="AD813" s="19"/>
      <c r="AE813" s="19"/>
    </row>
    <row r="814" spans="1:31" ht="13.15" x14ac:dyDescent="0.4">
      <c r="A814" s="19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  <c r="AA814" s="19"/>
      <c r="AB814" s="19"/>
      <c r="AC814" s="19"/>
      <c r="AD814" s="19"/>
      <c r="AE814" s="19"/>
    </row>
    <row r="815" spans="1:31" ht="13.15" x14ac:dyDescent="0.4">
      <c r="A815" s="19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  <c r="AA815" s="19"/>
      <c r="AB815" s="19"/>
      <c r="AC815" s="19"/>
      <c r="AD815" s="19"/>
      <c r="AE815" s="19"/>
    </row>
    <row r="816" spans="1:31" ht="13.15" x14ac:dyDescent="0.4">
      <c r="A816" s="19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  <c r="AA816" s="19"/>
      <c r="AB816" s="19"/>
      <c r="AC816" s="19"/>
      <c r="AD816" s="19"/>
      <c r="AE816" s="19"/>
    </row>
    <row r="817" spans="1:31" ht="13.15" x14ac:dyDescent="0.4">
      <c r="A817" s="19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  <c r="AA817" s="19"/>
      <c r="AB817" s="19"/>
      <c r="AC817" s="19"/>
      <c r="AD817" s="19"/>
      <c r="AE817" s="19"/>
    </row>
    <row r="818" spans="1:31" ht="13.15" x14ac:dyDescent="0.4">
      <c r="A818" s="19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  <c r="AA818" s="19"/>
      <c r="AB818" s="19"/>
      <c r="AC818" s="19"/>
      <c r="AD818" s="19"/>
      <c r="AE818" s="19"/>
    </row>
    <row r="819" spans="1:31" ht="13.15" x14ac:dyDescent="0.4">
      <c r="A819" s="19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  <c r="AA819" s="19"/>
      <c r="AB819" s="19"/>
      <c r="AC819" s="19"/>
      <c r="AD819" s="19"/>
      <c r="AE819" s="19"/>
    </row>
    <row r="820" spans="1:31" ht="13.15" x14ac:dyDescent="0.4">
      <c r="A820" s="19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  <c r="AA820" s="19"/>
      <c r="AB820" s="19"/>
      <c r="AC820" s="19"/>
      <c r="AD820" s="19"/>
      <c r="AE820" s="19"/>
    </row>
    <row r="821" spans="1:31" ht="13.15" x14ac:dyDescent="0.4">
      <c r="A821" s="19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  <c r="AA821" s="19"/>
      <c r="AB821" s="19"/>
      <c r="AC821" s="19"/>
      <c r="AD821" s="19"/>
      <c r="AE821" s="19"/>
    </row>
    <row r="822" spans="1:31" ht="13.15" x14ac:dyDescent="0.4">
      <c r="A822" s="19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  <c r="AA822" s="19"/>
      <c r="AB822" s="19"/>
      <c r="AC822" s="19"/>
      <c r="AD822" s="19"/>
      <c r="AE822" s="19"/>
    </row>
    <row r="823" spans="1:31" ht="13.15" x14ac:dyDescent="0.4">
      <c r="A823" s="19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  <c r="AA823" s="19"/>
      <c r="AB823" s="19"/>
      <c r="AC823" s="19"/>
      <c r="AD823" s="19"/>
      <c r="AE823" s="19"/>
    </row>
    <row r="824" spans="1:31" ht="13.15" x14ac:dyDescent="0.4">
      <c r="A824" s="19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  <c r="AA824" s="19"/>
      <c r="AB824" s="19"/>
      <c r="AC824" s="19"/>
      <c r="AD824" s="19"/>
      <c r="AE824" s="19"/>
    </row>
    <row r="825" spans="1:31" ht="13.15" x14ac:dyDescent="0.4">
      <c r="A825" s="19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  <c r="AA825" s="19"/>
      <c r="AB825" s="19"/>
      <c r="AC825" s="19"/>
      <c r="AD825" s="19"/>
      <c r="AE825" s="19"/>
    </row>
    <row r="826" spans="1:31" ht="13.15" x14ac:dyDescent="0.4">
      <c r="A826" s="19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  <c r="AA826" s="19"/>
      <c r="AB826" s="19"/>
      <c r="AC826" s="19"/>
      <c r="AD826" s="19"/>
      <c r="AE826" s="19"/>
    </row>
    <row r="827" spans="1:31" ht="13.15" x14ac:dyDescent="0.4">
      <c r="A827" s="19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  <c r="AA827" s="19"/>
      <c r="AB827" s="19"/>
      <c r="AC827" s="19"/>
      <c r="AD827" s="19"/>
      <c r="AE827" s="19"/>
    </row>
    <row r="828" spans="1:31" ht="13.15" x14ac:dyDescent="0.4">
      <c r="A828" s="19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  <c r="AA828" s="19"/>
      <c r="AB828" s="19"/>
      <c r="AC828" s="19"/>
      <c r="AD828" s="19"/>
      <c r="AE828" s="19"/>
    </row>
    <row r="829" spans="1:31" ht="13.15" x14ac:dyDescent="0.4">
      <c r="A829" s="19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  <c r="AA829" s="19"/>
      <c r="AB829" s="19"/>
      <c r="AC829" s="19"/>
      <c r="AD829" s="19"/>
      <c r="AE829" s="19"/>
    </row>
    <row r="830" spans="1:31" ht="13.15" x14ac:dyDescent="0.4">
      <c r="A830" s="19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  <c r="AA830" s="19"/>
      <c r="AB830" s="19"/>
      <c r="AC830" s="19"/>
      <c r="AD830" s="19"/>
      <c r="AE830" s="19"/>
    </row>
    <row r="831" spans="1:31" ht="13.15" x14ac:dyDescent="0.4">
      <c r="A831" s="19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  <c r="AA831" s="19"/>
      <c r="AB831" s="19"/>
      <c r="AC831" s="19"/>
      <c r="AD831" s="19"/>
      <c r="AE831" s="19"/>
    </row>
    <row r="832" spans="1:31" ht="13.15" x14ac:dyDescent="0.4">
      <c r="A832" s="19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  <c r="AA832" s="19"/>
      <c r="AB832" s="19"/>
      <c r="AC832" s="19"/>
      <c r="AD832" s="19"/>
      <c r="AE832" s="19"/>
    </row>
    <row r="833" spans="1:31" ht="13.15" x14ac:dyDescent="0.4">
      <c r="A833" s="19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  <c r="AA833" s="19"/>
      <c r="AB833" s="19"/>
      <c r="AC833" s="19"/>
      <c r="AD833" s="19"/>
      <c r="AE833" s="19"/>
    </row>
    <row r="834" spans="1:31" ht="13.15" x14ac:dyDescent="0.4">
      <c r="A834" s="19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  <c r="AA834" s="19"/>
      <c r="AB834" s="19"/>
      <c r="AC834" s="19"/>
      <c r="AD834" s="19"/>
      <c r="AE834" s="19"/>
    </row>
    <row r="835" spans="1:31" ht="13.15" x14ac:dyDescent="0.4">
      <c r="A835" s="19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  <c r="AA835" s="19"/>
      <c r="AB835" s="19"/>
      <c r="AC835" s="19"/>
      <c r="AD835" s="19"/>
      <c r="AE835" s="19"/>
    </row>
    <row r="836" spans="1:31" ht="13.15" x14ac:dyDescent="0.4">
      <c r="A836" s="19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  <c r="AA836" s="19"/>
      <c r="AB836" s="19"/>
      <c r="AC836" s="19"/>
      <c r="AD836" s="19"/>
      <c r="AE836" s="19"/>
    </row>
    <row r="837" spans="1:31" ht="13.15" x14ac:dyDescent="0.4">
      <c r="A837" s="19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  <c r="AA837" s="19"/>
      <c r="AB837" s="19"/>
      <c r="AC837" s="19"/>
      <c r="AD837" s="19"/>
      <c r="AE837" s="19"/>
    </row>
    <row r="838" spans="1:31" ht="13.15" x14ac:dyDescent="0.4">
      <c r="A838" s="19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  <c r="AA838" s="19"/>
      <c r="AB838" s="19"/>
      <c r="AC838" s="19"/>
      <c r="AD838" s="19"/>
      <c r="AE838" s="19"/>
    </row>
    <row r="839" spans="1:31" ht="13.15" x14ac:dyDescent="0.4">
      <c r="A839" s="19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  <c r="AA839" s="19"/>
      <c r="AB839" s="19"/>
      <c r="AC839" s="19"/>
      <c r="AD839" s="19"/>
      <c r="AE839" s="19"/>
    </row>
    <row r="840" spans="1:31" ht="13.15" x14ac:dyDescent="0.4">
      <c r="A840" s="19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  <c r="AA840" s="19"/>
      <c r="AB840" s="19"/>
      <c r="AC840" s="19"/>
      <c r="AD840" s="19"/>
      <c r="AE840" s="19"/>
    </row>
    <row r="841" spans="1:31" ht="13.15" x14ac:dyDescent="0.4">
      <c r="A841" s="19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  <c r="AA841" s="19"/>
      <c r="AB841" s="19"/>
      <c r="AC841" s="19"/>
      <c r="AD841" s="19"/>
      <c r="AE841" s="19"/>
    </row>
    <row r="842" spans="1:31" ht="13.15" x14ac:dyDescent="0.4">
      <c r="A842" s="19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  <c r="AA842" s="19"/>
      <c r="AB842" s="19"/>
      <c r="AC842" s="19"/>
      <c r="AD842" s="19"/>
      <c r="AE842" s="19"/>
    </row>
    <row r="843" spans="1:31" ht="13.15" x14ac:dyDescent="0.4">
      <c r="A843" s="19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  <c r="AA843" s="19"/>
      <c r="AB843" s="19"/>
      <c r="AC843" s="19"/>
      <c r="AD843" s="19"/>
      <c r="AE843" s="19"/>
    </row>
    <row r="844" spans="1:31" ht="13.15" x14ac:dyDescent="0.4">
      <c r="A844" s="19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  <c r="AA844" s="19"/>
      <c r="AB844" s="19"/>
      <c r="AC844" s="19"/>
      <c r="AD844" s="19"/>
      <c r="AE844" s="19"/>
    </row>
    <row r="845" spans="1:31" ht="13.15" x14ac:dyDescent="0.4">
      <c r="A845" s="19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  <c r="AA845" s="19"/>
      <c r="AB845" s="19"/>
      <c r="AC845" s="19"/>
      <c r="AD845" s="19"/>
      <c r="AE845" s="19"/>
    </row>
    <row r="846" spans="1:31" ht="13.15" x14ac:dyDescent="0.4">
      <c r="A846" s="19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  <c r="AA846" s="19"/>
      <c r="AB846" s="19"/>
      <c r="AC846" s="19"/>
      <c r="AD846" s="19"/>
      <c r="AE846" s="19"/>
    </row>
    <row r="847" spans="1:31" ht="13.15" x14ac:dyDescent="0.4">
      <c r="A847" s="19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  <c r="AA847" s="19"/>
      <c r="AB847" s="19"/>
      <c r="AC847" s="19"/>
      <c r="AD847" s="19"/>
      <c r="AE847" s="19"/>
    </row>
    <row r="848" spans="1:31" ht="13.15" x14ac:dyDescent="0.4">
      <c r="A848" s="19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  <c r="AA848" s="19"/>
      <c r="AB848" s="19"/>
      <c r="AC848" s="19"/>
      <c r="AD848" s="19"/>
      <c r="AE848" s="19"/>
    </row>
    <row r="849" spans="1:31" ht="13.15" x14ac:dyDescent="0.4">
      <c r="A849" s="19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  <c r="AA849" s="19"/>
      <c r="AB849" s="19"/>
      <c r="AC849" s="19"/>
      <c r="AD849" s="19"/>
      <c r="AE849" s="19"/>
    </row>
    <row r="850" spans="1:31" ht="13.15" x14ac:dyDescent="0.4">
      <c r="A850" s="19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  <c r="AA850" s="19"/>
      <c r="AB850" s="19"/>
      <c r="AC850" s="19"/>
      <c r="AD850" s="19"/>
      <c r="AE850" s="19"/>
    </row>
    <row r="851" spans="1:31" ht="13.15" x14ac:dyDescent="0.4">
      <c r="A851" s="19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  <c r="AA851" s="19"/>
      <c r="AB851" s="19"/>
      <c r="AC851" s="19"/>
      <c r="AD851" s="19"/>
      <c r="AE851" s="19"/>
    </row>
    <row r="852" spans="1:31" ht="13.15" x14ac:dyDescent="0.4">
      <c r="A852" s="19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  <c r="AA852" s="19"/>
      <c r="AB852" s="19"/>
      <c r="AC852" s="19"/>
      <c r="AD852" s="19"/>
      <c r="AE852" s="19"/>
    </row>
    <row r="853" spans="1:31" ht="13.15" x14ac:dyDescent="0.4">
      <c r="A853" s="19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  <c r="AA853" s="19"/>
      <c r="AB853" s="19"/>
      <c r="AC853" s="19"/>
      <c r="AD853" s="19"/>
      <c r="AE853" s="19"/>
    </row>
    <row r="854" spans="1:31" ht="13.15" x14ac:dyDescent="0.4">
      <c r="A854" s="19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  <c r="AA854" s="19"/>
      <c r="AB854" s="19"/>
      <c r="AC854" s="19"/>
      <c r="AD854" s="19"/>
      <c r="AE854" s="19"/>
    </row>
    <row r="855" spans="1:31" ht="13.15" x14ac:dyDescent="0.4">
      <c r="A855" s="19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  <c r="AA855" s="19"/>
      <c r="AB855" s="19"/>
      <c r="AC855" s="19"/>
      <c r="AD855" s="19"/>
      <c r="AE855" s="19"/>
    </row>
    <row r="856" spans="1:31" ht="13.15" x14ac:dyDescent="0.4">
      <c r="A856" s="19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  <c r="AA856" s="19"/>
      <c r="AB856" s="19"/>
      <c r="AC856" s="19"/>
      <c r="AD856" s="19"/>
      <c r="AE856" s="19"/>
    </row>
    <row r="857" spans="1:31" ht="13.15" x14ac:dyDescent="0.4">
      <c r="A857" s="19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  <c r="AA857" s="19"/>
      <c r="AB857" s="19"/>
      <c r="AC857" s="19"/>
      <c r="AD857" s="19"/>
      <c r="AE857" s="19"/>
    </row>
    <row r="858" spans="1:31" ht="13.15" x14ac:dyDescent="0.4">
      <c r="A858" s="19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  <c r="AA858" s="19"/>
      <c r="AB858" s="19"/>
      <c r="AC858" s="19"/>
      <c r="AD858" s="19"/>
      <c r="AE858" s="19"/>
    </row>
    <row r="859" spans="1:31" ht="13.15" x14ac:dyDescent="0.4">
      <c r="A859" s="19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  <c r="AA859" s="19"/>
      <c r="AB859" s="19"/>
      <c r="AC859" s="19"/>
      <c r="AD859" s="19"/>
      <c r="AE859" s="19"/>
    </row>
    <row r="860" spans="1:31" ht="13.15" x14ac:dyDescent="0.4">
      <c r="A860" s="19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  <c r="AA860" s="19"/>
      <c r="AB860" s="19"/>
      <c r="AC860" s="19"/>
      <c r="AD860" s="19"/>
      <c r="AE860" s="19"/>
    </row>
    <row r="861" spans="1:31" ht="13.15" x14ac:dyDescent="0.4">
      <c r="A861" s="19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  <c r="AA861" s="19"/>
      <c r="AB861" s="19"/>
      <c r="AC861" s="19"/>
      <c r="AD861" s="19"/>
      <c r="AE861" s="19"/>
    </row>
    <row r="862" spans="1:31" ht="13.15" x14ac:dyDescent="0.4">
      <c r="A862" s="19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  <c r="AA862" s="19"/>
      <c r="AB862" s="19"/>
      <c r="AC862" s="19"/>
      <c r="AD862" s="19"/>
      <c r="AE862" s="19"/>
    </row>
    <row r="863" spans="1:31" ht="13.15" x14ac:dyDescent="0.4">
      <c r="A863" s="19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  <c r="AA863" s="19"/>
      <c r="AB863" s="19"/>
      <c r="AC863" s="19"/>
      <c r="AD863" s="19"/>
      <c r="AE863" s="19"/>
    </row>
    <row r="864" spans="1:31" ht="13.15" x14ac:dyDescent="0.4">
      <c r="A864" s="19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  <c r="AA864" s="19"/>
      <c r="AB864" s="19"/>
      <c r="AC864" s="19"/>
      <c r="AD864" s="19"/>
      <c r="AE864" s="19"/>
    </row>
    <row r="865" spans="1:31" ht="13.15" x14ac:dyDescent="0.4">
      <c r="A865" s="19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  <c r="AA865" s="19"/>
      <c r="AB865" s="19"/>
      <c r="AC865" s="19"/>
      <c r="AD865" s="19"/>
      <c r="AE865" s="19"/>
    </row>
    <row r="866" spans="1:31" ht="13.15" x14ac:dyDescent="0.4">
      <c r="A866" s="19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  <c r="AA866" s="19"/>
      <c r="AB866" s="19"/>
      <c r="AC866" s="19"/>
      <c r="AD866" s="19"/>
      <c r="AE866" s="19"/>
    </row>
    <row r="867" spans="1:31" ht="13.15" x14ac:dyDescent="0.4">
      <c r="A867" s="19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  <c r="AA867" s="19"/>
      <c r="AB867" s="19"/>
      <c r="AC867" s="19"/>
      <c r="AD867" s="19"/>
      <c r="AE867" s="19"/>
    </row>
    <row r="868" spans="1:31" ht="13.15" x14ac:dyDescent="0.4">
      <c r="A868" s="19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  <c r="AA868" s="19"/>
      <c r="AB868" s="19"/>
      <c r="AC868" s="19"/>
      <c r="AD868" s="19"/>
      <c r="AE868" s="19"/>
    </row>
    <row r="869" spans="1:31" ht="13.15" x14ac:dyDescent="0.4">
      <c r="A869" s="19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  <c r="AA869" s="19"/>
      <c r="AB869" s="19"/>
      <c r="AC869" s="19"/>
      <c r="AD869" s="19"/>
      <c r="AE869" s="19"/>
    </row>
    <row r="870" spans="1:31" ht="13.15" x14ac:dyDescent="0.4">
      <c r="A870" s="19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  <c r="AA870" s="19"/>
      <c r="AB870" s="19"/>
      <c r="AC870" s="19"/>
      <c r="AD870" s="19"/>
      <c r="AE870" s="19"/>
    </row>
    <row r="871" spans="1:31" ht="13.15" x14ac:dyDescent="0.4">
      <c r="A871" s="19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  <c r="AA871" s="19"/>
      <c r="AB871" s="19"/>
      <c r="AC871" s="19"/>
      <c r="AD871" s="19"/>
      <c r="AE871" s="19"/>
    </row>
    <row r="872" spans="1:31" ht="13.15" x14ac:dyDescent="0.4">
      <c r="A872" s="19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  <c r="AA872" s="19"/>
      <c r="AB872" s="19"/>
      <c r="AC872" s="19"/>
      <c r="AD872" s="19"/>
      <c r="AE872" s="19"/>
    </row>
    <row r="873" spans="1:31" ht="13.15" x14ac:dyDescent="0.4">
      <c r="A873" s="19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  <c r="AA873" s="19"/>
      <c r="AB873" s="19"/>
      <c r="AC873" s="19"/>
      <c r="AD873" s="19"/>
      <c r="AE873" s="19"/>
    </row>
    <row r="874" spans="1:31" ht="13.15" x14ac:dyDescent="0.4">
      <c r="A874" s="19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  <c r="AA874" s="19"/>
      <c r="AB874" s="19"/>
      <c r="AC874" s="19"/>
      <c r="AD874" s="19"/>
      <c r="AE874" s="19"/>
    </row>
    <row r="875" spans="1:31" ht="13.15" x14ac:dyDescent="0.4">
      <c r="A875" s="19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  <c r="AA875" s="19"/>
      <c r="AB875" s="19"/>
      <c r="AC875" s="19"/>
      <c r="AD875" s="19"/>
      <c r="AE875" s="19"/>
    </row>
    <row r="876" spans="1:31" ht="13.15" x14ac:dyDescent="0.4">
      <c r="A876" s="19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  <c r="AA876" s="19"/>
      <c r="AB876" s="19"/>
      <c r="AC876" s="19"/>
      <c r="AD876" s="19"/>
      <c r="AE876" s="19"/>
    </row>
    <row r="877" spans="1:31" ht="13.15" x14ac:dyDescent="0.4">
      <c r="A877" s="19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  <c r="AA877" s="19"/>
      <c r="AB877" s="19"/>
      <c r="AC877" s="19"/>
      <c r="AD877" s="19"/>
      <c r="AE877" s="19"/>
    </row>
    <row r="878" spans="1:31" ht="13.15" x14ac:dyDescent="0.4">
      <c r="A878" s="19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  <c r="AA878" s="19"/>
      <c r="AB878" s="19"/>
      <c r="AC878" s="19"/>
      <c r="AD878" s="19"/>
      <c r="AE878" s="19"/>
    </row>
    <row r="879" spans="1:31" ht="13.15" x14ac:dyDescent="0.4">
      <c r="A879" s="19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  <c r="AA879" s="19"/>
      <c r="AB879" s="19"/>
      <c r="AC879" s="19"/>
      <c r="AD879" s="19"/>
      <c r="AE879" s="19"/>
    </row>
    <row r="880" spans="1:31" ht="13.15" x14ac:dyDescent="0.4">
      <c r="A880" s="19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  <c r="AA880" s="19"/>
      <c r="AB880" s="19"/>
      <c r="AC880" s="19"/>
      <c r="AD880" s="19"/>
      <c r="AE880" s="19"/>
    </row>
    <row r="881" spans="1:31" ht="13.15" x14ac:dyDescent="0.4">
      <c r="A881" s="19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  <c r="AA881" s="19"/>
      <c r="AB881" s="19"/>
      <c r="AC881" s="19"/>
      <c r="AD881" s="19"/>
      <c r="AE881" s="19"/>
    </row>
    <row r="882" spans="1:31" ht="13.15" x14ac:dyDescent="0.4">
      <c r="A882" s="19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  <c r="AA882" s="19"/>
      <c r="AB882" s="19"/>
      <c r="AC882" s="19"/>
      <c r="AD882" s="19"/>
      <c r="AE882" s="19"/>
    </row>
    <row r="883" spans="1:31" ht="13.15" x14ac:dyDescent="0.4">
      <c r="A883" s="19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  <c r="AA883" s="19"/>
      <c r="AB883" s="19"/>
      <c r="AC883" s="19"/>
      <c r="AD883" s="19"/>
      <c r="AE883" s="19"/>
    </row>
    <row r="884" spans="1:31" ht="13.15" x14ac:dyDescent="0.4">
      <c r="A884" s="19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  <c r="AA884" s="19"/>
      <c r="AB884" s="19"/>
      <c r="AC884" s="19"/>
      <c r="AD884" s="19"/>
      <c r="AE884" s="19"/>
    </row>
    <row r="885" spans="1:31" ht="13.15" x14ac:dyDescent="0.4">
      <c r="A885" s="19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  <c r="AA885" s="19"/>
      <c r="AB885" s="19"/>
      <c r="AC885" s="19"/>
      <c r="AD885" s="19"/>
      <c r="AE885" s="19"/>
    </row>
    <row r="886" spans="1:31" ht="13.15" x14ac:dyDescent="0.4">
      <c r="A886" s="19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  <c r="AA886" s="19"/>
      <c r="AB886" s="19"/>
      <c r="AC886" s="19"/>
      <c r="AD886" s="19"/>
      <c r="AE886" s="19"/>
    </row>
    <row r="887" spans="1:31" ht="13.15" x14ac:dyDescent="0.4">
      <c r="A887" s="19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  <c r="AA887" s="19"/>
      <c r="AB887" s="19"/>
      <c r="AC887" s="19"/>
      <c r="AD887" s="19"/>
      <c r="AE887" s="19"/>
    </row>
    <row r="888" spans="1:31" ht="13.15" x14ac:dyDescent="0.4">
      <c r="A888" s="19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  <c r="AA888" s="19"/>
      <c r="AB888" s="19"/>
      <c r="AC888" s="19"/>
      <c r="AD888" s="19"/>
      <c r="AE888" s="19"/>
    </row>
    <row r="889" spans="1:31" ht="13.15" x14ac:dyDescent="0.4">
      <c r="A889" s="19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  <c r="AA889" s="19"/>
      <c r="AB889" s="19"/>
      <c r="AC889" s="19"/>
      <c r="AD889" s="19"/>
      <c r="AE889" s="19"/>
    </row>
    <row r="890" spans="1:31" ht="13.15" x14ac:dyDescent="0.4">
      <c r="A890" s="19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  <c r="AA890" s="19"/>
      <c r="AB890" s="19"/>
      <c r="AC890" s="19"/>
      <c r="AD890" s="19"/>
      <c r="AE890" s="19"/>
    </row>
    <row r="891" spans="1:31" ht="13.15" x14ac:dyDescent="0.4">
      <c r="A891" s="19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  <c r="AA891" s="19"/>
      <c r="AB891" s="19"/>
      <c r="AC891" s="19"/>
      <c r="AD891" s="19"/>
      <c r="AE891" s="19"/>
    </row>
    <row r="892" spans="1:31" ht="13.15" x14ac:dyDescent="0.4">
      <c r="A892" s="19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  <c r="AA892" s="19"/>
      <c r="AB892" s="19"/>
      <c r="AC892" s="19"/>
      <c r="AD892" s="19"/>
      <c r="AE892" s="19"/>
    </row>
    <row r="893" spans="1:31" ht="13.15" x14ac:dyDescent="0.4">
      <c r="A893" s="19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  <c r="AA893" s="19"/>
      <c r="AB893" s="19"/>
      <c r="AC893" s="19"/>
      <c r="AD893" s="19"/>
      <c r="AE893" s="19"/>
    </row>
    <row r="894" spans="1:31" ht="13.15" x14ac:dyDescent="0.4">
      <c r="A894" s="19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  <c r="AA894" s="19"/>
      <c r="AB894" s="19"/>
      <c r="AC894" s="19"/>
      <c r="AD894" s="19"/>
      <c r="AE894" s="19"/>
    </row>
    <row r="895" spans="1:31" ht="13.15" x14ac:dyDescent="0.4">
      <c r="A895" s="19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  <c r="AA895" s="19"/>
      <c r="AB895" s="19"/>
      <c r="AC895" s="19"/>
      <c r="AD895" s="19"/>
      <c r="AE895" s="19"/>
    </row>
    <row r="896" spans="1:31" ht="13.15" x14ac:dyDescent="0.4">
      <c r="A896" s="19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  <c r="AA896" s="19"/>
      <c r="AB896" s="19"/>
      <c r="AC896" s="19"/>
      <c r="AD896" s="19"/>
      <c r="AE896" s="19"/>
    </row>
    <row r="897" spans="1:31" ht="13.15" x14ac:dyDescent="0.4">
      <c r="A897" s="19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  <c r="AA897" s="19"/>
      <c r="AB897" s="19"/>
      <c r="AC897" s="19"/>
      <c r="AD897" s="19"/>
      <c r="AE897" s="19"/>
    </row>
    <row r="898" spans="1:31" ht="13.15" x14ac:dyDescent="0.4">
      <c r="A898" s="19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  <c r="AA898" s="19"/>
      <c r="AB898" s="19"/>
      <c r="AC898" s="19"/>
      <c r="AD898" s="19"/>
      <c r="AE898" s="19"/>
    </row>
    <row r="899" spans="1:31" ht="13.15" x14ac:dyDescent="0.4">
      <c r="A899" s="19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  <c r="AA899" s="19"/>
      <c r="AB899" s="19"/>
      <c r="AC899" s="19"/>
      <c r="AD899" s="19"/>
      <c r="AE899" s="19"/>
    </row>
    <row r="900" spans="1:31" ht="13.15" x14ac:dyDescent="0.4">
      <c r="A900" s="19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  <c r="AA900" s="19"/>
      <c r="AB900" s="19"/>
      <c r="AC900" s="19"/>
      <c r="AD900" s="19"/>
      <c r="AE900" s="19"/>
    </row>
    <row r="901" spans="1:31" ht="13.15" x14ac:dyDescent="0.4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  <c r="AA901" s="19"/>
      <c r="AB901" s="19"/>
      <c r="AC901" s="19"/>
      <c r="AD901" s="19"/>
      <c r="AE901" s="19"/>
    </row>
    <row r="902" spans="1:31" ht="13.15" x14ac:dyDescent="0.4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  <c r="AA902" s="19"/>
      <c r="AB902" s="19"/>
      <c r="AC902" s="19"/>
      <c r="AD902" s="19"/>
      <c r="AE902" s="19"/>
    </row>
    <row r="903" spans="1:31" ht="13.15" x14ac:dyDescent="0.4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  <c r="AA903" s="19"/>
      <c r="AB903" s="19"/>
      <c r="AC903" s="19"/>
      <c r="AD903" s="19"/>
      <c r="AE903" s="19"/>
    </row>
    <row r="904" spans="1:31" ht="13.15" x14ac:dyDescent="0.4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  <c r="AA904" s="19"/>
      <c r="AB904" s="19"/>
      <c r="AC904" s="19"/>
      <c r="AD904" s="19"/>
      <c r="AE904" s="19"/>
    </row>
    <row r="905" spans="1:31" ht="13.15" x14ac:dyDescent="0.4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  <c r="AA905" s="19"/>
      <c r="AB905" s="19"/>
      <c r="AC905" s="19"/>
      <c r="AD905" s="19"/>
      <c r="AE905" s="19"/>
    </row>
    <row r="906" spans="1:31" ht="13.15" x14ac:dyDescent="0.4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  <c r="AA906" s="19"/>
      <c r="AB906" s="19"/>
      <c r="AC906" s="19"/>
      <c r="AD906" s="19"/>
      <c r="AE906" s="19"/>
    </row>
    <row r="907" spans="1:31" ht="13.15" x14ac:dyDescent="0.4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  <c r="AA907" s="19"/>
      <c r="AB907" s="19"/>
      <c r="AC907" s="19"/>
      <c r="AD907" s="19"/>
      <c r="AE907" s="19"/>
    </row>
    <row r="908" spans="1:31" ht="13.15" x14ac:dyDescent="0.4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  <c r="AA908" s="19"/>
      <c r="AB908" s="19"/>
      <c r="AC908" s="19"/>
      <c r="AD908" s="19"/>
      <c r="AE908" s="19"/>
    </row>
    <row r="909" spans="1:31" ht="13.15" x14ac:dyDescent="0.4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  <c r="AA909" s="19"/>
      <c r="AB909" s="19"/>
      <c r="AC909" s="19"/>
      <c r="AD909" s="19"/>
      <c r="AE909" s="19"/>
    </row>
    <row r="910" spans="1:31" ht="13.15" x14ac:dyDescent="0.4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  <c r="AB910" s="19"/>
      <c r="AC910" s="19"/>
      <c r="AD910" s="19"/>
      <c r="AE910" s="19"/>
    </row>
    <row r="911" spans="1:31" ht="13.15" x14ac:dyDescent="0.4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  <c r="AA911" s="19"/>
      <c r="AB911" s="19"/>
      <c r="AC911" s="19"/>
      <c r="AD911" s="19"/>
      <c r="AE911" s="19"/>
    </row>
    <row r="912" spans="1:31" ht="13.15" x14ac:dyDescent="0.4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  <c r="AA912" s="19"/>
      <c r="AB912" s="19"/>
      <c r="AC912" s="19"/>
      <c r="AD912" s="19"/>
      <c r="AE912" s="19"/>
    </row>
    <row r="913" spans="1:31" ht="13.15" x14ac:dyDescent="0.4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  <c r="AA913" s="19"/>
      <c r="AB913" s="19"/>
      <c r="AC913" s="19"/>
      <c r="AD913" s="19"/>
      <c r="AE913" s="19"/>
    </row>
    <row r="914" spans="1:31" ht="13.15" x14ac:dyDescent="0.4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  <c r="AA914" s="19"/>
      <c r="AB914" s="19"/>
      <c r="AC914" s="19"/>
      <c r="AD914" s="19"/>
      <c r="AE914" s="19"/>
    </row>
    <row r="915" spans="1:31" ht="13.15" x14ac:dyDescent="0.4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  <c r="AA915" s="19"/>
      <c r="AB915" s="19"/>
      <c r="AC915" s="19"/>
      <c r="AD915" s="19"/>
      <c r="AE915" s="19"/>
    </row>
    <row r="916" spans="1:31" ht="13.15" x14ac:dyDescent="0.4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  <c r="AA916" s="19"/>
      <c r="AB916" s="19"/>
      <c r="AC916" s="19"/>
      <c r="AD916" s="19"/>
      <c r="AE916" s="19"/>
    </row>
    <row r="917" spans="1:31" ht="13.15" x14ac:dyDescent="0.4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  <c r="AA917" s="19"/>
      <c r="AB917" s="19"/>
      <c r="AC917" s="19"/>
      <c r="AD917" s="19"/>
      <c r="AE917" s="19"/>
    </row>
    <row r="918" spans="1:31" ht="13.15" x14ac:dyDescent="0.4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  <c r="AB918" s="19"/>
      <c r="AC918" s="19"/>
      <c r="AD918" s="19"/>
      <c r="AE918" s="19"/>
    </row>
    <row r="919" spans="1:31" ht="13.15" x14ac:dyDescent="0.4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  <c r="AA919" s="19"/>
      <c r="AB919" s="19"/>
      <c r="AC919" s="19"/>
      <c r="AD919" s="19"/>
      <c r="AE919" s="19"/>
    </row>
    <row r="920" spans="1:31" ht="13.15" x14ac:dyDescent="0.4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  <c r="AA920" s="19"/>
      <c r="AB920" s="19"/>
      <c r="AC920" s="19"/>
      <c r="AD920" s="19"/>
      <c r="AE920" s="19"/>
    </row>
    <row r="921" spans="1:31" ht="13.15" x14ac:dyDescent="0.4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  <c r="AA921" s="19"/>
      <c r="AB921" s="19"/>
      <c r="AC921" s="19"/>
      <c r="AD921" s="19"/>
      <c r="AE921" s="19"/>
    </row>
    <row r="922" spans="1:31" ht="13.15" x14ac:dyDescent="0.4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  <c r="AA922" s="19"/>
      <c r="AB922" s="19"/>
      <c r="AC922" s="19"/>
      <c r="AD922" s="19"/>
      <c r="AE922" s="19"/>
    </row>
    <row r="923" spans="1:31" ht="13.15" x14ac:dyDescent="0.4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  <c r="AA923" s="19"/>
      <c r="AB923" s="19"/>
      <c r="AC923" s="19"/>
      <c r="AD923" s="19"/>
      <c r="AE923" s="19"/>
    </row>
    <row r="924" spans="1:31" ht="13.15" x14ac:dyDescent="0.4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  <c r="AA924" s="19"/>
      <c r="AB924" s="19"/>
      <c r="AC924" s="19"/>
      <c r="AD924" s="19"/>
      <c r="AE924" s="19"/>
    </row>
    <row r="925" spans="1:31" ht="13.15" x14ac:dyDescent="0.4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  <c r="AA925" s="19"/>
      <c r="AB925" s="19"/>
      <c r="AC925" s="19"/>
      <c r="AD925" s="19"/>
      <c r="AE925" s="19"/>
    </row>
    <row r="926" spans="1:31" ht="13.15" x14ac:dyDescent="0.4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  <c r="AA926" s="19"/>
      <c r="AB926" s="19"/>
      <c r="AC926" s="19"/>
      <c r="AD926" s="19"/>
      <c r="AE926" s="19"/>
    </row>
    <row r="927" spans="1:31" ht="13.15" x14ac:dyDescent="0.4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  <c r="AA927" s="19"/>
      <c r="AB927" s="19"/>
      <c r="AC927" s="19"/>
      <c r="AD927" s="19"/>
      <c r="AE927" s="19"/>
    </row>
    <row r="928" spans="1:31" ht="13.15" x14ac:dyDescent="0.4">
      <c r="A928" s="19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  <c r="AA928" s="19"/>
      <c r="AB928" s="19"/>
      <c r="AC928" s="19"/>
      <c r="AD928" s="19"/>
      <c r="AE928" s="19"/>
    </row>
    <row r="929" spans="1:31" ht="13.15" x14ac:dyDescent="0.4">
      <c r="A929" s="19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  <c r="AA929" s="19"/>
      <c r="AB929" s="19"/>
      <c r="AC929" s="19"/>
      <c r="AD929" s="19"/>
      <c r="AE929" s="19"/>
    </row>
    <row r="930" spans="1:31" ht="13.15" x14ac:dyDescent="0.4">
      <c r="A930" s="19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  <c r="AA930" s="19"/>
      <c r="AB930" s="19"/>
      <c r="AC930" s="19"/>
      <c r="AD930" s="19"/>
      <c r="AE930" s="19"/>
    </row>
    <row r="931" spans="1:31" ht="13.15" x14ac:dyDescent="0.4">
      <c r="A931" s="19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  <c r="AA931" s="19"/>
      <c r="AB931" s="19"/>
      <c r="AC931" s="19"/>
      <c r="AD931" s="19"/>
      <c r="AE931" s="19"/>
    </row>
    <row r="932" spans="1:31" ht="13.15" x14ac:dyDescent="0.4">
      <c r="A932" s="19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  <c r="AA932" s="19"/>
      <c r="AB932" s="19"/>
      <c r="AC932" s="19"/>
      <c r="AD932" s="19"/>
      <c r="AE932" s="19"/>
    </row>
    <row r="933" spans="1:31" ht="13.15" x14ac:dyDescent="0.4">
      <c r="A933" s="19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  <c r="AA933" s="19"/>
      <c r="AB933" s="19"/>
      <c r="AC933" s="19"/>
      <c r="AD933" s="19"/>
      <c r="AE933" s="19"/>
    </row>
    <row r="934" spans="1:31" ht="13.15" x14ac:dyDescent="0.4">
      <c r="A934" s="19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  <c r="AA934" s="19"/>
      <c r="AB934" s="19"/>
      <c r="AC934" s="19"/>
      <c r="AD934" s="19"/>
      <c r="AE934" s="19"/>
    </row>
    <row r="935" spans="1:31" ht="13.15" x14ac:dyDescent="0.4">
      <c r="A935" s="19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  <c r="AA935" s="19"/>
      <c r="AB935" s="19"/>
      <c r="AC935" s="19"/>
      <c r="AD935" s="19"/>
      <c r="AE935" s="19"/>
    </row>
    <row r="936" spans="1:31" ht="13.15" x14ac:dyDescent="0.4">
      <c r="A936" s="19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  <c r="AA936" s="19"/>
      <c r="AB936" s="19"/>
      <c r="AC936" s="19"/>
      <c r="AD936" s="19"/>
      <c r="AE936" s="19"/>
    </row>
    <row r="937" spans="1:31" ht="13.15" x14ac:dyDescent="0.4">
      <c r="A937" s="19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  <c r="AA937" s="19"/>
      <c r="AB937" s="19"/>
      <c r="AC937" s="19"/>
      <c r="AD937" s="19"/>
      <c r="AE937" s="19"/>
    </row>
    <row r="938" spans="1:31" ht="13.15" x14ac:dyDescent="0.4">
      <c r="A938" s="19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  <c r="AA938" s="19"/>
      <c r="AB938" s="19"/>
      <c r="AC938" s="19"/>
      <c r="AD938" s="19"/>
      <c r="AE938" s="19"/>
    </row>
    <row r="939" spans="1:31" ht="13.15" x14ac:dyDescent="0.4">
      <c r="A939" s="19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  <c r="AA939" s="19"/>
      <c r="AB939" s="19"/>
      <c r="AC939" s="19"/>
      <c r="AD939" s="19"/>
      <c r="AE939" s="19"/>
    </row>
    <row r="940" spans="1:31" ht="13.15" x14ac:dyDescent="0.4">
      <c r="A940" s="19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  <c r="AB940" s="19"/>
      <c r="AC940" s="19"/>
      <c r="AD940" s="19"/>
      <c r="AE940" s="19"/>
    </row>
    <row r="941" spans="1:31" ht="13.15" x14ac:dyDescent="0.4">
      <c r="A941" s="19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  <c r="AA941" s="19"/>
      <c r="AB941" s="19"/>
      <c r="AC941" s="19"/>
      <c r="AD941" s="19"/>
      <c r="AE941" s="19"/>
    </row>
    <row r="942" spans="1:31" ht="13.15" x14ac:dyDescent="0.4">
      <c r="A942" s="19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  <c r="AA942" s="19"/>
      <c r="AB942" s="19"/>
      <c r="AC942" s="19"/>
      <c r="AD942" s="19"/>
      <c r="AE942" s="19"/>
    </row>
    <row r="943" spans="1:31" ht="13.15" x14ac:dyDescent="0.4">
      <c r="A943" s="19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  <c r="AA943" s="19"/>
      <c r="AB943" s="19"/>
      <c r="AC943" s="19"/>
      <c r="AD943" s="19"/>
      <c r="AE943" s="19"/>
    </row>
    <row r="944" spans="1:31" ht="13.15" x14ac:dyDescent="0.4">
      <c r="A944" s="19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  <c r="AA944" s="19"/>
      <c r="AB944" s="19"/>
      <c r="AC944" s="19"/>
      <c r="AD944" s="19"/>
      <c r="AE944" s="19"/>
    </row>
    <row r="945" spans="1:31" ht="13.15" x14ac:dyDescent="0.4">
      <c r="A945" s="19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  <c r="AA945" s="19"/>
      <c r="AB945" s="19"/>
      <c r="AC945" s="19"/>
      <c r="AD945" s="19"/>
      <c r="AE945" s="19"/>
    </row>
    <row r="946" spans="1:31" ht="13.15" x14ac:dyDescent="0.4">
      <c r="A946" s="19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  <c r="AA946" s="19"/>
      <c r="AB946" s="19"/>
      <c r="AC946" s="19"/>
      <c r="AD946" s="19"/>
      <c r="AE946" s="19"/>
    </row>
    <row r="947" spans="1:31" ht="13.15" x14ac:dyDescent="0.4">
      <c r="A947" s="19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  <c r="AA947" s="19"/>
      <c r="AB947" s="19"/>
      <c r="AC947" s="19"/>
      <c r="AD947" s="19"/>
      <c r="AE947" s="19"/>
    </row>
    <row r="948" spans="1:31" ht="13.15" x14ac:dyDescent="0.4">
      <c r="A948" s="19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  <c r="AA948" s="19"/>
      <c r="AB948" s="19"/>
      <c r="AC948" s="19"/>
      <c r="AD948" s="19"/>
      <c r="AE948" s="19"/>
    </row>
    <row r="949" spans="1:31" ht="13.15" x14ac:dyDescent="0.4">
      <c r="A949" s="19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  <c r="AA949" s="19"/>
      <c r="AB949" s="19"/>
      <c r="AC949" s="19"/>
      <c r="AD949" s="19"/>
      <c r="AE949" s="19"/>
    </row>
    <row r="950" spans="1:31" ht="13.15" x14ac:dyDescent="0.4">
      <c r="A950" s="19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  <c r="AA950" s="19"/>
      <c r="AB950" s="19"/>
      <c r="AC950" s="19"/>
      <c r="AD950" s="19"/>
      <c r="AE950" s="19"/>
    </row>
    <row r="951" spans="1:31" ht="13.15" x14ac:dyDescent="0.4">
      <c r="A951" s="19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  <c r="AA951" s="19"/>
      <c r="AB951" s="19"/>
      <c r="AC951" s="19"/>
      <c r="AD951" s="19"/>
      <c r="AE951" s="19"/>
    </row>
    <row r="952" spans="1:31" ht="13.15" x14ac:dyDescent="0.4">
      <c r="A952" s="19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  <c r="AA952" s="19"/>
      <c r="AB952" s="19"/>
      <c r="AC952" s="19"/>
      <c r="AD952" s="19"/>
      <c r="AE952" s="19"/>
    </row>
    <row r="953" spans="1:31" ht="13.15" x14ac:dyDescent="0.4">
      <c r="A953" s="19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  <c r="AA953" s="19"/>
      <c r="AB953" s="19"/>
      <c r="AC953" s="19"/>
      <c r="AD953" s="19"/>
      <c r="AE953" s="19"/>
    </row>
    <row r="954" spans="1:31" ht="13.15" x14ac:dyDescent="0.4">
      <c r="A954" s="19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  <c r="AA954" s="19"/>
      <c r="AB954" s="19"/>
      <c r="AC954" s="19"/>
      <c r="AD954" s="19"/>
      <c r="AE954" s="19"/>
    </row>
    <row r="955" spans="1:31" ht="13.15" x14ac:dyDescent="0.4">
      <c r="A955" s="19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  <c r="AA955" s="19"/>
      <c r="AB955" s="19"/>
      <c r="AC955" s="19"/>
      <c r="AD955" s="19"/>
      <c r="AE955" s="19"/>
    </row>
    <row r="956" spans="1:31" ht="13.15" x14ac:dyDescent="0.4">
      <c r="A956" s="19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  <c r="AA956" s="19"/>
      <c r="AB956" s="19"/>
      <c r="AC956" s="19"/>
      <c r="AD956" s="19"/>
      <c r="AE956" s="19"/>
    </row>
    <row r="957" spans="1:31" ht="13.15" x14ac:dyDescent="0.4">
      <c r="A957" s="19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  <c r="AA957" s="19"/>
      <c r="AB957" s="19"/>
      <c r="AC957" s="19"/>
      <c r="AD957" s="19"/>
      <c r="AE957" s="19"/>
    </row>
    <row r="958" spans="1:31" ht="13.15" x14ac:dyDescent="0.4">
      <c r="A958" s="19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  <c r="AA958" s="19"/>
      <c r="AB958" s="19"/>
      <c r="AC958" s="19"/>
      <c r="AD958" s="19"/>
      <c r="AE958" s="19"/>
    </row>
    <row r="959" spans="1:31" ht="13.15" x14ac:dyDescent="0.4">
      <c r="A959" s="19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  <c r="AA959" s="19"/>
      <c r="AB959" s="19"/>
      <c r="AC959" s="19"/>
      <c r="AD959" s="19"/>
      <c r="AE959" s="19"/>
    </row>
    <row r="960" spans="1:31" ht="13.15" x14ac:dyDescent="0.4">
      <c r="A960" s="19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  <c r="AA960" s="19"/>
      <c r="AB960" s="19"/>
      <c r="AC960" s="19"/>
      <c r="AD960" s="19"/>
      <c r="AE960" s="19"/>
    </row>
    <row r="961" spans="1:31" ht="13.15" x14ac:dyDescent="0.4">
      <c r="A961" s="19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  <c r="AA961" s="19"/>
      <c r="AB961" s="19"/>
      <c r="AC961" s="19"/>
      <c r="AD961" s="19"/>
      <c r="AE961" s="19"/>
    </row>
    <row r="962" spans="1:31" ht="13.15" x14ac:dyDescent="0.4">
      <c r="A962" s="19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  <c r="AA962" s="19"/>
      <c r="AB962" s="19"/>
      <c r="AC962" s="19"/>
      <c r="AD962" s="19"/>
      <c r="AE962" s="19"/>
    </row>
    <row r="963" spans="1:31" ht="13.15" x14ac:dyDescent="0.4">
      <c r="A963" s="19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  <c r="AB963" s="19"/>
      <c r="AC963" s="19"/>
      <c r="AD963" s="19"/>
      <c r="AE963" s="19"/>
    </row>
    <row r="964" spans="1:31" ht="13.15" x14ac:dyDescent="0.4">
      <c r="A964" s="19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  <c r="AA964" s="19"/>
      <c r="AB964" s="19"/>
      <c r="AC964" s="19"/>
      <c r="AD964" s="19"/>
      <c r="AE964" s="19"/>
    </row>
    <row r="965" spans="1:31" ht="13.15" x14ac:dyDescent="0.4">
      <c r="A965" s="19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  <c r="AA965" s="19"/>
      <c r="AB965" s="19"/>
      <c r="AC965" s="19"/>
      <c r="AD965" s="19"/>
      <c r="AE965" s="19"/>
    </row>
    <row r="966" spans="1:31" ht="13.15" x14ac:dyDescent="0.4">
      <c r="A966" s="19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  <c r="AA966" s="19"/>
      <c r="AB966" s="19"/>
      <c r="AC966" s="19"/>
      <c r="AD966" s="19"/>
      <c r="AE966" s="19"/>
    </row>
    <row r="967" spans="1:31" ht="13.15" x14ac:dyDescent="0.4">
      <c r="A967" s="19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  <c r="AA967" s="19"/>
      <c r="AB967" s="19"/>
      <c r="AC967" s="19"/>
      <c r="AD967" s="19"/>
      <c r="AE967" s="19"/>
    </row>
    <row r="968" spans="1:31" ht="13.15" x14ac:dyDescent="0.4">
      <c r="A968" s="19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  <c r="AA968" s="19"/>
      <c r="AB968" s="19"/>
      <c r="AC968" s="19"/>
      <c r="AD968" s="19"/>
      <c r="AE968" s="19"/>
    </row>
    <row r="969" spans="1:31" ht="13.15" x14ac:dyDescent="0.4">
      <c r="A969" s="19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  <c r="AA969" s="19"/>
      <c r="AB969" s="19"/>
      <c r="AC969" s="19"/>
      <c r="AD969" s="19"/>
      <c r="AE969" s="19"/>
    </row>
    <row r="970" spans="1:31" ht="13.15" x14ac:dyDescent="0.4">
      <c r="A970" s="19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  <c r="AA970" s="19"/>
      <c r="AB970" s="19"/>
      <c r="AC970" s="19"/>
      <c r="AD970" s="19"/>
      <c r="AE970" s="19"/>
    </row>
    <row r="971" spans="1:31" ht="13.15" x14ac:dyDescent="0.4">
      <c r="A971" s="19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  <c r="AA971" s="19"/>
      <c r="AB971" s="19"/>
      <c r="AC971" s="19"/>
      <c r="AD971" s="19"/>
      <c r="AE971" s="19"/>
    </row>
    <row r="972" spans="1:31" ht="13.15" x14ac:dyDescent="0.4">
      <c r="A972" s="19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  <c r="AA972" s="19"/>
      <c r="AB972" s="19"/>
      <c r="AC972" s="19"/>
      <c r="AD972" s="19"/>
      <c r="AE972" s="19"/>
    </row>
    <row r="973" spans="1:31" ht="13.15" x14ac:dyDescent="0.4">
      <c r="A973" s="19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  <c r="AA973" s="19"/>
      <c r="AB973" s="19"/>
      <c r="AC973" s="19"/>
      <c r="AD973" s="19"/>
      <c r="AE973" s="19"/>
    </row>
    <row r="974" spans="1:31" ht="13.15" x14ac:dyDescent="0.4">
      <c r="A974" s="19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  <c r="AA974" s="19"/>
      <c r="AB974" s="19"/>
      <c r="AC974" s="19"/>
      <c r="AD974" s="19"/>
      <c r="AE974" s="19"/>
    </row>
    <row r="975" spans="1:31" ht="13.15" x14ac:dyDescent="0.4">
      <c r="A975" s="19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  <c r="AA975" s="19"/>
      <c r="AB975" s="19"/>
      <c r="AC975" s="19"/>
      <c r="AD975" s="19"/>
      <c r="AE975" s="19"/>
    </row>
    <row r="976" spans="1:31" ht="13.15" x14ac:dyDescent="0.4">
      <c r="A976" s="19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  <c r="AA976" s="19"/>
      <c r="AB976" s="19"/>
      <c r="AC976" s="19"/>
      <c r="AD976" s="19"/>
      <c r="AE976" s="19"/>
    </row>
    <row r="977" spans="1:31" ht="13.15" x14ac:dyDescent="0.4">
      <c r="A977" s="19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  <c r="AA977" s="19"/>
      <c r="AB977" s="19"/>
      <c r="AC977" s="19"/>
      <c r="AD977" s="19"/>
      <c r="AE977" s="19"/>
    </row>
    <row r="978" spans="1:31" ht="13.15" x14ac:dyDescent="0.4">
      <c r="A978" s="19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  <c r="AA978" s="19"/>
      <c r="AB978" s="19"/>
      <c r="AC978" s="19"/>
      <c r="AD978" s="19"/>
      <c r="AE978" s="19"/>
    </row>
    <row r="979" spans="1:31" ht="13.15" x14ac:dyDescent="0.4">
      <c r="A979" s="19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  <c r="AA979" s="19"/>
      <c r="AB979" s="19"/>
      <c r="AC979" s="19"/>
      <c r="AD979" s="19"/>
      <c r="AE979" s="19"/>
    </row>
    <row r="980" spans="1:31" ht="13.15" x14ac:dyDescent="0.4">
      <c r="A980" s="19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  <c r="AA980" s="19"/>
      <c r="AB980" s="19"/>
      <c r="AC980" s="19"/>
      <c r="AD980" s="19"/>
      <c r="AE980" s="19"/>
    </row>
    <row r="981" spans="1:31" ht="13.15" x14ac:dyDescent="0.4">
      <c r="A981" s="19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  <c r="AA981" s="19"/>
      <c r="AB981" s="19"/>
      <c r="AC981" s="19"/>
      <c r="AD981" s="19"/>
      <c r="AE981" s="19"/>
    </row>
    <row r="982" spans="1:31" ht="13.15" x14ac:dyDescent="0.4">
      <c r="A982" s="19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  <c r="AA982" s="19"/>
      <c r="AB982" s="19"/>
      <c r="AC982" s="19"/>
      <c r="AD982" s="19"/>
      <c r="AE982" s="19"/>
    </row>
    <row r="983" spans="1:31" ht="13.15" x14ac:dyDescent="0.4">
      <c r="A983" s="19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  <c r="AA983" s="19"/>
      <c r="AB983" s="19"/>
      <c r="AC983" s="19"/>
      <c r="AD983" s="19"/>
      <c r="AE983" s="19"/>
    </row>
    <row r="984" spans="1:31" ht="13.15" x14ac:dyDescent="0.4">
      <c r="A984" s="19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  <c r="AA984" s="19"/>
      <c r="AB984" s="19"/>
      <c r="AC984" s="19"/>
      <c r="AD984" s="19"/>
      <c r="AE984" s="19"/>
    </row>
    <row r="985" spans="1:31" ht="13.15" x14ac:dyDescent="0.4">
      <c r="A985" s="19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  <c r="AA985" s="19"/>
      <c r="AB985" s="19"/>
      <c r="AC985" s="19"/>
      <c r="AD985" s="19"/>
      <c r="AE985" s="19"/>
    </row>
    <row r="986" spans="1:31" ht="13.15" x14ac:dyDescent="0.4">
      <c r="A986" s="19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  <c r="AA986" s="19"/>
      <c r="AB986" s="19"/>
      <c r="AC986" s="19"/>
      <c r="AD986" s="19"/>
      <c r="AE986" s="19"/>
    </row>
    <row r="987" spans="1:31" ht="13.15" x14ac:dyDescent="0.4">
      <c r="A987" s="19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  <c r="AA987" s="19"/>
      <c r="AB987" s="19"/>
      <c r="AC987" s="19"/>
      <c r="AD987" s="19"/>
      <c r="AE987" s="19"/>
    </row>
    <row r="988" spans="1:31" ht="13.15" x14ac:dyDescent="0.4">
      <c r="A988" s="19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  <c r="AA988" s="19"/>
      <c r="AB988" s="19"/>
      <c r="AC988" s="19"/>
      <c r="AD988" s="19"/>
      <c r="AE988" s="19"/>
    </row>
    <row r="989" spans="1:31" ht="13.15" x14ac:dyDescent="0.4">
      <c r="A989" s="19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  <c r="AA989" s="19"/>
      <c r="AB989" s="19"/>
      <c r="AC989" s="19"/>
      <c r="AD989" s="19"/>
      <c r="AE989" s="19"/>
    </row>
    <row r="990" spans="1:31" ht="13.15" x14ac:dyDescent="0.4">
      <c r="A990" s="19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  <c r="AA990" s="19"/>
      <c r="AB990" s="19"/>
      <c r="AC990" s="19"/>
      <c r="AD990" s="19"/>
      <c r="AE990" s="19"/>
    </row>
    <row r="991" spans="1:31" ht="13.15" x14ac:dyDescent="0.4">
      <c r="A991" s="19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  <c r="AA991" s="19"/>
      <c r="AB991" s="19"/>
      <c r="AC991" s="19"/>
      <c r="AD991" s="19"/>
      <c r="AE991" s="19"/>
    </row>
    <row r="992" spans="1:31" ht="13.15" x14ac:dyDescent="0.4">
      <c r="A992" s="19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  <c r="AA992" s="19"/>
      <c r="AB992" s="19"/>
      <c r="AC992" s="19"/>
      <c r="AD992" s="19"/>
      <c r="AE992" s="19"/>
    </row>
    <row r="993" spans="1:31" ht="13.15" x14ac:dyDescent="0.4">
      <c r="A993" s="19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  <c r="AA993" s="19"/>
      <c r="AB993" s="19"/>
      <c r="AC993" s="19"/>
      <c r="AD993" s="19"/>
      <c r="AE993" s="19"/>
    </row>
    <row r="994" spans="1:31" ht="13.15" x14ac:dyDescent="0.4">
      <c r="A994" s="19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  <c r="AA994" s="19"/>
      <c r="AB994" s="19"/>
      <c r="AC994" s="19"/>
      <c r="AD994" s="19"/>
      <c r="AE994" s="19"/>
    </row>
    <row r="995" spans="1:31" ht="13.15" x14ac:dyDescent="0.4">
      <c r="A995" s="19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  <c r="AA995" s="19"/>
      <c r="AB995" s="19"/>
      <c r="AC995" s="19"/>
      <c r="AD995" s="19"/>
      <c r="AE995" s="19"/>
    </row>
    <row r="996" spans="1:31" ht="13.15" x14ac:dyDescent="0.4">
      <c r="A996" s="19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  <c r="AA996" s="19"/>
      <c r="AB996" s="19"/>
      <c r="AC996" s="19"/>
      <c r="AD996" s="19"/>
      <c r="AE996" s="19"/>
    </row>
    <row r="997" spans="1:31" ht="13.15" x14ac:dyDescent="0.4">
      <c r="A997" s="19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  <c r="AA997" s="19"/>
      <c r="AB997" s="19"/>
      <c r="AC997" s="19"/>
      <c r="AD997" s="19"/>
      <c r="AE997" s="19"/>
    </row>
    <row r="998" spans="1:31" ht="13.15" x14ac:dyDescent="0.4">
      <c r="A998" s="19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  <c r="AA998" s="19"/>
      <c r="AB998" s="19"/>
      <c r="AC998" s="19"/>
      <c r="AD998" s="19"/>
      <c r="AE998" s="19"/>
    </row>
    <row r="999" spans="1:31" ht="13.15" x14ac:dyDescent="0.4">
      <c r="A999" s="19"/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  <c r="AA999" s="19"/>
      <c r="AB999" s="19"/>
      <c r="AC999" s="19"/>
      <c r="AD999" s="19"/>
      <c r="AE999" s="19"/>
    </row>
    <row r="1000" spans="1:31" ht="13.15" x14ac:dyDescent="0.4">
      <c r="A1000" s="19"/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  <c r="AA1000" s="19"/>
      <c r="AB1000" s="19"/>
      <c r="AC1000" s="19"/>
      <c r="AD1000" s="19"/>
      <c r="AE1000" s="19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AE966"/>
  <sheetViews>
    <sheetView workbookViewId="0">
      <pane ySplit="1" topLeftCell="A2" activePane="bottomLeft" state="frozen"/>
      <selection pane="bottomLeft" activeCell="B3" sqref="B3"/>
    </sheetView>
  </sheetViews>
  <sheetFormatPr defaultColWidth="12.59765625" defaultRowHeight="15.75" customHeight="1" x14ac:dyDescent="0.35"/>
  <cols>
    <col min="6" max="7" width="21" customWidth="1"/>
    <col min="8" max="8" width="17.1328125" customWidth="1"/>
    <col min="21" max="21" width="43.3984375" customWidth="1"/>
    <col min="22" max="22" width="38.265625" customWidth="1"/>
    <col min="23" max="23" width="38.59765625" customWidth="1"/>
  </cols>
  <sheetData>
    <row r="1" spans="1:31" ht="15.75" customHeight="1" x14ac:dyDescent="0.4">
      <c r="A1" s="6"/>
      <c r="B1" s="6"/>
      <c r="C1" s="6"/>
      <c r="D1" s="6"/>
      <c r="E1" s="6" t="s">
        <v>0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6" t="s">
        <v>9</v>
      </c>
      <c r="L1" s="6" t="s">
        <v>10</v>
      </c>
      <c r="M1" s="6" t="s">
        <v>11</v>
      </c>
      <c r="N1" s="6" t="s">
        <v>12</v>
      </c>
      <c r="O1" s="6" t="s">
        <v>13</v>
      </c>
      <c r="P1" s="6" t="s">
        <v>14</v>
      </c>
      <c r="Q1" s="6" t="s">
        <v>15</v>
      </c>
      <c r="R1" s="6" t="s">
        <v>16</v>
      </c>
      <c r="S1" s="6" t="s">
        <v>17</v>
      </c>
      <c r="T1" s="6" t="s">
        <v>18</v>
      </c>
      <c r="U1" s="6"/>
      <c r="V1" s="6"/>
      <c r="W1" s="6"/>
      <c r="X1" s="6"/>
      <c r="Y1" s="6"/>
      <c r="Z1" s="6"/>
      <c r="AA1" s="6"/>
      <c r="AB1" s="6"/>
      <c r="AC1" s="6"/>
      <c r="AD1" s="6"/>
      <c r="AE1" s="6"/>
    </row>
    <row r="2" spans="1:31" ht="15.75" customHeight="1" x14ac:dyDescent="0.4">
      <c r="A2" s="7" t="s">
        <v>0</v>
      </c>
      <c r="B2" s="7" t="s">
        <v>1</v>
      </c>
      <c r="C2" s="7" t="s">
        <v>2</v>
      </c>
      <c r="D2" s="8"/>
      <c r="E2" s="8" t="str">
        <f ca="1">IFERROR(__xludf.DUMMYFUNCTION("QUERY({AAL!E2:S966;'C3'!E2:S966;SAM!E2:S966;LAMAR!E2:S966;ECP!E2:S966;FEHL!E2:S966;JONES!E2:S966;SMITH!E2:S966;MMS!E2:S966;PRESCOTT!E2:S966},""select * where Col1 is not null"",0)"),"AAL")</f>
        <v>AAL</v>
      </c>
      <c r="F2" s="8" t="str">
        <f ca="1">IFERROR(__xludf.DUMMYFUNCTION("""COMPUTED_VALUE"""),"Core Subject With LSAE")</f>
        <v>Core Subject With LSAE</v>
      </c>
      <c r="G2" s="8" t="str">
        <f ca="1">IFERROR(__xludf.DUMMYFUNCTION("""COMPUTED_VALUE"""),"Lucas Caloun")</f>
        <v>Lucas Caloun</v>
      </c>
      <c r="H2" s="8" t="str">
        <f ca="1">IFERROR(__xludf.DUMMYFUNCTION("""COMPUTED_VALUE"""),"Damon DiFabio")</f>
        <v>Damon DiFabio</v>
      </c>
      <c r="I2" s="9">
        <f ca="1">IFERROR(__xludf.DUMMYFUNCTION("""COMPUTED_VALUE"""),45355)</f>
        <v>45355</v>
      </c>
      <c r="J2" s="9">
        <f ca="1">IFERROR(__xludf.DUMMYFUNCTION("""COMPUTED_VALUE"""),45355)</f>
        <v>45355</v>
      </c>
      <c r="K2" s="8" t="str">
        <f ca="1">IFERROR(__xludf.DUMMYFUNCTION("""COMPUTED_VALUE"""),"PM")</f>
        <v>PM</v>
      </c>
      <c r="L2" s="8" t="str">
        <f ca="1">IFERROR(__xludf.DUMMYFUNCTION("""COMPUTED_VALUE"""),"5th Grade")</f>
        <v>5th Grade</v>
      </c>
      <c r="M2" s="8" t="str">
        <f ca="1">IFERROR(__xludf.DUMMYFUNCTION("""COMPUTED_VALUE"""),"Math")</f>
        <v>Math</v>
      </c>
      <c r="N2" s="8">
        <f ca="1">IFERROR(__xludf.DUMMYFUNCTION("""COMPUTED_VALUE"""),4)</f>
        <v>4</v>
      </c>
      <c r="O2" s="8" t="str">
        <f ca="1">IFERROR(__xludf.DUMMYFUNCTION("""COMPUTED_VALUE"""),"Progressing")</f>
        <v>Progressing</v>
      </c>
      <c r="P2" s="8">
        <f ca="1">IFERROR(__xludf.DUMMYFUNCTION("""COMPUTED_VALUE"""),1)</f>
        <v>1</v>
      </c>
      <c r="Q2" s="8">
        <f ca="1">IFERROR(__xludf.DUMMYFUNCTION("""COMPUTED_VALUE"""),1)</f>
        <v>1</v>
      </c>
      <c r="R2" s="8">
        <f ca="1">IFERROR(__xludf.DUMMYFUNCTION("""COMPUTED_VALUE"""),1)</f>
        <v>1</v>
      </c>
      <c r="S2" s="8">
        <f ca="1">IFERROR(__xludf.DUMMYFUNCTION("""COMPUTED_VALUE"""),1)</f>
        <v>1</v>
      </c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1:31" ht="15.75" customHeight="1" x14ac:dyDescent="0.4">
      <c r="A3" s="8" t="s">
        <v>19</v>
      </c>
      <c r="B3" s="8">
        <f ca="1">COUNTIF($E$2:$E966,"AAL")</f>
        <v>46</v>
      </c>
      <c r="C3" s="10">
        <f ca="1">((COUNTIFS($E$2:$E966,"AAL",$O$2:$O966,"Proficient I"))+(COUNTIFS($E$2:$E966,"AAL",$O$2:$O966,"Proficient II"))+(COUNTIFS($E$2:$E966,"AAL",$O$2:$O966,"Exemplary")))/B3</f>
        <v>0.78260869565217395</v>
      </c>
      <c r="D3" s="8"/>
      <c r="E3" s="8" t="str">
        <f ca="1">IFERROR(__xludf.DUMMYFUNCTION("""COMPUTED_VALUE"""),"AAL")</f>
        <v>AAL</v>
      </c>
      <c r="F3" s="8" t="str">
        <f ca="1">IFERROR(__xludf.DUMMYFUNCTION("""COMPUTED_VALUE"""),"K-1")</f>
        <v>K-1</v>
      </c>
      <c r="G3" s="8" t="str">
        <f ca="1">IFERROR(__xludf.DUMMYFUNCTION("""COMPUTED_VALUE"""),"Shirley Sydow")</f>
        <v>Shirley Sydow</v>
      </c>
      <c r="H3" s="8" t="str">
        <f ca="1">IFERROR(__xludf.DUMMYFUNCTION("""COMPUTED_VALUE"""),"Damon DiFabio")</f>
        <v>Damon DiFabio</v>
      </c>
      <c r="I3" s="9">
        <f ca="1">IFERROR(__xludf.DUMMYFUNCTION("""COMPUTED_VALUE"""),45355)</f>
        <v>45355</v>
      </c>
      <c r="J3" s="9">
        <f ca="1">IFERROR(__xludf.DUMMYFUNCTION("""COMPUTED_VALUE"""),45356)</f>
        <v>45356</v>
      </c>
      <c r="K3" s="8" t="str">
        <f ca="1">IFERROR(__xludf.DUMMYFUNCTION("""COMPUTED_VALUE"""),"AM")</f>
        <v>AM</v>
      </c>
      <c r="L3" s="8" t="str">
        <f ca="1">IFERROR(__xludf.DUMMYFUNCTION("""COMPUTED_VALUE"""),"1st Grade")</f>
        <v>1st Grade</v>
      </c>
      <c r="M3" s="8" t="str">
        <f ca="1">IFERROR(__xludf.DUMMYFUNCTION("""COMPUTED_VALUE"""),"Math")</f>
        <v>Math</v>
      </c>
      <c r="N3" s="8">
        <f ca="1">IFERROR(__xludf.DUMMYFUNCTION("""COMPUTED_VALUE"""),4)</f>
        <v>4</v>
      </c>
      <c r="O3" s="8" t="str">
        <f ca="1">IFERROR(__xludf.DUMMYFUNCTION("""COMPUTED_VALUE"""),"Progressing")</f>
        <v>Progressing</v>
      </c>
      <c r="P3" s="8">
        <f ca="1">IFERROR(__xludf.DUMMYFUNCTION("""COMPUTED_VALUE"""),1)</f>
        <v>1</v>
      </c>
      <c r="Q3" s="8">
        <f ca="1">IFERROR(__xludf.DUMMYFUNCTION("""COMPUTED_VALUE"""),1)</f>
        <v>1</v>
      </c>
      <c r="R3" s="8">
        <f ca="1">IFERROR(__xludf.DUMMYFUNCTION("""COMPUTED_VALUE"""),1)</f>
        <v>1</v>
      </c>
      <c r="S3" s="8">
        <f ca="1">IFERROR(__xludf.DUMMYFUNCTION("""COMPUTED_VALUE"""),1)</f>
        <v>1</v>
      </c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</row>
    <row r="4" spans="1:31" ht="15.75" customHeight="1" x14ac:dyDescent="0.4">
      <c r="A4" s="8" t="s">
        <v>20</v>
      </c>
      <c r="B4" s="8">
        <f ca="1">COUNTIF($E$2:$E966,"COPERNI")</f>
        <v>17</v>
      </c>
      <c r="C4" s="10">
        <f ca="1">((COUNTIFS($E$2:$E966,"COPERNI",$O$2:$O966,"Proficient I"))+(COUNTIFS($E$2:$E966,"COPERNI",$O$2:$O966,"Proficient II"))+(COUNTIFS($E$2:$E966,"COPERNI",$O$2:$O966,"Exemplary")))/B4</f>
        <v>0.76470588235294112</v>
      </c>
      <c r="D4" s="8"/>
      <c r="E4" s="8" t="str">
        <f ca="1">IFERROR(__xludf.DUMMYFUNCTION("""COMPUTED_VALUE"""),"AAL")</f>
        <v>AAL</v>
      </c>
      <c r="F4" s="8" t="str">
        <f ca="1">IFERROR(__xludf.DUMMYFUNCTION("""COMPUTED_VALUE"""),"Core Subject With LSAE")</f>
        <v>Core Subject With LSAE</v>
      </c>
      <c r="G4" s="8" t="str">
        <f ca="1">IFERROR(__xludf.DUMMYFUNCTION("""COMPUTED_VALUE"""),"Andrew Meza")</f>
        <v>Andrew Meza</v>
      </c>
      <c r="H4" s="8" t="str">
        <f ca="1">IFERROR(__xludf.DUMMYFUNCTION("""COMPUTED_VALUE"""),"Damon DiFabio")</f>
        <v>Damon DiFabio</v>
      </c>
      <c r="I4" s="9">
        <f ca="1">IFERROR(__xludf.DUMMYFUNCTION("""COMPUTED_VALUE"""),45356)</f>
        <v>45356</v>
      </c>
      <c r="J4" s="9">
        <f ca="1">IFERROR(__xludf.DUMMYFUNCTION("""COMPUTED_VALUE"""),45357)</f>
        <v>45357</v>
      </c>
      <c r="K4" s="8" t="str">
        <f ca="1">IFERROR(__xludf.DUMMYFUNCTION("""COMPUTED_VALUE"""),"PM")</f>
        <v>PM</v>
      </c>
      <c r="L4" s="8" t="str">
        <f ca="1">IFERROR(__xludf.DUMMYFUNCTION("""COMPUTED_VALUE"""),"3rd Grade")</f>
        <v>3rd Grade</v>
      </c>
      <c r="M4" s="8" t="str">
        <f ca="1">IFERROR(__xludf.DUMMYFUNCTION("""COMPUTED_VALUE"""),"Math")</f>
        <v>Math</v>
      </c>
      <c r="N4" s="8">
        <f ca="1">IFERROR(__xludf.DUMMYFUNCTION("""COMPUTED_VALUE"""),5.5)</f>
        <v>5.5</v>
      </c>
      <c r="O4" s="8" t="str">
        <f ca="1">IFERROR(__xludf.DUMMYFUNCTION("""COMPUTED_VALUE"""),"Progressing")</f>
        <v>Progressing</v>
      </c>
      <c r="P4" s="8">
        <f ca="1">IFERROR(__xludf.DUMMYFUNCTION("""COMPUTED_VALUE"""),1)</f>
        <v>1</v>
      </c>
      <c r="Q4" s="8">
        <f ca="1">IFERROR(__xludf.DUMMYFUNCTION("""COMPUTED_VALUE"""),1.5)</f>
        <v>1.5</v>
      </c>
      <c r="R4" s="8">
        <f ca="1">IFERROR(__xludf.DUMMYFUNCTION("""COMPUTED_VALUE"""),2)</f>
        <v>2</v>
      </c>
      <c r="S4" s="8">
        <f ca="1">IFERROR(__xludf.DUMMYFUNCTION("""COMPUTED_VALUE"""),1)</f>
        <v>1</v>
      </c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</row>
    <row r="5" spans="1:31" ht="15.75" customHeight="1" x14ac:dyDescent="0.4">
      <c r="A5" s="8" t="s">
        <v>21</v>
      </c>
      <c r="B5" s="8">
        <f ca="1">COUNTIF($E$2:$E966,"SAM")</f>
        <v>30</v>
      </c>
      <c r="C5" s="10">
        <f ca="1">((COUNTIFS($E$2:$E966,"SAM",$O$2:$O966,"Proficient I"))+(COUNTIFS($E$2:$E966,"SAM",$O$2:$O966,"Proficient II"))+(COUNTIFS($E$2:$E966,"SAM",$O$2:$O966,"Exemplary")))/B5</f>
        <v>0.93333333333333335</v>
      </c>
      <c r="D5" s="8"/>
      <c r="E5" s="8" t="str">
        <f ca="1">IFERROR(__xludf.DUMMYFUNCTION("""COMPUTED_VALUE"""),"AAL")</f>
        <v>AAL</v>
      </c>
      <c r="F5" s="8" t="str">
        <f ca="1">IFERROR(__xludf.DUMMYFUNCTION("""COMPUTED_VALUE"""),"Learning Coach")</f>
        <v>Learning Coach</v>
      </c>
      <c r="G5" s="8" t="str">
        <f ca="1">IFERROR(__xludf.DUMMYFUNCTION("""COMPUTED_VALUE"""),"Linda Doss")</f>
        <v>Linda Doss</v>
      </c>
      <c r="H5" s="8" t="str">
        <f ca="1">IFERROR(__xludf.DUMMYFUNCTION("""COMPUTED_VALUE"""),"Damon DiFabio")</f>
        <v>Damon DiFabio</v>
      </c>
      <c r="I5" s="9">
        <f ca="1">IFERROR(__xludf.DUMMYFUNCTION("""COMPUTED_VALUE"""),45356)</f>
        <v>45356</v>
      </c>
      <c r="J5" s="9">
        <f ca="1">IFERROR(__xludf.DUMMYFUNCTION("""COMPUTED_VALUE"""),45356)</f>
        <v>45356</v>
      </c>
      <c r="K5" s="8" t="str">
        <f ca="1">IFERROR(__xludf.DUMMYFUNCTION("""COMPUTED_VALUE"""),"AM")</f>
        <v>AM</v>
      </c>
      <c r="L5" s="8"/>
      <c r="M5" s="8"/>
      <c r="N5" s="8">
        <f ca="1">IFERROR(__xludf.DUMMYFUNCTION("""COMPUTED_VALUE"""),8.5)</f>
        <v>8.5</v>
      </c>
      <c r="O5" s="8" t="str">
        <f ca="1">IFERROR(__xludf.DUMMYFUNCTION("""COMPUTED_VALUE"""),"Proficient II")</f>
        <v>Proficient II</v>
      </c>
      <c r="P5" s="8">
        <f ca="1">IFERROR(__xludf.DUMMYFUNCTION("""COMPUTED_VALUE"""),2)</f>
        <v>2</v>
      </c>
      <c r="Q5" s="8">
        <f ca="1">IFERROR(__xludf.DUMMYFUNCTION("""COMPUTED_VALUE"""),4)</f>
        <v>4</v>
      </c>
      <c r="R5" s="8">
        <f ca="1">IFERROR(__xludf.DUMMYFUNCTION("""COMPUTED_VALUE"""),2.5)</f>
        <v>2.5</v>
      </c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</row>
    <row r="6" spans="1:31" ht="15.75" customHeight="1" x14ac:dyDescent="0.4">
      <c r="A6" s="8" t="s">
        <v>22</v>
      </c>
      <c r="B6" s="8">
        <f ca="1">COUNTIF($E$2:$E966,"LAMAR")</f>
        <v>22</v>
      </c>
      <c r="C6" s="10">
        <f ca="1">((COUNTIFS($E$2:$E966,"LAMAR",$O$2:$O966,"Proficient I"))+(COUNTIFS($E$2:$E966,"LAMAR",$O$2:$O966,"Proficient II"))+(COUNTIFS($E$2:$E966,"LAMAR",$O$2:$O966,"Exemplary")))/B6</f>
        <v>0.72727272727272729</v>
      </c>
      <c r="D6" s="8"/>
      <c r="E6" s="8" t="str">
        <f ca="1">IFERROR(__xludf.DUMMYFUNCTION("""COMPUTED_VALUE"""),"AAL")</f>
        <v>AAL</v>
      </c>
      <c r="F6" s="8" t="str">
        <f ca="1">IFERROR(__xludf.DUMMYFUNCTION("""COMPUTED_VALUE"""),"Core Subject No LSAE")</f>
        <v>Core Subject No LSAE</v>
      </c>
      <c r="G6" s="8" t="str">
        <f ca="1">IFERROR(__xludf.DUMMYFUNCTION("""COMPUTED_VALUE"""),"Adelyn Craddock")</f>
        <v>Adelyn Craddock</v>
      </c>
      <c r="H6" s="8" t="str">
        <f ca="1">IFERROR(__xludf.DUMMYFUNCTION("""COMPUTED_VALUE"""),"Damon DiFabio")</f>
        <v>Damon DiFabio</v>
      </c>
      <c r="I6" s="9">
        <f ca="1">IFERROR(__xludf.DUMMYFUNCTION("""COMPUTED_VALUE"""),45357)</f>
        <v>45357</v>
      </c>
      <c r="J6" s="9">
        <f ca="1">IFERROR(__xludf.DUMMYFUNCTION("""COMPUTED_VALUE"""),45357)</f>
        <v>45357</v>
      </c>
      <c r="K6" s="8" t="str">
        <f ca="1">IFERROR(__xludf.DUMMYFUNCTION("""COMPUTED_VALUE"""),"AM")</f>
        <v>AM</v>
      </c>
      <c r="L6" s="8" t="str">
        <f ca="1">IFERROR(__xludf.DUMMYFUNCTION("""COMPUTED_VALUE"""),"2nd Grade")</f>
        <v>2nd Grade</v>
      </c>
      <c r="M6" s="8" t="str">
        <f ca="1">IFERROR(__xludf.DUMMYFUNCTION("""COMPUTED_VALUE"""),"ELA")</f>
        <v>ELA</v>
      </c>
      <c r="N6" s="8">
        <f ca="1">IFERROR(__xludf.DUMMYFUNCTION("""COMPUTED_VALUE"""),8)</f>
        <v>8</v>
      </c>
      <c r="O6" s="8" t="str">
        <f ca="1">IFERROR(__xludf.DUMMYFUNCTION("""COMPUTED_VALUE"""),"Proficient II")</f>
        <v>Proficient II</v>
      </c>
      <c r="P6" s="8">
        <f ca="1">IFERROR(__xludf.DUMMYFUNCTION("""COMPUTED_VALUE"""),2)</f>
        <v>2</v>
      </c>
      <c r="Q6" s="8">
        <f ca="1">IFERROR(__xludf.DUMMYFUNCTION("""COMPUTED_VALUE"""),3)</f>
        <v>3</v>
      </c>
      <c r="R6" s="8">
        <f ca="1">IFERROR(__xludf.DUMMYFUNCTION("""COMPUTED_VALUE"""),3)</f>
        <v>3</v>
      </c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</row>
    <row r="7" spans="1:31" ht="15.75" customHeight="1" x14ac:dyDescent="0.4">
      <c r="A7" s="8" t="s">
        <v>23</v>
      </c>
      <c r="B7" s="8">
        <f ca="1">COUNTIF($E$2:$E966,"ECTOR")</f>
        <v>63</v>
      </c>
      <c r="C7" s="10">
        <f ca="1">((COUNTIFS($E$2:$E966,"ECTOR",$O$2:$O966,"Proficient I"))+(COUNTIFS($E$2:$E966,"ECTOR",$O$2:$O966,"Proficient II"))+(COUNTIFS($E$2:$E966,"ECTOR",$O$2:$O966,"Exemplary")))/B7</f>
        <v>0.96825396825396826</v>
      </c>
      <c r="D7" s="8"/>
      <c r="E7" s="8" t="str">
        <f ca="1">IFERROR(__xludf.DUMMYFUNCTION("""COMPUTED_VALUE"""),"AAL")</f>
        <v>AAL</v>
      </c>
      <c r="F7" s="8" t="str">
        <f ca="1">IFERROR(__xludf.DUMMYFUNCTION("""COMPUTED_VALUE"""),"Learning Coach")</f>
        <v>Learning Coach</v>
      </c>
      <c r="G7" s="8" t="str">
        <f ca="1">IFERROR(__xludf.DUMMYFUNCTION("""COMPUTED_VALUE"""),"Stephanie Protsman")</f>
        <v>Stephanie Protsman</v>
      </c>
      <c r="H7" s="8" t="str">
        <f ca="1">IFERROR(__xludf.DUMMYFUNCTION("""COMPUTED_VALUE"""),"Damon DiFabio")</f>
        <v>Damon DiFabio</v>
      </c>
      <c r="I7" s="9">
        <f ca="1">IFERROR(__xludf.DUMMYFUNCTION("""COMPUTED_VALUE"""),45357)</f>
        <v>45357</v>
      </c>
      <c r="J7" s="9">
        <f ca="1">IFERROR(__xludf.DUMMYFUNCTION("""COMPUTED_VALUE"""),45357)</f>
        <v>45357</v>
      </c>
      <c r="K7" s="8" t="str">
        <f ca="1">IFERROR(__xludf.DUMMYFUNCTION("""COMPUTED_VALUE"""),"PM")</f>
        <v>PM</v>
      </c>
      <c r="L7" s="8"/>
      <c r="M7" s="8"/>
      <c r="N7" s="8">
        <f ca="1">IFERROR(__xludf.DUMMYFUNCTION("""COMPUTED_VALUE"""),7)</f>
        <v>7</v>
      </c>
      <c r="O7" s="8" t="str">
        <f ca="1">IFERROR(__xludf.DUMMYFUNCTION("""COMPUTED_VALUE"""),"Proficient I")</f>
        <v>Proficient I</v>
      </c>
      <c r="P7" s="8">
        <f ca="1">IFERROR(__xludf.DUMMYFUNCTION("""COMPUTED_VALUE"""),2)</f>
        <v>2</v>
      </c>
      <c r="Q7" s="8">
        <f ca="1">IFERROR(__xludf.DUMMYFUNCTION("""COMPUTED_VALUE"""),3.5)</f>
        <v>3.5</v>
      </c>
      <c r="R7" s="8">
        <f ca="1">IFERROR(__xludf.DUMMYFUNCTION("""COMPUTED_VALUE"""),1.5)</f>
        <v>1.5</v>
      </c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</row>
    <row r="8" spans="1:31" ht="15.75" customHeight="1" x14ac:dyDescent="0.4">
      <c r="A8" s="8" t="s">
        <v>24</v>
      </c>
      <c r="B8" s="8">
        <f ca="1">COUNTIF($E$2:$E966,"FEHL-PRICE")</f>
        <v>45</v>
      </c>
      <c r="C8" s="10">
        <f ca="1">((COUNTIFS($E$2:$E966,"FEHL-PRICE",$O$2:$O966,"Proficient I"))+(COUNTIFS($E$2:$E966,"FEHL-PRICE",$O$2:$O966,"Proficient II"))+(COUNTIFS($E$2:$E966,"FEHL-PRICE",$O$2:$O966,"Exemplary")))/B8</f>
        <v>0.62222222222222223</v>
      </c>
      <c r="D8" s="8"/>
      <c r="E8" s="8" t="str">
        <f ca="1">IFERROR(__xludf.DUMMYFUNCTION("""COMPUTED_VALUE"""),"AAL")</f>
        <v>AAL</v>
      </c>
      <c r="F8" s="8" t="str">
        <f ca="1">IFERROR(__xludf.DUMMYFUNCTION("""COMPUTED_VALUE"""),"Core Subject With LSAE")</f>
        <v>Core Subject With LSAE</v>
      </c>
      <c r="G8" s="8" t="str">
        <f ca="1">IFERROR(__xludf.DUMMYFUNCTION("""COMPUTED_VALUE"""),"Jordan Delbaugh")</f>
        <v>Jordan Delbaugh</v>
      </c>
      <c r="H8" s="8" t="str">
        <f ca="1">IFERROR(__xludf.DUMMYFUNCTION("""COMPUTED_VALUE"""),"Damon DiFabio")</f>
        <v>Damon DiFabio</v>
      </c>
      <c r="I8" s="9">
        <f ca="1">IFERROR(__xludf.DUMMYFUNCTION("""COMPUTED_VALUE"""),45358)</f>
        <v>45358</v>
      </c>
      <c r="J8" s="9">
        <f ca="1">IFERROR(__xludf.DUMMYFUNCTION("""COMPUTED_VALUE"""),45358)</f>
        <v>45358</v>
      </c>
      <c r="K8" s="8" t="str">
        <f ca="1">IFERROR(__xludf.DUMMYFUNCTION("""COMPUTED_VALUE"""),"PM")</f>
        <v>PM</v>
      </c>
      <c r="L8" s="8" t="str">
        <f ca="1">IFERROR(__xludf.DUMMYFUNCTION("""COMPUTED_VALUE"""),"4th Grade")</f>
        <v>4th Grade</v>
      </c>
      <c r="M8" s="8" t="str">
        <f ca="1">IFERROR(__xludf.DUMMYFUNCTION("""COMPUTED_VALUE"""),"ELA")</f>
        <v>ELA</v>
      </c>
      <c r="N8" s="8">
        <f ca="1">IFERROR(__xludf.DUMMYFUNCTION("""COMPUTED_VALUE"""),5)</f>
        <v>5</v>
      </c>
      <c r="O8" s="8" t="str">
        <f ca="1">IFERROR(__xludf.DUMMYFUNCTION("""COMPUTED_VALUE"""),"Progressing")</f>
        <v>Progressing</v>
      </c>
      <c r="P8" s="8">
        <f ca="1">IFERROR(__xludf.DUMMYFUNCTION("""COMPUTED_VALUE"""),1)</f>
        <v>1</v>
      </c>
      <c r="Q8" s="8">
        <f ca="1">IFERROR(__xludf.DUMMYFUNCTION("""COMPUTED_VALUE"""),1.5)</f>
        <v>1.5</v>
      </c>
      <c r="R8" s="8">
        <f ca="1">IFERROR(__xludf.DUMMYFUNCTION("""COMPUTED_VALUE"""),1.5)</f>
        <v>1.5</v>
      </c>
      <c r="S8" s="8">
        <f ca="1">IFERROR(__xludf.DUMMYFUNCTION("""COMPUTED_VALUE"""),1)</f>
        <v>1</v>
      </c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</row>
    <row r="9" spans="1:31" ht="15.75" customHeight="1" x14ac:dyDescent="0.4">
      <c r="A9" s="8" t="s">
        <v>25</v>
      </c>
      <c r="B9" s="8">
        <f ca="1">COUNTIF($E$2:$E966,"JONES-CLARK")</f>
        <v>30</v>
      </c>
      <c r="C9" s="10">
        <f ca="1">((COUNTIFS($E$2:$E966,"JONES-CLARK",$O$2:$O966,"Proficient I"))+(COUNTIFS($E$2:$E966,"JONES-CLARK",$O$2:$O966,"Proficient II"))+(COUNTIFS($E$2:$E966,"JONES-CLARK",$O$2:$O966,"Exemplary")))/B9</f>
        <v>0.5</v>
      </c>
      <c r="D9" s="8"/>
      <c r="E9" s="8" t="str">
        <f ca="1">IFERROR(__xludf.DUMMYFUNCTION("""COMPUTED_VALUE"""),"AAL")</f>
        <v>AAL</v>
      </c>
      <c r="F9" s="8" t="str">
        <f ca="1">IFERROR(__xludf.DUMMYFUNCTION("""COMPUTED_VALUE"""),"ELL/SPED")</f>
        <v>ELL/SPED</v>
      </c>
      <c r="G9" s="8" t="str">
        <f ca="1">IFERROR(__xludf.DUMMYFUNCTION("""COMPUTED_VALUE"""),"Paola Correa Nava")</f>
        <v>Paola Correa Nava</v>
      </c>
      <c r="H9" s="8" t="str">
        <f ca="1">IFERROR(__xludf.DUMMYFUNCTION("""COMPUTED_VALUE"""),"Damon DiFabio")</f>
        <v>Damon DiFabio</v>
      </c>
      <c r="I9" s="9">
        <f ca="1">IFERROR(__xludf.DUMMYFUNCTION("""COMPUTED_VALUE"""),45358)</f>
        <v>45358</v>
      </c>
      <c r="J9" s="9"/>
      <c r="K9" s="8" t="str">
        <f ca="1">IFERROR(__xludf.DUMMYFUNCTION("""COMPUTED_VALUE"""),"AM")</f>
        <v>AM</v>
      </c>
      <c r="L9" s="8" t="str">
        <f ca="1">IFERROR(__xludf.DUMMYFUNCTION("""COMPUTED_VALUE"""),"3rd Grade")</f>
        <v>3rd Grade</v>
      </c>
      <c r="M9" s="8"/>
      <c r="N9" s="8">
        <f ca="1">IFERROR(__xludf.DUMMYFUNCTION("""COMPUTED_VALUE"""),5)</f>
        <v>5</v>
      </c>
      <c r="O9" s="8" t="str">
        <f ca="1">IFERROR(__xludf.DUMMYFUNCTION("""COMPUTED_VALUE"""),"Proficient I")</f>
        <v>Proficient I</v>
      </c>
      <c r="P9" s="8">
        <f ca="1">IFERROR(__xludf.DUMMYFUNCTION("""COMPUTED_VALUE"""),2)</f>
        <v>2</v>
      </c>
      <c r="Q9" s="8">
        <f ca="1">IFERROR(__xludf.DUMMYFUNCTION("""COMPUTED_VALUE"""),2)</f>
        <v>2</v>
      </c>
      <c r="R9" s="8">
        <f ca="1">IFERROR(__xludf.DUMMYFUNCTION("""COMPUTED_VALUE"""),1)</f>
        <v>1</v>
      </c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</row>
    <row r="10" spans="1:31" ht="15.75" customHeight="1" x14ac:dyDescent="0.4">
      <c r="A10" s="8" t="s">
        <v>26</v>
      </c>
      <c r="B10" s="8">
        <f ca="1">COUNTIF($E$2:$E966,"SMITH")</f>
        <v>40</v>
      </c>
      <c r="C10" s="10">
        <f ca="1">((COUNTIFS($E$2:$E966,"SMITH",$O$2:$O966,"Proficient I"))+(COUNTIFS($E$2:$E966,"SMITH",$O$2:$O966,"Proficient II"))+(COUNTIFS($E$2:$E966,"SMITH",$O$2:$O966,"Exemplary")))/B10</f>
        <v>0.77500000000000002</v>
      </c>
      <c r="D10" s="8"/>
      <c r="E10" s="8" t="str">
        <f ca="1">IFERROR(__xludf.DUMMYFUNCTION("""COMPUTED_VALUE"""),"AAL")</f>
        <v>AAL</v>
      </c>
      <c r="F10" s="8" t="str">
        <f ca="1">IFERROR(__xludf.DUMMYFUNCTION("""COMPUTED_VALUE"""),"Core Subject No LSAE")</f>
        <v>Core Subject No LSAE</v>
      </c>
      <c r="G10" s="8" t="str">
        <f ca="1">IFERROR(__xludf.DUMMYFUNCTION("""COMPUTED_VALUE"""),"Kara Butzke")</f>
        <v>Kara Butzke</v>
      </c>
      <c r="H10" s="8" t="str">
        <f ca="1">IFERROR(__xludf.DUMMYFUNCTION("""COMPUTED_VALUE"""),"Noah Belcik")</f>
        <v>Noah Belcik</v>
      </c>
      <c r="I10" s="9">
        <f ca="1">IFERROR(__xludf.DUMMYFUNCTION("""COMPUTED_VALUE"""),45355)</f>
        <v>45355</v>
      </c>
      <c r="J10" s="9"/>
      <c r="K10" s="8" t="str">
        <f ca="1">IFERROR(__xludf.DUMMYFUNCTION("""COMPUTED_VALUE"""),"PM")</f>
        <v>PM</v>
      </c>
      <c r="L10" s="8" t="str">
        <f ca="1">IFERROR(__xludf.DUMMYFUNCTION("""COMPUTED_VALUE"""),"3rd Grade")</f>
        <v>3rd Grade</v>
      </c>
      <c r="M10" s="8" t="str">
        <f ca="1">IFERROR(__xludf.DUMMYFUNCTION("""COMPUTED_VALUE"""),"ELA")</f>
        <v>ELA</v>
      </c>
      <c r="N10" s="8">
        <f ca="1">IFERROR(__xludf.DUMMYFUNCTION("""COMPUTED_VALUE"""),8)</f>
        <v>8</v>
      </c>
      <c r="O10" s="8" t="str">
        <f ca="1">IFERROR(__xludf.DUMMYFUNCTION("""COMPUTED_VALUE"""),"Proficient II")</f>
        <v>Proficient II</v>
      </c>
      <c r="P10" s="8">
        <f ca="1">IFERROR(__xludf.DUMMYFUNCTION("""COMPUTED_VALUE"""),2)</f>
        <v>2</v>
      </c>
      <c r="Q10" s="8">
        <f ca="1">IFERROR(__xludf.DUMMYFUNCTION("""COMPUTED_VALUE"""),3)</f>
        <v>3</v>
      </c>
      <c r="R10" s="8">
        <f ca="1">IFERROR(__xludf.DUMMYFUNCTION("""COMPUTED_VALUE"""),3)</f>
        <v>3</v>
      </c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</row>
    <row r="11" spans="1:31" ht="15.75" customHeight="1" x14ac:dyDescent="0.4">
      <c r="A11" s="8" t="s">
        <v>27</v>
      </c>
      <c r="B11" s="8">
        <f ca="1">COUNTIF($E$2:$E966,"MENDEZ")</f>
        <v>7</v>
      </c>
      <c r="C11" s="10">
        <f ca="1">((COUNTIFS($E$2:$E966,"MENDEZ",$O$2:$O966,"Proficient I"))+(COUNTIFS($E$2:$E966,"MENDEZ",$O$2:$O966,"Proficient II"))+(COUNTIFS($E$2:$E966,"MENDEZ",$O$2:$O966,"Exemplary")))/B11</f>
        <v>0.7142857142857143</v>
      </c>
      <c r="D11" s="8"/>
      <c r="E11" s="8" t="str">
        <f ca="1">IFERROR(__xludf.DUMMYFUNCTION("""COMPUTED_VALUE"""),"AAL")</f>
        <v>AAL</v>
      </c>
      <c r="F11" s="8" t="str">
        <f ca="1">IFERROR(__xludf.DUMMYFUNCTION("""COMPUTED_VALUE"""),"Core Subject No LSAE")</f>
        <v>Core Subject No LSAE</v>
      </c>
      <c r="G11" s="8" t="str">
        <f ca="1">IFERROR(__xludf.DUMMYFUNCTION("""COMPUTED_VALUE"""),"Joshua Smith")</f>
        <v>Joshua Smith</v>
      </c>
      <c r="H11" s="8" t="str">
        <f ca="1">IFERROR(__xludf.DUMMYFUNCTION("""COMPUTED_VALUE"""),"Noah Belcik")</f>
        <v>Noah Belcik</v>
      </c>
      <c r="I11" s="9">
        <f ca="1">IFERROR(__xludf.DUMMYFUNCTION("""COMPUTED_VALUE"""),45355)</f>
        <v>45355</v>
      </c>
      <c r="J11" s="9">
        <f ca="1">IFERROR(__xludf.DUMMYFUNCTION("""COMPUTED_VALUE"""),45356)</f>
        <v>45356</v>
      </c>
      <c r="K11" s="8" t="str">
        <f ca="1">IFERROR(__xludf.DUMMYFUNCTION("""COMPUTED_VALUE"""),"AM")</f>
        <v>AM</v>
      </c>
      <c r="L11" s="8" t="str">
        <f ca="1">IFERROR(__xludf.DUMMYFUNCTION("""COMPUTED_VALUE"""),"8th Grade")</f>
        <v>8th Grade</v>
      </c>
      <c r="M11" s="8" t="str">
        <f ca="1">IFERROR(__xludf.DUMMYFUNCTION("""COMPUTED_VALUE"""),"Science")</f>
        <v>Science</v>
      </c>
      <c r="N11" s="8">
        <f ca="1">IFERROR(__xludf.DUMMYFUNCTION("""COMPUTED_VALUE"""),5.5)</f>
        <v>5.5</v>
      </c>
      <c r="O11" s="8" t="str">
        <f ca="1">IFERROR(__xludf.DUMMYFUNCTION("""COMPUTED_VALUE"""),"Progressing")</f>
        <v>Progressing</v>
      </c>
      <c r="P11" s="8">
        <f ca="1">IFERROR(__xludf.DUMMYFUNCTION("""COMPUTED_VALUE"""),1.5)</f>
        <v>1.5</v>
      </c>
      <c r="Q11" s="8">
        <f ca="1">IFERROR(__xludf.DUMMYFUNCTION("""COMPUTED_VALUE"""),2.5)</f>
        <v>2.5</v>
      </c>
      <c r="R11" s="8">
        <f ca="1">IFERROR(__xludf.DUMMYFUNCTION("""COMPUTED_VALUE"""),1.5)</f>
        <v>1.5</v>
      </c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</row>
    <row r="12" spans="1:31" ht="15.75" customHeight="1" x14ac:dyDescent="0.4">
      <c r="A12" s="8" t="s">
        <v>28</v>
      </c>
      <c r="B12" s="8">
        <f ca="1">COUNTIF($E$2:$E966,"PRESCOTT")</f>
        <v>26</v>
      </c>
      <c r="C12" s="10">
        <f ca="1">((COUNTIFS($E$2:$E966,"PRESCOTT",$O$2:$O966,"Proficient I"))+(COUNTIFS($E$2:$E966,"PRESCOTT",$O$2:$O966,"Proficient II"))+(COUNTIFS($E$2:$E966,"PRESCOTT",$O$2:$O966,"Exemplary")))/B12</f>
        <v>0.92307692307692313</v>
      </c>
      <c r="D12" s="8"/>
      <c r="E12" s="8" t="str">
        <f ca="1">IFERROR(__xludf.DUMMYFUNCTION("""COMPUTED_VALUE"""),"AAL")</f>
        <v>AAL</v>
      </c>
      <c r="F12" s="8" t="str">
        <f ca="1">IFERROR(__xludf.DUMMYFUNCTION("""COMPUTED_VALUE"""),"Core Subject With LSAE")</f>
        <v>Core Subject With LSAE</v>
      </c>
      <c r="G12" s="8" t="str">
        <f ca="1">IFERROR(__xludf.DUMMYFUNCTION("""COMPUTED_VALUE"""),"Andrew Yeni")</f>
        <v>Andrew Yeni</v>
      </c>
      <c r="H12" s="8" t="str">
        <f ca="1">IFERROR(__xludf.DUMMYFUNCTION("""COMPUTED_VALUE"""),"Noah Belcik")</f>
        <v>Noah Belcik</v>
      </c>
      <c r="I12" s="9">
        <f ca="1">IFERROR(__xludf.DUMMYFUNCTION("""COMPUTED_VALUE"""),45355)</f>
        <v>45355</v>
      </c>
      <c r="J12" s="9">
        <f ca="1">IFERROR(__xludf.DUMMYFUNCTION("""COMPUTED_VALUE"""),45355)</f>
        <v>45355</v>
      </c>
      <c r="K12" s="8" t="str">
        <f ca="1">IFERROR(__xludf.DUMMYFUNCTION("""COMPUTED_VALUE"""),"AM")</f>
        <v>AM</v>
      </c>
      <c r="L12" s="8" t="str">
        <f ca="1">IFERROR(__xludf.DUMMYFUNCTION("""COMPUTED_VALUE"""),"8th Grade")</f>
        <v>8th Grade</v>
      </c>
      <c r="M12" s="8" t="str">
        <f ca="1">IFERROR(__xludf.DUMMYFUNCTION("""COMPUTED_VALUE"""),"Math")</f>
        <v>Math</v>
      </c>
      <c r="N12" s="8">
        <f ca="1">IFERROR(__xludf.DUMMYFUNCTION("""COMPUTED_VALUE"""),8.5)</f>
        <v>8.5</v>
      </c>
      <c r="O12" s="8" t="str">
        <f ca="1">IFERROR(__xludf.DUMMYFUNCTION("""COMPUTED_VALUE"""),"Proficient II")</f>
        <v>Proficient II</v>
      </c>
      <c r="P12" s="8">
        <f ca="1">IFERROR(__xludf.DUMMYFUNCTION("""COMPUTED_VALUE"""),1)</f>
        <v>1</v>
      </c>
      <c r="Q12" s="8">
        <f ca="1">IFERROR(__xludf.DUMMYFUNCTION("""COMPUTED_VALUE"""),2.5)</f>
        <v>2.5</v>
      </c>
      <c r="R12" s="8">
        <f ca="1">IFERROR(__xludf.DUMMYFUNCTION("""COMPUTED_VALUE"""),3)</f>
        <v>3</v>
      </c>
      <c r="S12" s="8">
        <f ca="1">IFERROR(__xludf.DUMMYFUNCTION("""COMPUTED_VALUE"""),2)</f>
        <v>2</v>
      </c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</row>
    <row r="13" spans="1:31" ht="15.75" customHeight="1" x14ac:dyDescent="0.4">
      <c r="A13" s="6" t="s">
        <v>29</v>
      </c>
      <c r="B13" s="6">
        <f ca="1">SUM(B3:B12)</f>
        <v>326</v>
      </c>
      <c r="C13" s="8"/>
      <c r="D13" s="8"/>
      <c r="E13" s="8" t="str">
        <f ca="1">IFERROR(__xludf.DUMMYFUNCTION("""COMPUTED_VALUE"""),"AAL")</f>
        <v>AAL</v>
      </c>
      <c r="F13" s="8" t="str">
        <f ca="1">IFERROR(__xludf.DUMMYFUNCTION("""COMPUTED_VALUE"""),"Core Subject With LSAE")</f>
        <v>Core Subject With LSAE</v>
      </c>
      <c r="G13" s="8" t="str">
        <f ca="1">IFERROR(__xludf.DUMMYFUNCTION("""COMPUTED_VALUE"""),"Eric Mott")</f>
        <v>Eric Mott</v>
      </c>
      <c r="H13" s="8" t="str">
        <f ca="1">IFERROR(__xludf.DUMMYFUNCTION("""COMPUTED_VALUE"""),"Noah Belcik")</f>
        <v>Noah Belcik</v>
      </c>
      <c r="I13" s="9">
        <f ca="1">IFERROR(__xludf.DUMMYFUNCTION("""COMPUTED_VALUE"""),45356)</f>
        <v>45356</v>
      </c>
      <c r="J13" s="9">
        <f ca="1">IFERROR(__xludf.DUMMYFUNCTION("""COMPUTED_VALUE"""),45357)</f>
        <v>45357</v>
      </c>
      <c r="K13" s="8" t="str">
        <f ca="1">IFERROR(__xludf.DUMMYFUNCTION("""COMPUTED_VALUE"""),"PM")</f>
        <v>PM</v>
      </c>
      <c r="L13" s="8" t="str">
        <f ca="1">IFERROR(__xludf.DUMMYFUNCTION("""COMPUTED_VALUE"""),"7th Grade")</f>
        <v>7th Grade</v>
      </c>
      <c r="M13" s="8" t="str">
        <f ca="1">IFERROR(__xludf.DUMMYFUNCTION("""COMPUTED_VALUE"""),"Math")</f>
        <v>Math</v>
      </c>
      <c r="N13" s="8">
        <f ca="1">IFERROR(__xludf.DUMMYFUNCTION("""COMPUTED_VALUE"""),7)</f>
        <v>7</v>
      </c>
      <c r="O13" s="8" t="str">
        <f ca="1">IFERROR(__xludf.DUMMYFUNCTION("""COMPUTED_VALUE"""),"Proficient I")</f>
        <v>Proficient I</v>
      </c>
      <c r="P13" s="8">
        <f ca="1">IFERROR(__xludf.DUMMYFUNCTION("""COMPUTED_VALUE"""),1)</f>
        <v>1</v>
      </c>
      <c r="Q13" s="8">
        <f ca="1">IFERROR(__xludf.DUMMYFUNCTION("""COMPUTED_VALUE"""),2)</f>
        <v>2</v>
      </c>
      <c r="R13" s="8">
        <f ca="1">IFERROR(__xludf.DUMMYFUNCTION("""COMPUTED_VALUE"""),2.5)</f>
        <v>2.5</v>
      </c>
      <c r="S13" s="8">
        <f ca="1">IFERROR(__xludf.DUMMYFUNCTION("""COMPUTED_VALUE"""),1.5)</f>
        <v>1.5</v>
      </c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</row>
    <row r="14" spans="1:31" ht="15.75" customHeight="1" x14ac:dyDescent="0.4">
      <c r="A14" s="8"/>
      <c r="B14" s="8"/>
      <c r="C14" s="8"/>
      <c r="D14" s="8"/>
      <c r="E14" s="8" t="str">
        <f ca="1">IFERROR(__xludf.DUMMYFUNCTION("""COMPUTED_VALUE"""),"AAL")</f>
        <v>AAL</v>
      </c>
      <c r="F14" s="8" t="str">
        <f ca="1">IFERROR(__xludf.DUMMYFUNCTION("""COMPUTED_VALUE"""),"Core Subject With LSAE")</f>
        <v>Core Subject With LSAE</v>
      </c>
      <c r="G14" s="8" t="str">
        <f ca="1">IFERROR(__xludf.DUMMYFUNCTION("""COMPUTED_VALUE"""),"Madison Goyeau")</f>
        <v>Madison Goyeau</v>
      </c>
      <c r="H14" s="8" t="str">
        <f ca="1">IFERROR(__xludf.DUMMYFUNCTION("""COMPUTED_VALUE"""),"Noah Belcik")</f>
        <v>Noah Belcik</v>
      </c>
      <c r="I14" s="9">
        <f ca="1">IFERROR(__xludf.DUMMYFUNCTION("""COMPUTED_VALUE"""),45356)</f>
        <v>45356</v>
      </c>
      <c r="J14" s="9">
        <f ca="1">IFERROR(__xludf.DUMMYFUNCTION("""COMPUTED_VALUE"""),45356)</f>
        <v>45356</v>
      </c>
      <c r="K14" s="8" t="str">
        <f ca="1">IFERROR(__xludf.DUMMYFUNCTION("""COMPUTED_VALUE"""),"AM")</f>
        <v>AM</v>
      </c>
      <c r="L14" s="8" t="str">
        <f ca="1">IFERROR(__xludf.DUMMYFUNCTION("""COMPUTED_VALUE"""),"6th Grade")</f>
        <v>6th Grade</v>
      </c>
      <c r="M14" s="8" t="str">
        <f ca="1">IFERROR(__xludf.DUMMYFUNCTION("""COMPUTED_VALUE"""),"Math")</f>
        <v>Math</v>
      </c>
      <c r="N14" s="8">
        <f ca="1">IFERROR(__xludf.DUMMYFUNCTION("""COMPUTED_VALUE"""),9)</f>
        <v>9</v>
      </c>
      <c r="O14" s="8" t="str">
        <f ca="1">IFERROR(__xludf.DUMMYFUNCTION("""COMPUTED_VALUE"""),"Proficient II")</f>
        <v>Proficient II</v>
      </c>
      <c r="P14" s="8">
        <f ca="1">IFERROR(__xludf.DUMMYFUNCTION("""COMPUTED_VALUE"""),1)</f>
        <v>1</v>
      </c>
      <c r="Q14" s="8">
        <f ca="1">IFERROR(__xludf.DUMMYFUNCTION("""COMPUTED_VALUE"""),2.5)</f>
        <v>2.5</v>
      </c>
      <c r="R14" s="8">
        <f ca="1">IFERROR(__xludf.DUMMYFUNCTION("""COMPUTED_VALUE"""),3.5)</f>
        <v>3.5</v>
      </c>
      <c r="S14" s="8">
        <f ca="1">IFERROR(__xludf.DUMMYFUNCTION("""COMPUTED_VALUE"""),2)</f>
        <v>2</v>
      </c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</row>
    <row r="15" spans="1:31" ht="15.75" customHeight="1" x14ac:dyDescent="0.4">
      <c r="A15" s="7" t="s">
        <v>0</v>
      </c>
      <c r="B15" s="7" t="s">
        <v>3</v>
      </c>
      <c r="C15" s="7" t="s">
        <v>1</v>
      </c>
      <c r="D15" s="8"/>
      <c r="E15" s="8" t="str">
        <f ca="1">IFERROR(__xludf.DUMMYFUNCTION("""COMPUTED_VALUE"""),"AAL")</f>
        <v>AAL</v>
      </c>
      <c r="F15" s="8" t="str">
        <f ca="1">IFERROR(__xludf.DUMMYFUNCTION("""COMPUTED_VALUE"""),"Core Subject With LSAE")</f>
        <v>Core Subject With LSAE</v>
      </c>
      <c r="G15" s="8" t="str">
        <f ca="1">IFERROR(__xludf.DUMMYFUNCTION("""COMPUTED_VALUE"""),"Wyatt Walther")</f>
        <v>Wyatt Walther</v>
      </c>
      <c r="H15" s="8" t="str">
        <f ca="1">IFERROR(__xludf.DUMMYFUNCTION("""COMPUTED_VALUE"""),"Noah Belcik")</f>
        <v>Noah Belcik</v>
      </c>
      <c r="I15" s="9">
        <f ca="1">IFERROR(__xludf.DUMMYFUNCTION("""COMPUTED_VALUE"""),45357)</f>
        <v>45357</v>
      </c>
      <c r="J15" s="9">
        <f ca="1">IFERROR(__xludf.DUMMYFUNCTION("""COMPUTED_VALUE"""),45357)</f>
        <v>45357</v>
      </c>
      <c r="K15" s="8" t="str">
        <f ca="1">IFERROR(__xludf.DUMMYFUNCTION("""COMPUTED_VALUE"""),"PM")</f>
        <v>PM</v>
      </c>
      <c r="L15" s="8" t="str">
        <f ca="1">IFERROR(__xludf.DUMMYFUNCTION("""COMPUTED_VALUE"""),"7th Grade")</f>
        <v>7th Grade</v>
      </c>
      <c r="M15" s="8" t="str">
        <f ca="1">IFERROR(__xludf.DUMMYFUNCTION("""COMPUTED_VALUE"""),"Art of Thinking")</f>
        <v>Art of Thinking</v>
      </c>
      <c r="N15" s="8">
        <f ca="1">IFERROR(__xludf.DUMMYFUNCTION("""COMPUTED_VALUE"""),6)</f>
        <v>6</v>
      </c>
      <c r="O15" s="8" t="str">
        <f ca="1">IFERROR(__xludf.DUMMYFUNCTION("""COMPUTED_VALUE"""),"Proficient I")</f>
        <v>Proficient I</v>
      </c>
      <c r="P15" s="8">
        <f ca="1">IFERROR(__xludf.DUMMYFUNCTION("""COMPUTED_VALUE"""),1)</f>
        <v>1</v>
      </c>
      <c r="Q15" s="8">
        <f ca="1">IFERROR(__xludf.DUMMYFUNCTION("""COMPUTED_VALUE"""),1.5)</f>
        <v>1.5</v>
      </c>
      <c r="R15" s="8">
        <f ca="1">IFERROR(__xludf.DUMMYFUNCTION("""COMPUTED_VALUE"""),2)</f>
        <v>2</v>
      </c>
      <c r="S15" s="8">
        <f ca="1">IFERROR(__xludf.DUMMYFUNCTION("""COMPUTED_VALUE"""),1.5)</f>
        <v>1.5</v>
      </c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</row>
    <row r="16" spans="1:31" ht="15.75" customHeight="1" x14ac:dyDescent="0.4">
      <c r="A16" s="8" t="s">
        <v>19</v>
      </c>
      <c r="B16" s="8" t="s">
        <v>30</v>
      </c>
      <c r="C16" s="8">
        <f ca="1">(COUNTIFS($E$2:$E966,"AAL",$H$2:$H966,"Damon DiFabio"))</f>
        <v>8</v>
      </c>
      <c r="D16" s="8"/>
      <c r="E16" s="8" t="str">
        <f ca="1">IFERROR(__xludf.DUMMYFUNCTION("""COMPUTED_VALUE"""),"AAL")</f>
        <v>AAL</v>
      </c>
      <c r="F16" s="8" t="str">
        <f ca="1">IFERROR(__xludf.DUMMYFUNCTION("""COMPUTED_VALUE"""),"Core Subject With LSAE")</f>
        <v>Core Subject With LSAE</v>
      </c>
      <c r="G16" s="8" t="str">
        <f ca="1">IFERROR(__xludf.DUMMYFUNCTION("""COMPUTED_VALUE"""),"Damian Walz")</f>
        <v>Damian Walz</v>
      </c>
      <c r="H16" s="8" t="str">
        <f ca="1">IFERROR(__xludf.DUMMYFUNCTION("""COMPUTED_VALUE"""),"Noah Belcik")</f>
        <v>Noah Belcik</v>
      </c>
      <c r="I16" s="9">
        <f ca="1">IFERROR(__xludf.DUMMYFUNCTION("""COMPUTED_VALUE"""),45357)</f>
        <v>45357</v>
      </c>
      <c r="J16" s="9"/>
      <c r="K16" s="8" t="str">
        <f ca="1">IFERROR(__xludf.DUMMYFUNCTION("""COMPUTED_VALUE"""),"AM")</f>
        <v>AM</v>
      </c>
      <c r="L16" s="8" t="str">
        <f ca="1">IFERROR(__xludf.DUMMYFUNCTION("""COMPUTED_VALUE"""),"8th Grade")</f>
        <v>8th Grade</v>
      </c>
      <c r="M16" s="8" t="str">
        <f ca="1">IFERROR(__xludf.DUMMYFUNCTION("""COMPUTED_VALUE"""),"Social Studies")</f>
        <v>Social Studies</v>
      </c>
      <c r="N16" s="8">
        <f ca="1">IFERROR(__xludf.DUMMYFUNCTION("""COMPUTED_VALUE"""),6)</f>
        <v>6</v>
      </c>
      <c r="O16" s="8" t="str">
        <f ca="1">IFERROR(__xludf.DUMMYFUNCTION("""COMPUTED_VALUE"""),"Proficient I")</f>
        <v>Proficient I</v>
      </c>
      <c r="P16" s="8">
        <f ca="1">IFERROR(__xludf.DUMMYFUNCTION("""COMPUTED_VALUE"""),1)</f>
        <v>1</v>
      </c>
      <c r="Q16" s="8">
        <f ca="1">IFERROR(__xludf.DUMMYFUNCTION("""COMPUTED_VALUE"""),2)</f>
        <v>2</v>
      </c>
      <c r="R16" s="8">
        <f ca="1">IFERROR(__xludf.DUMMYFUNCTION("""COMPUTED_VALUE"""),1.5)</f>
        <v>1.5</v>
      </c>
      <c r="S16" s="8">
        <f ca="1">IFERROR(__xludf.DUMMYFUNCTION("""COMPUTED_VALUE"""),1.5)</f>
        <v>1.5</v>
      </c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</row>
    <row r="17" spans="1:31" ht="15.75" customHeight="1" x14ac:dyDescent="0.4">
      <c r="A17" s="8" t="s">
        <v>19</v>
      </c>
      <c r="B17" s="8" t="s">
        <v>31</v>
      </c>
      <c r="C17" s="8">
        <f ca="1">(COUNTIFS($E$2:$E966,"AAL",$H$2:$H966,"Noah Belcik"))</f>
        <v>12</v>
      </c>
      <c r="D17" s="8"/>
      <c r="E17" s="8" t="str">
        <f ca="1">IFERROR(__xludf.DUMMYFUNCTION("""COMPUTED_VALUE"""),"AAL")</f>
        <v>AAL</v>
      </c>
      <c r="F17" s="8" t="str">
        <f ca="1">IFERROR(__xludf.DUMMYFUNCTION("""COMPUTED_VALUE"""),"Core Subject With LSAE")</f>
        <v>Core Subject With LSAE</v>
      </c>
      <c r="G17" s="8" t="str">
        <f ca="1">IFERROR(__xludf.DUMMYFUNCTION("""COMPUTED_VALUE"""),"Victoria Cipriani")</f>
        <v>Victoria Cipriani</v>
      </c>
      <c r="H17" s="8" t="str">
        <f ca="1">IFERROR(__xludf.DUMMYFUNCTION("""COMPUTED_VALUE"""),"Noah Belcik")</f>
        <v>Noah Belcik</v>
      </c>
      <c r="I17" s="9">
        <f ca="1">IFERROR(__xludf.DUMMYFUNCTION("""COMPUTED_VALUE"""),45358)</f>
        <v>45358</v>
      </c>
      <c r="J17" s="9">
        <f ca="1">IFERROR(__xludf.DUMMYFUNCTION("""COMPUTED_VALUE"""),45358)</f>
        <v>45358</v>
      </c>
      <c r="K17" s="8" t="str">
        <f ca="1">IFERROR(__xludf.DUMMYFUNCTION("""COMPUTED_VALUE"""),"AM")</f>
        <v>AM</v>
      </c>
      <c r="L17" s="8" t="str">
        <f ca="1">IFERROR(__xludf.DUMMYFUNCTION("""COMPUTED_VALUE"""),"8th Grade")</f>
        <v>8th Grade</v>
      </c>
      <c r="M17" s="8" t="str">
        <f ca="1">IFERROR(__xludf.DUMMYFUNCTION("""COMPUTED_VALUE"""),"ELA")</f>
        <v>ELA</v>
      </c>
      <c r="N17" s="8">
        <f ca="1">IFERROR(__xludf.DUMMYFUNCTION("""COMPUTED_VALUE"""),8)</f>
        <v>8</v>
      </c>
      <c r="O17" s="8" t="str">
        <f ca="1">IFERROR(__xludf.DUMMYFUNCTION("""COMPUTED_VALUE"""),"Proficient II")</f>
        <v>Proficient II</v>
      </c>
      <c r="P17" s="8">
        <f ca="1">IFERROR(__xludf.DUMMYFUNCTION("""COMPUTED_VALUE"""),1)</f>
        <v>1</v>
      </c>
      <c r="Q17" s="8">
        <f ca="1">IFERROR(__xludf.DUMMYFUNCTION("""COMPUTED_VALUE"""),2)</f>
        <v>2</v>
      </c>
      <c r="R17" s="8">
        <f ca="1">IFERROR(__xludf.DUMMYFUNCTION("""COMPUTED_VALUE"""),3.5)</f>
        <v>3.5</v>
      </c>
      <c r="S17" s="8">
        <f ca="1">IFERROR(__xludf.DUMMYFUNCTION("""COMPUTED_VALUE"""),1.5)</f>
        <v>1.5</v>
      </c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</row>
    <row r="18" spans="1:31" ht="15.75" customHeight="1" x14ac:dyDescent="0.4">
      <c r="A18" s="8" t="s">
        <v>19</v>
      </c>
      <c r="B18" s="8" t="s">
        <v>32</v>
      </c>
      <c r="C18" s="8">
        <f ca="1">(COUNTIFS($E$2:$E966,"AAL",$H$2:$H966,"Patrick Hellman"))</f>
        <v>9</v>
      </c>
      <c r="D18" s="8"/>
      <c r="E18" s="8" t="str">
        <f ca="1">IFERROR(__xludf.DUMMYFUNCTION("""COMPUTED_VALUE"""),"AAL")</f>
        <v>AAL</v>
      </c>
      <c r="F18" s="8" t="str">
        <f ca="1">IFERROR(__xludf.DUMMYFUNCTION("""COMPUTED_VALUE"""),"Learning Coach")</f>
        <v>Learning Coach</v>
      </c>
      <c r="G18" s="8" t="str">
        <f ca="1">IFERROR(__xludf.DUMMYFUNCTION("""COMPUTED_VALUE"""),"McKenna Foley")</f>
        <v>McKenna Foley</v>
      </c>
      <c r="H18" s="8" t="str">
        <f ca="1">IFERROR(__xludf.DUMMYFUNCTION("""COMPUTED_VALUE"""),"Noah Belcik")</f>
        <v>Noah Belcik</v>
      </c>
      <c r="I18" s="9">
        <f ca="1">IFERROR(__xludf.DUMMYFUNCTION("""COMPUTED_VALUE"""),45358)</f>
        <v>45358</v>
      </c>
      <c r="J18" s="9">
        <f ca="1">IFERROR(__xludf.DUMMYFUNCTION("""COMPUTED_VALUE"""),45358)</f>
        <v>45358</v>
      </c>
      <c r="K18" s="8" t="str">
        <f ca="1">IFERROR(__xludf.DUMMYFUNCTION("""COMPUTED_VALUE"""),"PM")</f>
        <v>PM</v>
      </c>
      <c r="L18" s="8"/>
      <c r="M18" s="8"/>
      <c r="N18" s="8">
        <f ca="1">IFERROR(__xludf.DUMMYFUNCTION("""COMPUTED_VALUE"""),7.5)</f>
        <v>7.5</v>
      </c>
      <c r="O18" s="8" t="str">
        <f ca="1">IFERROR(__xludf.DUMMYFUNCTION("""COMPUTED_VALUE"""),"Proficient I")</f>
        <v>Proficient I</v>
      </c>
      <c r="P18" s="8">
        <f ca="1">IFERROR(__xludf.DUMMYFUNCTION("""COMPUTED_VALUE"""),2)</f>
        <v>2</v>
      </c>
      <c r="Q18" s="8">
        <f ca="1">IFERROR(__xludf.DUMMYFUNCTION("""COMPUTED_VALUE"""),3)</f>
        <v>3</v>
      </c>
      <c r="R18" s="8">
        <f ca="1">IFERROR(__xludf.DUMMYFUNCTION("""COMPUTED_VALUE"""),2.5)</f>
        <v>2.5</v>
      </c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</row>
    <row r="19" spans="1:31" ht="15.75" customHeight="1" x14ac:dyDescent="0.4">
      <c r="A19" s="8" t="s">
        <v>19</v>
      </c>
      <c r="B19" s="8" t="s">
        <v>33</v>
      </c>
      <c r="C19" s="8">
        <f ca="1">(COUNTIFS($E$2:$E966,"AAL",$H$2:$H966,"Sean Langner"))</f>
        <v>8</v>
      </c>
      <c r="D19" s="8"/>
      <c r="E19" s="8" t="str">
        <f ca="1">IFERROR(__xludf.DUMMYFUNCTION("""COMPUTED_VALUE"""),"AAL")</f>
        <v>AAL</v>
      </c>
      <c r="F19" s="8" t="str">
        <f ca="1">IFERROR(__xludf.DUMMYFUNCTION("""COMPUTED_VALUE"""),"Core Subject With LSAE")</f>
        <v>Core Subject With LSAE</v>
      </c>
      <c r="G19" s="8" t="str">
        <f ca="1">IFERROR(__xludf.DUMMYFUNCTION("""COMPUTED_VALUE"""),"Erika Stovall")</f>
        <v>Erika Stovall</v>
      </c>
      <c r="H19" s="8" t="str">
        <f ca="1">IFERROR(__xludf.DUMMYFUNCTION("""COMPUTED_VALUE"""),"Noah Belcik")</f>
        <v>Noah Belcik</v>
      </c>
      <c r="I19" s="9">
        <f ca="1">IFERROR(__xludf.DUMMYFUNCTION("""COMPUTED_VALUE"""),45359)</f>
        <v>45359</v>
      </c>
      <c r="J19" s="9"/>
      <c r="K19" s="8" t="str">
        <f ca="1">IFERROR(__xludf.DUMMYFUNCTION("""COMPUTED_VALUE"""),"AM")</f>
        <v>AM</v>
      </c>
      <c r="L19" s="11" t="str">
        <f ca="1">IFERROR(__xludf.DUMMYFUNCTION("""COMPUTED_VALUE"""),"7th Grade")</f>
        <v>7th Grade</v>
      </c>
      <c r="M19" s="8" t="str">
        <f ca="1">IFERROR(__xludf.DUMMYFUNCTION("""COMPUTED_VALUE"""),"Science")</f>
        <v>Science</v>
      </c>
      <c r="N19" s="8">
        <f ca="1">IFERROR(__xludf.DUMMYFUNCTION("""COMPUTED_VALUE"""),3)</f>
        <v>3</v>
      </c>
      <c r="O19" s="8" t="str">
        <f ca="1">IFERROR(__xludf.DUMMYFUNCTION("""COMPUTED_VALUE"""),"Unsatisfactory")</f>
        <v>Unsatisfactory</v>
      </c>
      <c r="P19" s="8">
        <f ca="1">IFERROR(__xludf.DUMMYFUNCTION("""COMPUTED_VALUE"""),1)</f>
        <v>1</v>
      </c>
      <c r="Q19" s="8">
        <f ca="1">IFERROR(__xludf.DUMMYFUNCTION("""COMPUTED_VALUE"""),0)</f>
        <v>0</v>
      </c>
      <c r="R19" s="8">
        <f ca="1">IFERROR(__xludf.DUMMYFUNCTION("""COMPUTED_VALUE"""),2)</f>
        <v>2</v>
      </c>
      <c r="S19" s="8">
        <f ca="1">IFERROR(__xludf.DUMMYFUNCTION("""COMPUTED_VALUE"""),0)</f>
        <v>0</v>
      </c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</row>
    <row r="20" spans="1:31" ht="15.75" customHeight="1" x14ac:dyDescent="0.4">
      <c r="A20" s="8" t="s">
        <v>19</v>
      </c>
      <c r="B20" s="8" t="s">
        <v>34</v>
      </c>
      <c r="C20" s="8">
        <f ca="1">(COUNTIFS($E$2:$E966,"AAL",$H$2:$H966,"Stephanie McClendon"))</f>
        <v>9</v>
      </c>
      <c r="D20" s="8"/>
      <c r="E20" s="8" t="str">
        <f ca="1">IFERROR(__xludf.DUMMYFUNCTION("""COMPUTED_VALUE"""),"AAL")</f>
        <v>AAL</v>
      </c>
      <c r="F20" s="8" t="str">
        <f ca="1">IFERROR(__xludf.DUMMYFUNCTION("""COMPUTED_VALUE"""),"Learning Coach")</f>
        <v>Learning Coach</v>
      </c>
      <c r="G20" s="8" t="str">
        <f ca="1">IFERROR(__xludf.DUMMYFUNCTION("""COMPUTED_VALUE"""),"Sven Gaskin")</f>
        <v>Sven Gaskin</v>
      </c>
      <c r="H20" s="8" t="str">
        <f ca="1">IFERROR(__xludf.DUMMYFUNCTION("""COMPUTED_VALUE"""),"Noah Belcik")</f>
        <v>Noah Belcik</v>
      </c>
      <c r="I20" s="9">
        <f ca="1">IFERROR(__xludf.DUMMYFUNCTION("""COMPUTED_VALUE"""),45359)</f>
        <v>45359</v>
      </c>
      <c r="J20" s="9"/>
      <c r="K20" s="8" t="str">
        <f ca="1">IFERROR(__xludf.DUMMYFUNCTION("""COMPUTED_VALUE"""),"AM")</f>
        <v>AM</v>
      </c>
      <c r="L20" s="8"/>
      <c r="M20" s="8"/>
      <c r="N20" s="8">
        <f ca="1">IFERROR(__xludf.DUMMYFUNCTION("""COMPUTED_VALUE"""),9.5)</f>
        <v>9.5</v>
      </c>
      <c r="O20" s="8" t="str">
        <f ca="1">IFERROR(__xludf.DUMMYFUNCTION("""COMPUTED_VALUE"""),"Proficient II")</f>
        <v>Proficient II</v>
      </c>
      <c r="P20" s="8">
        <f ca="1">IFERROR(__xludf.DUMMYFUNCTION("""COMPUTED_VALUE"""),2)</f>
        <v>2</v>
      </c>
      <c r="Q20" s="8">
        <f ca="1">IFERROR(__xludf.DUMMYFUNCTION("""COMPUTED_VALUE"""),5)</f>
        <v>5</v>
      </c>
      <c r="R20" s="8">
        <f ca="1">IFERROR(__xludf.DUMMYFUNCTION("""COMPUTED_VALUE"""),2.5)</f>
        <v>2.5</v>
      </c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</row>
    <row r="21" spans="1:31" ht="15.75" customHeight="1" x14ac:dyDescent="0.4">
      <c r="A21" s="8" t="s">
        <v>35</v>
      </c>
      <c r="B21" s="8" t="s">
        <v>36</v>
      </c>
      <c r="C21" s="8">
        <f ca="1">(COUNTIFS($E$2:$E966,"COPERNI",$H$2:$H966,"Noel Mercado"))</f>
        <v>7</v>
      </c>
      <c r="D21" s="8"/>
      <c r="E21" s="8" t="str">
        <f ca="1">IFERROR(__xludf.DUMMYFUNCTION("""COMPUTED_VALUE"""),"AAL")</f>
        <v>AAL</v>
      </c>
      <c r="F21" s="8" t="str">
        <f ca="1">IFERROR(__xludf.DUMMYFUNCTION("""COMPUTED_VALUE"""),"Learning Coach")</f>
        <v>Learning Coach</v>
      </c>
      <c r="G21" s="8" t="str">
        <f ca="1">IFERROR(__xludf.DUMMYFUNCTION("""COMPUTED_VALUE"""),"Janae Deas")</f>
        <v>Janae Deas</v>
      </c>
      <c r="H21" s="8" t="str">
        <f ca="1">IFERROR(__xludf.DUMMYFUNCTION("""COMPUTED_VALUE"""),"Noah Belcik")</f>
        <v>Noah Belcik</v>
      </c>
      <c r="I21" s="9">
        <f ca="1">IFERROR(__xludf.DUMMYFUNCTION("""COMPUTED_VALUE"""),45359)</f>
        <v>45359</v>
      </c>
      <c r="J21" s="9"/>
      <c r="K21" s="8" t="str">
        <f ca="1">IFERROR(__xludf.DUMMYFUNCTION("""COMPUTED_VALUE"""),"PM")</f>
        <v>PM</v>
      </c>
      <c r="L21" s="8"/>
      <c r="M21" s="8"/>
      <c r="N21" s="8">
        <f ca="1">IFERROR(__xludf.DUMMYFUNCTION("""COMPUTED_VALUE"""),7)</f>
        <v>7</v>
      </c>
      <c r="O21" s="8" t="str">
        <f ca="1">IFERROR(__xludf.DUMMYFUNCTION("""COMPUTED_VALUE"""),"Proficient I")</f>
        <v>Proficient I</v>
      </c>
      <c r="P21" s="8">
        <f ca="1">IFERROR(__xludf.DUMMYFUNCTION("""COMPUTED_VALUE"""),2)</f>
        <v>2</v>
      </c>
      <c r="Q21" s="8">
        <f ca="1">IFERROR(__xludf.DUMMYFUNCTION("""COMPUTED_VALUE"""),3)</f>
        <v>3</v>
      </c>
      <c r="R21" s="8">
        <f ca="1">IFERROR(__xludf.DUMMYFUNCTION("""COMPUTED_VALUE"""),2)</f>
        <v>2</v>
      </c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</row>
    <row r="22" spans="1:31" ht="15.75" customHeight="1" x14ac:dyDescent="0.4">
      <c r="A22" s="8" t="s">
        <v>35</v>
      </c>
      <c r="B22" s="8" t="s">
        <v>37</v>
      </c>
      <c r="C22" s="8">
        <f ca="1">(COUNTIFS($E$2:$E966,"COPERNI",$H$2:$H966,"Wendy Edwards"))</f>
        <v>10</v>
      </c>
      <c r="D22" s="8"/>
      <c r="E22" s="8" t="str">
        <f ca="1">IFERROR(__xludf.DUMMYFUNCTION("""COMPUTED_VALUE"""),"AAL")</f>
        <v>AAL</v>
      </c>
      <c r="F22" s="8" t="str">
        <f ca="1">IFERROR(__xludf.DUMMYFUNCTION("""COMPUTED_VALUE"""),"Core Subject With LSAE")</f>
        <v>Core Subject With LSAE</v>
      </c>
      <c r="G22" s="8" t="str">
        <f ca="1">IFERROR(__xludf.DUMMYFUNCTION("""COMPUTED_VALUE"""),"Kristen Gaddy")</f>
        <v>Kristen Gaddy</v>
      </c>
      <c r="H22" s="8" t="str">
        <f ca="1">IFERROR(__xludf.DUMMYFUNCTION("""COMPUTED_VALUE"""),"Patrick Hellman")</f>
        <v>Patrick Hellman</v>
      </c>
      <c r="I22" s="9">
        <f ca="1">IFERROR(__xludf.DUMMYFUNCTION("""COMPUTED_VALUE"""),45355)</f>
        <v>45355</v>
      </c>
      <c r="J22" s="9">
        <f ca="1">IFERROR(__xludf.DUMMYFUNCTION("""COMPUTED_VALUE"""),45355)</f>
        <v>45355</v>
      </c>
      <c r="K22" s="8" t="str">
        <f ca="1">IFERROR(__xludf.DUMMYFUNCTION("""COMPUTED_VALUE"""),"AM")</f>
        <v>AM</v>
      </c>
      <c r="L22" s="11" t="str">
        <f ca="1">IFERROR(__xludf.DUMMYFUNCTION("""COMPUTED_VALUE"""),"3rd Grade")</f>
        <v>3rd Grade</v>
      </c>
      <c r="M22" s="8" t="str">
        <f ca="1">IFERROR(__xludf.DUMMYFUNCTION("""COMPUTED_VALUE"""),"ELA")</f>
        <v>ELA</v>
      </c>
      <c r="N22" s="8">
        <f ca="1">IFERROR(__xludf.DUMMYFUNCTION("""COMPUTED_VALUE"""),7)</f>
        <v>7</v>
      </c>
      <c r="O22" s="8" t="str">
        <f ca="1">IFERROR(__xludf.DUMMYFUNCTION("""COMPUTED_VALUE"""),"Proficient I")</f>
        <v>Proficient I</v>
      </c>
      <c r="P22" s="8">
        <f ca="1">IFERROR(__xludf.DUMMYFUNCTION("""COMPUTED_VALUE"""),1)</f>
        <v>1</v>
      </c>
      <c r="Q22" s="8">
        <f ca="1">IFERROR(__xludf.DUMMYFUNCTION("""COMPUTED_VALUE"""),2.5)</f>
        <v>2.5</v>
      </c>
      <c r="R22" s="8">
        <f ca="1">IFERROR(__xludf.DUMMYFUNCTION("""COMPUTED_VALUE"""),2.5)</f>
        <v>2.5</v>
      </c>
      <c r="S22" s="8">
        <f ca="1">IFERROR(__xludf.DUMMYFUNCTION("""COMPUTED_VALUE"""),1)</f>
        <v>1</v>
      </c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</row>
    <row r="23" spans="1:31" ht="15.75" customHeight="1" x14ac:dyDescent="0.4">
      <c r="A23" s="8" t="s">
        <v>38</v>
      </c>
      <c r="B23" s="8" t="s">
        <v>39</v>
      </c>
      <c r="C23" s="8">
        <f ca="1">(COUNTIFS($E$2:$E966,"SAM",$H$2:$H966,"Welton Blaylock"))</f>
        <v>10</v>
      </c>
      <c r="D23" s="8"/>
      <c r="E23" s="8" t="str">
        <f ca="1">IFERROR(__xludf.DUMMYFUNCTION("""COMPUTED_VALUE"""),"AAL")</f>
        <v>AAL</v>
      </c>
      <c r="F23" s="8" t="str">
        <f ca="1">IFERROR(__xludf.DUMMYFUNCTION("""COMPUTED_VALUE"""),"Core Subject With LSAE")</f>
        <v>Core Subject With LSAE</v>
      </c>
      <c r="G23" s="8" t="str">
        <f ca="1">IFERROR(__xludf.DUMMYFUNCTION("""COMPUTED_VALUE"""),"Kacey Ceder")</f>
        <v>Kacey Ceder</v>
      </c>
      <c r="H23" s="8" t="str">
        <f ca="1">IFERROR(__xludf.DUMMYFUNCTION("""COMPUTED_VALUE"""),"Patrick Hellman")</f>
        <v>Patrick Hellman</v>
      </c>
      <c r="I23" s="12">
        <f ca="1">IFERROR(__xludf.DUMMYFUNCTION("""COMPUTED_VALUE"""),45355)</f>
        <v>45355</v>
      </c>
      <c r="J23" s="9"/>
      <c r="K23" s="8" t="str">
        <f ca="1">IFERROR(__xludf.DUMMYFUNCTION("""COMPUTED_VALUE"""),"PM")</f>
        <v>PM</v>
      </c>
      <c r="L23" s="8" t="str">
        <f ca="1">IFERROR(__xludf.DUMMYFUNCTION("""COMPUTED_VALUE"""),"5th Grade")</f>
        <v>5th Grade</v>
      </c>
      <c r="M23" s="8" t="str">
        <f ca="1">IFERROR(__xludf.DUMMYFUNCTION("""COMPUTED_VALUE"""),"ELA")</f>
        <v>ELA</v>
      </c>
      <c r="N23" s="8">
        <f ca="1">IFERROR(__xludf.DUMMYFUNCTION("""COMPUTED_VALUE"""),6)</f>
        <v>6</v>
      </c>
      <c r="O23" s="8" t="str">
        <f ca="1">IFERROR(__xludf.DUMMYFUNCTION("""COMPUTED_VALUE"""),"Proficient I")</f>
        <v>Proficient I</v>
      </c>
      <c r="P23" s="8">
        <f ca="1">IFERROR(__xludf.DUMMYFUNCTION("""COMPUTED_VALUE"""),1)</f>
        <v>1</v>
      </c>
      <c r="Q23" s="8">
        <f ca="1">IFERROR(__xludf.DUMMYFUNCTION("""COMPUTED_VALUE"""),2)</f>
        <v>2</v>
      </c>
      <c r="R23" s="8">
        <f ca="1">IFERROR(__xludf.DUMMYFUNCTION("""COMPUTED_VALUE"""),2)</f>
        <v>2</v>
      </c>
      <c r="S23" s="8">
        <f ca="1">IFERROR(__xludf.DUMMYFUNCTION("""COMPUTED_VALUE"""),1)</f>
        <v>1</v>
      </c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</row>
    <row r="24" spans="1:31" ht="15.75" customHeight="1" x14ac:dyDescent="0.4">
      <c r="A24" s="8" t="s">
        <v>38</v>
      </c>
      <c r="B24" s="8" t="s">
        <v>40</v>
      </c>
      <c r="C24" s="8">
        <f ca="1">(COUNTIFS($E$2:$E966,"SAM",$H$2:$H966,"Myrna Hinojosa"))</f>
        <v>10</v>
      </c>
      <c r="D24" s="8"/>
      <c r="E24" s="8" t="str">
        <f ca="1">IFERROR(__xludf.DUMMYFUNCTION("""COMPUTED_VALUE"""),"AAL")</f>
        <v>AAL</v>
      </c>
      <c r="F24" s="8" t="str">
        <f ca="1">IFERROR(__xludf.DUMMYFUNCTION("""COMPUTED_VALUE"""),"Core Subject With LSAE")</f>
        <v>Core Subject With LSAE</v>
      </c>
      <c r="G24" s="8" t="str">
        <f ca="1">IFERROR(__xludf.DUMMYFUNCTION("""COMPUTED_VALUE"""),"Jordan Delbaugh")</f>
        <v>Jordan Delbaugh</v>
      </c>
      <c r="H24" s="8" t="str">
        <f ca="1">IFERROR(__xludf.DUMMYFUNCTION("""COMPUTED_VALUE"""),"Patrick Hellman")</f>
        <v>Patrick Hellman</v>
      </c>
      <c r="I24" s="9">
        <f ca="1">IFERROR(__xludf.DUMMYFUNCTION("""COMPUTED_VALUE"""),45357)</f>
        <v>45357</v>
      </c>
      <c r="J24" s="9">
        <f ca="1">IFERROR(__xludf.DUMMYFUNCTION("""COMPUTED_VALUE"""),45357)</f>
        <v>45357</v>
      </c>
      <c r="K24" s="8" t="str">
        <f ca="1">IFERROR(__xludf.DUMMYFUNCTION("""COMPUTED_VALUE"""),"AM")</f>
        <v>AM</v>
      </c>
      <c r="L24" s="8" t="str">
        <f ca="1">IFERROR(__xludf.DUMMYFUNCTION("""COMPUTED_VALUE"""),"4th Grade")</f>
        <v>4th Grade</v>
      </c>
      <c r="M24" s="8" t="str">
        <f ca="1">IFERROR(__xludf.DUMMYFUNCTION("""COMPUTED_VALUE"""),"ELA")</f>
        <v>ELA</v>
      </c>
      <c r="N24" s="8">
        <f ca="1">IFERROR(__xludf.DUMMYFUNCTION("""COMPUTED_VALUE"""),4.5)</f>
        <v>4.5</v>
      </c>
      <c r="O24" s="8" t="str">
        <f ca="1">IFERROR(__xludf.DUMMYFUNCTION("""COMPUTED_VALUE"""),"Progressing")</f>
        <v>Progressing</v>
      </c>
      <c r="P24" s="8">
        <f ca="1">IFERROR(__xludf.DUMMYFUNCTION("""COMPUTED_VALUE"""),1)</f>
        <v>1</v>
      </c>
      <c r="Q24" s="8">
        <f ca="1">IFERROR(__xludf.DUMMYFUNCTION("""COMPUTED_VALUE"""),1)</f>
        <v>1</v>
      </c>
      <c r="R24" s="8">
        <f ca="1">IFERROR(__xludf.DUMMYFUNCTION("""COMPUTED_VALUE"""),1.5)</f>
        <v>1.5</v>
      </c>
      <c r="S24" s="8">
        <f ca="1">IFERROR(__xludf.DUMMYFUNCTION("""COMPUTED_VALUE"""),1)</f>
        <v>1</v>
      </c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</row>
    <row r="25" spans="1:31" ht="15.75" customHeight="1" x14ac:dyDescent="0.4">
      <c r="A25" s="8" t="s">
        <v>38</v>
      </c>
      <c r="B25" s="8" t="s">
        <v>41</v>
      </c>
      <c r="C25" s="8">
        <f ca="1">(COUNTIFS($E$2:$E966,"SAM",$H$2:$H966,"Keena Olivas"))</f>
        <v>10</v>
      </c>
      <c r="D25" s="8"/>
      <c r="E25" s="8" t="str">
        <f ca="1">IFERROR(__xludf.DUMMYFUNCTION("""COMPUTED_VALUE"""),"AAL")</f>
        <v>AAL</v>
      </c>
      <c r="F25" s="8" t="str">
        <f ca="1">IFERROR(__xludf.DUMMYFUNCTION("""COMPUTED_VALUE"""),"Learning Coach")</f>
        <v>Learning Coach</v>
      </c>
      <c r="G25" s="8" t="str">
        <f ca="1">IFERROR(__xludf.DUMMYFUNCTION("""COMPUTED_VALUE"""),"Linda Doss")</f>
        <v>Linda Doss</v>
      </c>
      <c r="H25" s="8" t="str">
        <f ca="1">IFERROR(__xludf.DUMMYFUNCTION("""COMPUTED_VALUE"""),"Patrick Hellman")</f>
        <v>Patrick Hellman</v>
      </c>
      <c r="I25" s="9">
        <f ca="1">IFERROR(__xludf.DUMMYFUNCTION("""COMPUTED_VALUE"""),45357)</f>
        <v>45357</v>
      </c>
      <c r="J25" s="9"/>
      <c r="K25" s="8" t="str">
        <f ca="1">IFERROR(__xludf.DUMMYFUNCTION("""COMPUTED_VALUE"""),"PM")</f>
        <v>PM</v>
      </c>
      <c r="L25" s="8"/>
      <c r="M25" s="8"/>
      <c r="N25" s="8">
        <f ca="1">IFERROR(__xludf.DUMMYFUNCTION("""COMPUTED_VALUE"""),10)</f>
        <v>10</v>
      </c>
      <c r="O25" s="8" t="str">
        <f ca="1">IFERROR(__xludf.DUMMYFUNCTION("""COMPUTED_VALUE"""),"Exemplary")</f>
        <v>Exemplary</v>
      </c>
      <c r="P25" s="8">
        <f ca="1">IFERROR(__xludf.DUMMYFUNCTION("""COMPUTED_VALUE"""),2)</f>
        <v>2</v>
      </c>
      <c r="Q25" s="8">
        <f ca="1">IFERROR(__xludf.DUMMYFUNCTION("""COMPUTED_VALUE"""),5)</f>
        <v>5</v>
      </c>
      <c r="R25" s="8">
        <f ca="1">IFERROR(__xludf.DUMMYFUNCTION("""COMPUTED_VALUE"""),3)</f>
        <v>3</v>
      </c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</row>
    <row r="26" spans="1:31" ht="15.75" customHeight="1" x14ac:dyDescent="0.4">
      <c r="A26" s="8" t="s">
        <v>42</v>
      </c>
      <c r="B26" s="8" t="s">
        <v>43</v>
      </c>
      <c r="C26" s="8">
        <f ca="1">(COUNTIFS($E$2:$E966,"LAMAR",$H$2:$H966,"Shameka Johnson"))</f>
        <v>12</v>
      </c>
      <c r="D26" s="8"/>
      <c r="E26" s="8" t="str">
        <f ca="1">IFERROR(__xludf.DUMMYFUNCTION("""COMPUTED_VALUE"""),"AAL")</f>
        <v>AAL</v>
      </c>
      <c r="F26" s="8" t="str">
        <f ca="1">IFERROR(__xludf.DUMMYFUNCTION("""COMPUTED_VALUE"""),"Core Subject No LSAE")</f>
        <v>Core Subject No LSAE</v>
      </c>
      <c r="G26" s="8" t="str">
        <f ca="1">IFERROR(__xludf.DUMMYFUNCTION("""COMPUTED_VALUE"""),"Joe Barron")</f>
        <v>Joe Barron</v>
      </c>
      <c r="H26" s="8" t="str">
        <f ca="1">IFERROR(__xludf.DUMMYFUNCTION("""COMPUTED_VALUE"""),"Patrick Hellman")</f>
        <v>Patrick Hellman</v>
      </c>
      <c r="I26" s="9">
        <f ca="1">IFERROR(__xludf.DUMMYFUNCTION("""COMPUTED_VALUE"""),45359)</f>
        <v>45359</v>
      </c>
      <c r="J26" s="9">
        <f ca="1">IFERROR(__xludf.DUMMYFUNCTION("""COMPUTED_VALUE"""),45359)</f>
        <v>45359</v>
      </c>
      <c r="K26" s="8" t="str">
        <f ca="1">IFERROR(__xludf.DUMMYFUNCTION("""COMPUTED_VALUE"""),"AM")</f>
        <v>AM</v>
      </c>
      <c r="L26" s="8" t="str">
        <f ca="1">IFERROR(__xludf.DUMMYFUNCTION("""COMPUTED_VALUE"""),"4th Grade")</f>
        <v>4th Grade</v>
      </c>
      <c r="M26" s="8" t="str">
        <f ca="1">IFERROR(__xludf.DUMMYFUNCTION("""COMPUTED_VALUE"""),"Science")</f>
        <v>Science</v>
      </c>
      <c r="N26" s="8">
        <f ca="1">IFERROR(__xludf.DUMMYFUNCTION("""COMPUTED_VALUE"""),6.5)</f>
        <v>6.5</v>
      </c>
      <c r="O26" s="8" t="str">
        <f ca="1">IFERROR(__xludf.DUMMYFUNCTION("""COMPUTED_VALUE"""),"Proficient I")</f>
        <v>Proficient I</v>
      </c>
      <c r="P26" s="8">
        <f ca="1">IFERROR(__xludf.DUMMYFUNCTION("""COMPUTED_VALUE"""),2)</f>
        <v>2</v>
      </c>
      <c r="Q26" s="8">
        <f ca="1">IFERROR(__xludf.DUMMYFUNCTION("""COMPUTED_VALUE"""),2)</f>
        <v>2</v>
      </c>
      <c r="R26" s="8">
        <f ca="1">IFERROR(__xludf.DUMMYFUNCTION("""COMPUTED_VALUE"""),2.5)</f>
        <v>2.5</v>
      </c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</row>
    <row r="27" spans="1:31" ht="15.75" customHeight="1" x14ac:dyDescent="0.4">
      <c r="A27" s="8" t="s">
        <v>42</v>
      </c>
      <c r="B27" s="8" t="s">
        <v>44</v>
      </c>
      <c r="C27" s="8">
        <f ca="1">(COUNTIFS($E$2:$E966,"LAMAR",$H$2:$H966,"Elizabeth Williams"))</f>
        <v>10</v>
      </c>
      <c r="D27" s="8"/>
      <c r="E27" s="8" t="str">
        <f ca="1">IFERROR(__xludf.DUMMYFUNCTION("""COMPUTED_VALUE"""),"AAL")</f>
        <v>AAL</v>
      </c>
      <c r="F27" s="8" t="str">
        <f ca="1">IFERROR(__xludf.DUMMYFUNCTION("""COMPUTED_VALUE"""),"Core Subject With LSAE")</f>
        <v>Core Subject With LSAE</v>
      </c>
      <c r="G27" s="8" t="str">
        <f ca="1">IFERROR(__xludf.DUMMYFUNCTION("""COMPUTED_VALUE"""),"Susan Steinke")</f>
        <v>Susan Steinke</v>
      </c>
      <c r="H27" s="8" t="str">
        <f ca="1">IFERROR(__xludf.DUMMYFUNCTION("""COMPUTED_VALUE"""),"Patrick Hellman")</f>
        <v>Patrick Hellman</v>
      </c>
      <c r="I27" s="9">
        <f ca="1">IFERROR(__xludf.DUMMYFUNCTION("""COMPUTED_VALUE"""),45359)</f>
        <v>45359</v>
      </c>
      <c r="J27" s="9"/>
      <c r="K27" s="8" t="str">
        <f ca="1">IFERROR(__xludf.DUMMYFUNCTION("""COMPUTED_VALUE"""),"AM")</f>
        <v>AM</v>
      </c>
      <c r="L27" s="8" t="str">
        <f ca="1">IFERROR(__xludf.DUMMYFUNCTION("""COMPUTED_VALUE"""),"4th Grade")</f>
        <v>4th Grade</v>
      </c>
      <c r="M27" s="8" t="str">
        <f ca="1">IFERROR(__xludf.DUMMYFUNCTION("""COMPUTED_VALUE"""),"Math")</f>
        <v>Math</v>
      </c>
      <c r="N27" s="8">
        <f ca="1">IFERROR(__xludf.DUMMYFUNCTION("""COMPUTED_VALUE"""),5.5)</f>
        <v>5.5</v>
      </c>
      <c r="O27" s="8" t="str">
        <f ca="1">IFERROR(__xludf.DUMMYFUNCTION("""COMPUTED_VALUE"""),"Progressing")</f>
        <v>Progressing</v>
      </c>
      <c r="P27" s="8">
        <f ca="1">IFERROR(__xludf.DUMMYFUNCTION("""COMPUTED_VALUE"""),1)</f>
        <v>1</v>
      </c>
      <c r="Q27" s="8">
        <f ca="1">IFERROR(__xludf.DUMMYFUNCTION("""COMPUTED_VALUE"""),1.5)</f>
        <v>1.5</v>
      </c>
      <c r="R27" s="8">
        <f ca="1">IFERROR(__xludf.DUMMYFUNCTION("""COMPUTED_VALUE"""),2)</f>
        <v>2</v>
      </c>
      <c r="S27" s="8">
        <f ca="1">IFERROR(__xludf.DUMMYFUNCTION("""COMPUTED_VALUE"""),1)</f>
        <v>1</v>
      </c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</row>
    <row r="28" spans="1:31" ht="15.75" customHeight="1" x14ac:dyDescent="0.4">
      <c r="A28" s="8" t="s">
        <v>45</v>
      </c>
      <c r="B28" s="8" t="s">
        <v>46</v>
      </c>
      <c r="C28" s="8">
        <f ca="1">(COUNTIFS($E$2:$E966,"ECTOR",$H$2:$H966,"Kristin Albaugh"))</f>
        <v>9</v>
      </c>
      <c r="D28" s="8"/>
      <c r="E28" s="8" t="str">
        <f ca="1">IFERROR(__xludf.DUMMYFUNCTION("""COMPUTED_VALUE"""),"AAL")</f>
        <v>AAL</v>
      </c>
      <c r="F28" s="8" t="str">
        <f ca="1">IFERROR(__xludf.DUMMYFUNCTION("""COMPUTED_VALUE"""),"Learning Coach")</f>
        <v>Learning Coach</v>
      </c>
      <c r="G28" s="8" t="str">
        <f ca="1">IFERROR(__xludf.DUMMYFUNCTION("""COMPUTED_VALUE"""),"Thomas Yeh")</f>
        <v>Thomas Yeh</v>
      </c>
      <c r="H28" s="8" t="str">
        <f ca="1">IFERROR(__xludf.DUMMYFUNCTION("""COMPUTED_VALUE"""),"Patrick Hellman")</f>
        <v>Patrick Hellman</v>
      </c>
      <c r="I28" s="9">
        <f ca="1">IFERROR(__xludf.DUMMYFUNCTION("""COMPUTED_VALUE"""),45359)</f>
        <v>45359</v>
      </c>
      <c r="J28" s="9"/>
      <c r="K28" s="8" t="str">
        <f ca="1">IFERROR(__xludf.DUMMYFUNCTION("""COMPUTED_VALUE"""),"AM")</f>
        <v>AM</v>
      </c>
      <c r="L28" s="8"/>
      <c r="M28" s="8"/>
      <c r="N28" s="8">
        <f ca="1">IFERROR(__xludf.DUMMYFUNCTION("""COMPUTED_VALUE"""),9)</f>
        <v>9</v>
      </c>
      <c r="O28" s="8" t="str">
        <f ca="1">IFERROR(__xludf.DUMMYFUNCTION("""COMPUTED_VALUE"""),"Proficient II")</f>
        <v>Proficient II</v>
      </c>
      <c r="P28" s="8">
        <f ca="1">IFERROR(__xludf.DUMMYFUNCTION("""COMPUTED_VALUE"""),2)</f>
        <v>2</v>
      </c>
      <c r="Q28" s="8">
        <f ca="1">IFERROR(__xludf.DUMMYFUNCTION("""COMPUTED_VALUE"""),4)</f>
        <v>4</v>
      </c>
      <c r="R28" s="8">
        <f ca="1">IFERROR(__xludf.DUMMYFUNCTION("""COMPUTED_VALUE"""),3)</f>
        <v>3</v>
      </c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</row>
    <row r="29" spans="1:31" ht="15.75" customHeight="1" x14ac:dyDescent="0.4">
      <c r="A29" s="8" t="s">
        <v>45</v>
      </c>
      <c r="B29" s="8" t="s">
        <v>47</v>
      </c>
      <c r="C29" s="8">
        <f ca="1">(COUNTIFS($E$2:$E966,"ECTOR",$H$2:$H966,"Tracy Avery"))</f>
        <v>10</v>
      </c>
      <c r="D29" s="8"/>
      <c r="E29" s="8" t="str">
        <f ca="1">IFERROR(__xludf.DUMMYFUNCTION("""COMPUTED_VALUE"""),"AAL")</f>
        <v>AAL</v>
      </c>
      <c r="F29" s="8" t="str">
        <f ca="1">IFERROR(__xludf.DUMMYFUNCTION("""COMPUTED_VALUE"""),"Learning Coach")</f>
        <v>Learning Coach</v>
      </c>
      <c r="G29" s="8" t="str">
        <f ca="1">IFERROR(__xludf.DUMMYFUNCTION("""COMPUTED_VALUE"""),"Cam Stevens")</f>
        <v>Cam Stevens</v>
      </c>
      <c r="H29" s="8" t="str">
        <f ca="1">IFERROR(__xludf.DUMMYFUNCTION("""COMPUTED_VALUE"""),"Patrick Hellman")</f>
        <v>Patrick Hellman</v>
      </c>
      <c r="I29" s="9">
        <f ca="1">IFERROR(__xludf.DUMMYFUNCTION("""COMPUTED_VALUE"""),45359)</f>
        <v>45359</v>
      </c>
      <c r="J29" s="9"/>
      <c r="K29" s="8" t="str">
        <f ca="1">IFERROR(__xludf.DUMMYFUNCTION("""COMPUTED_VALUE"""),"AM")</f>
        <v>AM</v>
      </c>
      <c r="L29" s="8"/>
      <c r="M29" s="8"/>
      <c r="N29" s="8">
        <f ca="1">IFERROR(__xludf.DUMMYFUNCTION("""COMPUTED_VALUE"""),9)</f>
        <v>9</v>
      </c>
      <c r="O29" s="8" t="str">
        <f ca="1">IFERROR(__xludf.DUMMYFUNCTION("""COMPUTED_VALUE"""),"Proficient II")</f>
        <v>Proficient II</v>
      </c>
      <c r="P29" s="8">
        <f ca="1">IFERROR(__xludf.DUMMYFUNCTION("""COMPUTED_VALUE"""),2)</f>
        <v>2</v>
      </c>
      <c r="Q29" s="8">
        <f ca="1">IFERROR(__xludf.DUMMYFUNCTION("""COMPUTED_VALUE"""),4)</f>
        <v>4</v>
      </c>
      <c r="R29" s="8">
        <f ca="1">IFERROR(__xludf.DUMMYFUNCTION("""COMPUTED_VALUE"""),3)</f>
        <v>3</v>
      </c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</row>
    <row r="30" spans="1:31" ht="15.75" customHeight="1" x14ac:dyDescent="0.4">
      <c r="A30" s="8" t="s">
        <v>45</v>
      </c>
      <c r="B30" s="8" t="s">
        <v>48</v>
      </c>
      <c r="C30" s="8">
        <f ca="1">(COUNTIFS($E$2:$E966,"ECTOR",$H$2:$H966,"Natalie Chavarria"))</f>
        <v>8</v>
      </c>
      <c r="D30" s="8"/>
      <c r="E30" s="8" t="str">
        <f ca="1">IFERROR(__xludf.DUMMYFUNCTION("""COMPUTED_VALUE"""),"AAL")</f>
        <v>AAL</v>
      </c>
      <c r="F30" s="8" t="str">
        <f ca="1">IFERROR(__xludf.DUMMYFUNCTION("""COMPUTED_VALUE"""),"Learning Coach")</f>
        <v>Learning Coach</v>
      </c>
      <c r="G30" s="8" t="str">
        <f ca="1">IFERROR(__xludf.DUMMYFUNCTION("""COMPUTED_VALUE"""),"McKenna Foley")</f>
        <v>McKenna Foley</v>
      </c>
      <c r="H30" s="8" t="str">
        <f ca="1">IFERROR(__xludf.DUMMYFUNCTION("""COMPUTED_VALUE"""),"Patrick Hellman")</f>
        <v>Patrick Hellman</v>
      </c>
      <c r="I30" s="9">
        <f ca="1">IFERROR(__xludf.DUMMYFUNCTION("""COMPUTED_VALUE"""),45359)</f>
        <v>45359</v>
      </c>
      <c r="J30" s="9">
        <f ca="1">IFERROR(__xludf.DUMMYFUNCTION("""COMPUTED_VALUE"""),45359)</f>
        <v>45359</v>
      </c>
      <c r="K30" s="8" t="str">
        <f ca="1">IFERROR(__xludf.DUMMYFUNCTION("""COMPUTED_VALUE"""),"AM")</f>
        <v>AM</v>
      </c>
      <c r="L30" s="8"/>
      <c r="M30" s="8"/>
      <c r="N30" s="8">
        <f ca="1">IFERROR(__xludf.DUMMYFUNCTION("""COMPUTED_VALUE"""),9)</f>
        <v>9</v>
      </c>
      <c r="O30" s="8" t="str">
        <f ca="1">IFERROR(__xludf.DUMMYFUNCTION("""COMPUTED_VALUE"""),"Proficient II")</f>
        <v>Proficient II</v>
      </c>
      <c r="P30" s="8">
        <f ca="1">IFERROR(__xludf.DUMMYFUNCTION("""COMPUTED_VALUE"""),2)</f>
        <v>2</v>
      </c>
      <c r="Q30" s="8">
        <f ca="1">IFERROR(__xludf.DUMMYFUNCTION("""COMPUTED_VALUE"""),4.5)</f>
        <v>4.5</v>
      </c>
      <c r="R30" s="8">
        <f ca="1">IFERROR(__xludf.DUMMYFUNCTION("""COMPUTED_VALUE"""),2.5)</f>
        <v>2.5</v>
      </c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</row>
    <row r="31" spans="1:31" ht="15.75" customHeight="1" x14ac:dyDescent="0.4">
      <c r="A31" s="8" t="s">
        <v>45</v>
      </c>
      <c r="B31" s="8" t="s">
        <v>49</v>
      </c>
      <c r="C31" s="8">
        <f ca="1">(COUNTIFS($E$2:$E966,"ECTOR",$H$2:$H966,"Katherine Coulter"))</f>
        <v>8</v>
      </c>
      <c r="D31" s="8"/>
      <c r="E31" s="8" t="str">
        <f ca="1">IFERROR(__xludf.DUMMYFUNCTION("""COMPUTED_VALUE"""),"AAL")</f>
        <v>AAL</v>
      </c>
      <c r="F31" s="8" t="str">
        <f ca="1">IFERROR(__xludf.DUMMYFUNCTION("""COMPUTED_VALUE"""),"Learning Coach")</f>
        <v>Learning Coach</v>
      </c>
      <c r="G31" s="8" t="str">
        <f ca="1">IFERROR(__xludf.DUMMYFUNCTION("""COMPUTED_VALUE"""),"Cam Stevens")</f>
        <v>Cam Stevens</v>
      </c>
      <c r="H31" s="8" t="str">
        <f ca="1">IFERROR(__xludf.DUMMYFUNCTION("""COMPUTED_VALUE"""),"Sean Langner")</f>
        <v>Sean Langner</v>
      </c>
      <c r="I31" s="9">
        <f ca="1">IFERROR(__xludf.DUMMYFUNCTION("""COMPUTED_VALUE"""),45355)</f>
        <v>45355</v>
      </c>
      <c r="J31" s="9"/>
      <c r="K31" s="8" t="str">
        <f ca="1">IFERROR(__xludf.DUMMYFUNCTION("""COMPUTED_VALUE"""),"PM")</f>
        <v>PM</v>
      </c>
      <c r="L31" s="8"/>
      <c r="M31" s="8"/>
      <c r="N31" s="8">
        <f ca="1">IFERROR(__xludf.DUMMYFUNCTION("""COMPUTED_VALUE"""),7.5)</f>
        <v>7.5</v>
      </c>
      <c r="O31" s="8" t="str">
        <f ca="1">IFERROR(__xludf.DUMMYFUNCTION("""COMPUTED_VALUE"""),"Proficient I")</f>
        <v>Proficient I</v>
      </c>
      <c r="P31" s="8">
        <f ca="1">IFERROR(__xludf.DUMMYFUNCTION("""COMPUTED_VALUE"""),2)</f>
        <v>2</v>
      </c>
      <c r="Q31" s="8">
        <f ca="1">IFERROR(__xludf.DUMMYFUNCTION("""COMPUTED_VALUE"""),3.5)</f>
        <v>3.5</v>
      </c>
      <c r="R31" s="8">
        <f ca="1">IFERROR(__xludf.DUMMYFUNCTION("""COMPUTED_VALUE"""),2)</f>
        <v>2</v>
      </c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</row>
    <row r="32" spans="1:31" ht="15.75" customHeight="1" x14ac:dyDescent="0.4">
      <c r="A32" s="8" t="s">
        <v>45</v>
      </c>
      <c r="B32" s="8" t="s">
        <v>50</v>
      </c>
      <c r="C32" s="8">
        <f ca="1">(COUNTIFS($E$2:$E966,"ECTOR",$H$2:$H966,"Michael Garza"))</f>
        <v>8</v>
      </c>
      <c r="D32" s="8"/>
      <c r="E32" s="8" t="str">
        <f ca="1">IFERROR(__xludf.DUMMYFUNCTION("""COMPUTED_VALUE"""),"AAL")</f>
        <v>AAL</v>
      </c>
      <c r="F32" s="8" t="str">
        <f ca="1">IFERROR(__xludf.DUMMYFUNCTION("""COMPUTED_VALUE"""),"Core Subject No LSAE")</f>
        <v>Core Subject No LSAE</v>
      </c>
      <c r="G32" s="8" t="str">
        <f ca="1">IFERROR(__xludf.DUMMYFUNCTION("""COMPUTED_VALUE"""),"Julie Morelock")</f>
        <v>Julie Morelock</v>
      </c>
      <c r="H32" s="8" t="str">
        <f ca="1">IFERROR(__xludf.DUMMYFUNCTION("""COMPUTED_VALUE"""),"Sean Langner")</f>
        <v>Sean Langner</v>
      </c>
      <c r="I32" s="9">
        <f ca="1">IFERROR(__xludf.DUMMYFUNCTION("""COMPUTED_VALUE"""),45356)</f>
        <v>45356</v>
      </c>
      <c r="J32" s="9">
        <f ca="1">IFERROR(__xludf.DUMMYFUNCTION("""COMPUTED_VALUE"""),45356)</f>
        <v>45356</v>
      </c>
      <c r="K32" s="8" t="str">
        <f ca="1">IFERROR(__xludf.DUMMYFUNCTION("""COMPUTED_VALUE"""),"AM")</f>
        <v>AM</v>
      </c>
      <c r="L32" s="11" t="str">
        <f ca="1">IFERROR(__xludf.DUMMYFUNCTION("""COMPUTED_VALUE"""),"4th Grade")</f>
        <v>4th Grade</v>
      </c>
      <c r="M32" s="8" t="str">
        <f ca="1">IFERROR(__xludf.DUMMYFUNCTION("""COMPUTED_VALUE"""),"ELA")</f>
        <v>ELA</v>
      </c>
      <c r="N32" s="8">
        <f ca="1">IFERROR(__xludf.DUMMYFUNCTION("""COMPUTED_VALUE"""),5)</f>
        <v>5</v>
      </c>
      <c r="O32" s="8" t="str">
        <f ca="1">IFERROR(__xludf.DUMMYFUNCTION("""COMPUTED_VALUE"""),"Progressing")</f>
        <v>Progressing</v>
      </c>
      <c r="P32" s="8">
        <f ca="1">IFERROR(__xludf.DUMMYFUNCTION("""COMPUTED_VALUE"""),2)</f>
        <v>2</v>
      </c>
      <c r="Q32" s="8">
        <f ca="1">IFERROR(__xludf.DUMMYFUNCTION("""COMPUTED_VALUE"""),1.5)</f>
        <v>1.5</v>
      </c>
      <c r="R32" s="8">
        <f ca="1">IFERROR(__xludf.DUMMYFUNCTION("""COMPUTED_VALUE"""),1.5)</f>
        <v>1.5</v>
      </c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</row>
    <row r="33" spans="1:31" ht="15.75" customHeight="1" x14ac:dyDescent="0.4">
      <c r="A33" s="8" t="s">
        <v>45</v>
      </c>
      <c r="B33" s="8" t="s">
        <v>51</v>
      </c>
      <c r="C33" s="8">
        <f ca="1">(COUNTIFS($E$2:$E966,"ECTOR",$H$2:$H966,"Jose Porras"))</f>
        <v>10</v>
      </c>
      <c r="D33" s="8"/>
      <c r="E33" s="8" t="str">
        <f ca="1">IFERROR(__xludf.DUMMYFUNCTION("""COMPUTED_VALUE"""),"AAL")</f>
        <v>AAL</v>
      </c>
      <c r="F33" s="8" t="str">
        <f ca="1">IFERROR(__xludf.DUMMYFUNCTION("""COMPUTED_VALUE"""),"Core Subject No LSAE")</f>
        <v>Core Subject No LSAE</v>
      </c>
      <c r="G33" s="8" t="str">
        <f ca="1">IFERROR(__xludf.DUMMYFUNCTION("""COMPUTED_VALUE"""),"Joe Barron")</f>
        <v>Joe Barron</v>
      </c>
      <c r="H33" s="8" t="str">
        <f ca="1">IFERROR(__xludf.DUMMYFUNCTION("""COMPUTED_VALUE"""),"Sean Langner")</f>
        <v>Sean Langner</v>
      </c>
      <c r="I33" s="9">
        <f ca="1">IFERROR(__xludf.DUMMYFUNCTION("""COMPUTED_VALUE"""),45357)</f>
        <v>45357</v>
      </c>
      <c r="J33" s="9">
        <f ca="1">IFERROR(__xludf.DUMMYFUNCTION("""COMPUTED_VALUE"""),45357)</f>
        <v>45357</v>
      </c>
      <c r="K33" s="8" t="str">
        <f ca="1">IFERROR(__xludf.DUMMYFUNCTION("""COMPUTED_VALUE"""),"AM")</f>
        <v>AM</v>
      </c>
      <c r="L33" s="8" t="str">
        <f ca="1">IFERROR(__xludf.DUMMYFUNCTION("""COMPUTED_VALUE"""),"4th Grade")</f>
        <v>4th Grade</v>
      </c>
      <c r="M33" s="8" t="str">
        <f ca="1">IFERROR(__xludf.DUMMYFUNCTION("""COMPUTED_VALUE"""),"Science")</f>
        <v>Science</v>
      </c>
      <c r="N33" s="8">
        <f ca="1">IFERROR(__xludf.DUMMYFUNCTION("""COMPUTED_VALUE"""),7)</f>
        <v>7</v>
      </c>
      <c r="O33" s="8" t="str">
        <f ca="1">IFERROR(__xludf.DUMMYFUNCTION("""COMPUTED_VALUE"""),"Proficient I")</f>
        <v>Proficient I</v>
      </c>
      <c r="P33" s="8">
        <f ca="1">IFERROR(__xludf.DUMMYFUNCTION("""COMPUTED_VALUE"""),2)</f>
        <v>2</v>
      </c>
      <c r="Q33" s="8">
        <f ca="1">IFERROR(__xludf.DUMMYFUNCTION("""COMPUTED_VALUE"""),2.5)</f>
        <v>2.5</v>
      </c>
      <c r="R33" s="8">
        <f ca="1">IFERROR(__xludf.DUMMYFUNCTION("""COMPUTED_VALUE"""),2.5)</f>
        <v>2.5</v>
      </c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</row>
    <row r="34" spans="1:31" ht="15.75" customHeight="1" x14ac:dyDescent="0.4">
      <c r="A34" s="8" t="s">
        <v>45</v>
      </c>
      <c r="B34" s="8" t="s">
        <v>52</v>
      </c>
      <c r="C34" s="8">
        <f ca="1">(COUNTIFS($E$2:$E966,"ECTOR",$H$2:$H966,"Jose Valles Jr."))</f>
        <v>10</v>
      </c>
      <c r="D34" s="8"/>
      <c r="E34" s="8" t="str">
        <f ca="1">IFERROR(__xludf.DUMMYFUNCTION("""COMPUTED_VALUE"""),"AAL")</f>
        <v>AAL</v>
      </c>
      <c r="F34" s="8" t="str">
        <f ca="1">IFERROR(__xludf.DUMMYFUNCTION("""COMPUTED_VALUE"""),"K-1")</f>
        <v>K-1</v>
      </c>
      <c r="G34" s="8" t="str">
        <f ca="1">IFERROR(__xludf.DUMMYFUNCTION("""COMPUTED_VALUE"""),"Brittney Engel")</f>
        <v>Brittney Engel</v>
      </c>
      <c r="H34" s="8" t="str">
        <f ca="1">IFERROR(__xludf.DUMMYFUNCTION("""COMPUTED_VALUE"""),"Sean Langner")</f>
        <v>Sean Langner</v>
      </c>
      <c r="I34" s="9">
        <f ca="1">IFERROR(__xludf.DUMMYFUNCTION("""COMPUTED_VALUE"""),45357)</f>
        <v>45357</v>
      </c>
      <c r="J34" s="9"/>
      <c r="K34" s="8" t="str">
        <f ca="1">IFERROR(__xludf.DUMMYFUNCTION("""COMPUTED_VALUE"""),"AM")</f>
        <v>AM</v>
      </c>
      <c r="L34" s="8" t="str">
        <f ca="1">IFERROR(__xludf.DUMMYFUNCTION("""COMPUTED_VALUE"""),"1st Grade")</f>
        <v>1st Grade</v>
      </c>
      <c r="M34" s="8" t="str">
        <f ca="1">IFERROR(__xludf.DUMMYFUNCTION("""COMPUTED_VALUE"""),"Math")</f>
        <v>Math</v>
      </c>
      <c r="N34" s="8">
        <f ca="1">IFERROR(__xludf.DUMMYFUNCTION("""COMPUTED_VALUE"""),7.5)</f>
        <v>7.5</v>
      </c>
      <c r="O34" s="8" t="str">
        <f ca="1">IFERROR(__xludf.DUMMYFUNCTION("""COMPUTED_VALUE"""),"Proficient I")</f>
        <v>Proficient I</v>
      </c>
      <c r="P34" s="8">
        <f ca="1">IFERROR(__xludf.DUMMYFUNCTION("""COMPUTED_VALUE"""),1)</f>
        <v>1</v>
      </c>
      <c r="Q34" s="8">
        <f ca="1">IFERROR(__xludf.DUMMYFUNCTION("""COMPUTED_VALUE"""),2)</f>
        <v>2</v>
      </c>
      <c r="R34" s="8">
        <f ca="1">IFERROR(__xludf.DUMMYFUNCTION("""COMPUTED_VALUE"""),3)</f>
        <v>3</v>
      </c>
      <c r="S34" s="8">
        <f ca="1">IFERROR(__xludf.DUMMYFUNCTION("""COMPUTED_VALUE"""),1.5)</f>
        <v>1.5</v>
      </c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</row>
    <row r="35" spans="1:31" ht="13.15" x14ac:dyDescent="0.4">
      <c r="A35" s="8" t="s">
        <v>53</v>
      </c>
      <c r="B35" s="8" t="s">
        <v>54</v>
      </c>
      <c r="C35" s="8">
        <f ca="1">(COUNTIFS($E$2:$E966,"FEHL-PRICE",$H$2:$H966,"Mersadez Gobert"))</f>
        <v>10</v>
      </c>
      <c r="D35" s="8"/>
      <c r="E35" s="8" t="str">
        <f ca="1">IFERROR(__xludf.DUMMYFUNCTION("""COMPUTED_VALUE"""),"AAL")</f>
        <v>AAL</v>
      </c>
      <c r="F35" s="8" t="str">
        <f ca="1">IFERROR(__xludf.DUMMYFUNCTION("""COMPUTED_VALUE"""),"Core Subject With LSAE")</f>
        <v>Core Subject With LSAE</v>
      </c>
      <c r="G35" s="8" t="str">
        <f ca="1">IFERROR(__xludf.DUMMYFUNCTION("""COMPUTED_VALUE"""),"Kristen Gaddy")</f>
        <v>Kristen Gaddy</v>
      </c>
      <c r="H35" s="8" t="str">
        <f ca="1">IFERROR(__xludf.DUMMYFUNCTION("""COMPUTED_VALUE"""),"Sean Langner")</f>
        <v>Sean Langner</v>
      </c>
      <c r="I35" s="9">
        <f ca="1">IFERROR(__xludf.DUMMYFUNCTION("""COMPUTED_VALUE"""),45358)</f>
        <v>45358</v>
      </c>
      <c r="J35" s="9">
        <f ca="1">IFERROR(__xludf.DUMMYFUNCTION("""COMPUTED_VALUE"""),45358)</f>
        <v>45358</v>
      </c>
      <c r="K35" s="8" t="str">
        <f ca="1">IFERROR(__xludf.DUMMYFUNCTION("""COMPUTED_VALUE"""),"PM")</f>
        <v>PM</v>
      </c>
      <c r="L35" s="8" t="str">
        <f ca="1">IFERROR(__xludf.DUMMYFUNCTION("""COMPUTED_VALUE"""),"3rd Grade")</f>
        <v>3rd Grade</v>
      </c>
      <c r="M35" s="8" t="str">
        <f ca="1">IFERROR(__xludf.DUMMYFUNCTION("""COMPUTED_VALUE"""),"ELA")</f>
        <v>ELA</v>
      </c>
      <c r="N35" s="8">
        <f ca="1">IFERROR(__xludf.DUMMYFUNCTION("""COMPUTED_VALUE"""),7)</f>
        <v>7</v>
      </c>
      <c r="O35" s="8" t="str">
        <f ca="1">IFERROR(__xludf.DUMMYFUNCTION("""COMPUTED_VALUE"""),"Proficient I")</f>
        <v>Proficient I</v>
      </c>
      <c r="P35" s="8">
        <f ca="1">IFERROR(__xludf.DUMMYFUNCTION("""COMPUTED_VALUE"""),1)</f>
        <v>1</v>
      </c>
      <c r="Q35" s="8">
        <f ca="1">IFERROR(__xludf.DUMMYFUNCTION("""COMPUTED_VALUE"""),2)</f>
        <v>2</v>
      </c>
      <c r="R35" s="8">
        <f ca="1">IFERROR(__xludf.DUMMYFUNCTION("""COMPUTED_VALUE"""),3)</f>
        <v>3</v>
      </c>
      <c r="S35" s="8">
        <f ca="1">IFERROR(__xludf.DUMMYFUNCTION("""COMPUTED_VALUE"""),1)</f>
        <v>1</v>
      </c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</row>
    <row r="36" spans="1:31" ht="13.15" x14ac:dyDescent="0.4">
      <c r="A36" s="8" t="s">
        <v>53</v>
      </c>
      <c r="B36" s="8" t="s">
        <v>55</v>
      </c>
      <c r="C36" s="8">
        <f ca="1">(COUNTIFS($E$2:$E966,"FEHL-PRICE",$H$2:$H966,"D.Thibedeaux"))</f>
        <v>12</v>
      </c>
      <c r="D36" s="8"/>
      <c r="E36" s="8" t="str">
        <f ca="1">IFERROR(__xludf.DUMMYFUNCTION("""COMPUTED_VALUE"""),"AAL")</f>
        <v>AAL</v>
      </c>
      <c r="F36" s="8" t="str">
        <f ca="1">IFERROR(__xludf.DUMMYFUNCTION("""COMPUTED_VALUE"""),"Core Subject No LSAE")</f>
        <v>Core Subject No LSAE</v>
      </c>
      <c r="G36" s="8" t="str">
        <f ca="1">IFERROR(__xludf.DUMMYFUNCTION("""COMPUTED_VALUE"""),"Adelyn Craddock")</f>
        <v>Adelyn Craddock</v>
      </c>
      <c r="H36" s="8" t="str">
        <f ca="1">IFERROR(__xludf.DUMMYFUNCTION("""COMPUTED_VALUE"""),"Sean Langner")</f>
        <v>Sean Langner</v>
      </c>
      <c r="I36" s="9">
        <f ca="1">IFERROR(__xludf.DUMMYFUNCTION("""COMPUTED_VALUE"""),45359)</f>
        <v>45359</v>
      </c>
      <c r="J36" s="9"/>
      <c r="K36" s="8" t="str">
        <f ca="1">IFERROR(__xludf.DUMMYFUNCTION("""COMPUTED_VALUE"""),"PM")</f>
        <v>PM</v>
      </c>
      <c r="L36" s="8" t="str">
        <f ca="1">IFERROR(__xludf.DUMMYFUNCTION("""COMPUTED_VALUE"""),"2nd Grade")</f>
        <v>2nd Grade</v>
      </c>
      <c r="M36" s="8" t="str">
        <f ca="1">IFERROR(__xludf.DUMMYFUNCTION("""COMPUTED_VALUE"""),"ELA")</f>
        <v>ELA</v>
      </c>
      <c r="N36" s="8">
        <f ca="1">IFERROR(__xludf.DUMMYFUNCTION("""COMPUTED_VALUE"""),8.5)</f>
        <v>8.5</v>
      </c>
      <c r="O36" s="8" t="str">
        <f ca="1">IFERROR(__xludf.DUMMYFUNCTION("""COMPUTED_VALUE"""),"Proficient II")</f>
        <v>Proficient II</v>
      </c>
      <c r="P36" s="8">
        <f ca="1">IFERROR(__xludf.DUMMYFUNCTION("""COMPUTED_VALUE"""),2)</f>
        <v>2</v>
      </c>
      <c r="Q36" s="8">
        <f ca="1">IFERROR(__xludf.DUMMYFUNCTION("""COMPUTED_VALUE"""),3)</f>
        <v>3</v>
      </c>
      <c r="R36" s="8">
        <f ca="1">IFERROR(__xludf.DUMMYFUNCTION("""COMPUTED_VALUE"""),3.5)</f>
        <v>3.5</v>
      </c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</row>
    <row r="37" spans="1:31" ht="13.15" x14ac:dyDescent="0.4">
      <c r="A37" s="8" t="s">
        <v>53</v>
      </c>
      <c r="B37" s="8" t="s">
        <v>56</v>
      </c>
      <c r="C37" s="8">
        <f ca="1">(COUNTIFS($E$2:$E966,"FEHL-PRICE",$H$2:$H966,"Makenzie Vandiver"))</f>
        <v>12</v>
      </c>
      <c r="D37" s="8"/>
      <c r="E37" s="8" t="str">
        <f ca="1">IFERROR(__xludf.DUMMYFUNCTION("""COMPUTED_VALUE"""),"AAL")</f>
        <v>AAL</v>
      </c>
      <c r="F37" s="8" t="str">
        <f ca="1">IFERROR(__xludf.DUMMYFUNCTION("""COMPUTED_VALUE"""),"K-1")</f>
        <v>K-1</v>
      </c>
      <c r="G37" s="8" t="str">
        <f ca="1">IFERROR(__xludf.DUMMYFUNCTION("""COMPUTED_VALUE"""),"Keri Weisheit")</f>
        <v>Keri Weisheit</v>
      </c>
      <c r="H37" s="8" t="str">
        <f ca="1">IFERROR(__xludf.DUMMYFUNCTION("""COMPUTED_VALUE"""),"Sean Langner")</f>
        <v>Sean Langner</v>
      </c>
      <c r="I37" s="9">
        <f ca="1">IFERROR(__xludf.DUMMYFUNCTION("""COMPUTED_VALUE"""),45359)</f>
        <v>45359</v>
      </c>
      <c r="J37" s="9"/>
      <c r="K37" s="8" t="str">
        <f ca="1">IFERROR(__xludf.DUMMYFUNCTION("""COMPUTED_VALUE"""),"AM")</f>
        <v>AM</v>
      </c>
      <c r="L37" s="11" t="str">
        <f ca="1">IFERROR(__xludf.DUMMYFUNCTION("""COMPUTED_VALUE"""),"Kindergarten")</f>
        <v>Kindergarten</v>
      </c>
      <c r="M37" s="8" t="str">
        <f ca="1">IFERROR(__xludf.DUMMYFUNCTION("""COMPUTED_VALUE"""),"Math")</f>
        <v>Math</v>
      </c>
      <c r="N37" s="8">
        <f ca="1">IFERROR(__xludf.DUMMYFUNCTION("""COMPUTED_VALUE"""),5)</f>
        <v>5</v>
      </c>
      <c r="O37" s="8" t="str">
        <f ca="1">IFERROR(__xludf.DUMMYFUNCTION("""COMPUTED_VALUE"""),"Progressing")</f>
        <v>Progressing</v>
      </c>
      <c r="P37" s="8">
        <f ca="1">IFERROR(__xludf.DUMMYFUNCTION("""COMPUTED_VALUE"""),1)</f>
        <v>1</v>
      </c>
      <c r="Q37" s="8">
        <f ca="1">IFERROR(__xludf.DUMMYFUNCTION("""COMPUTED_VALUE"""),1.5)</f>
        <v>1.5</v>
      </c>
      <c r="R37" s="8">
        <f ca="1">IFERROR(__xludf.DUMMYFUNCTION("""COMPUTED_VALUE"""),1.5)</f>
        <v>1.5</v>
      </c>
      <c r="S37" s="8">
        <f ca="1">IFERROR(__xludf.DUMMYFUNCTION("""COMPUTED_VALUE"""),1)</f>
        <v>1</v>
      </c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</row>
    <row r="38" spans="1:31" ht="13.15" x14ac:dyDescent="0.4">
      <c r="A38" s="8" t="s">
        <v>53</v>
      </c>
      <c r="B38" s="8" t="s">
        <v>57</v>
      </c>
      <c r="C38" s="8">
        <f ca="1">(COUNTIFS($E$2:$E966,"FEHL-PRICE",$H$2:$H966,"Clarissa Wilson"))</f>
        <v>11</v>
      </c>
      <c r="D38" s="8"/>
      <c r="E38" s="8" t="str">
        <f ca="1">IFERROR(__xludf.DUMMYFUNCTION("""COMPUTED_VALUE"""),"AAL")</f>
        <v>AAL</v>
      </c>
      <c r="F38" s="8" t="str">
        <f ca="1">IFERROR(__xludf.DUMMYFUNCTION("""COMPUTED_VALUE"""),"Learning Coach")</f>
        <v>Learning Coach</v>
      </c>
      <c r="G38" s="8" t="str">
        <f ca="1">IFERROR(__xludf.DUMMYFUNCTION("""COMPUTED_VALUE"""),"Thomas Yeh")</f>
        <v>Thomas Yeh</v>
      </c>
      <c r="H38" s="8" t="str">
        <f ca="1">IFERROR(__xludf.DUMMYFUNCTION("""COMPUTED_VALUE"""),"Sean Langner")</f>
        <v>Sean Langner</v>
      </c>
      <c r="I38" s="9">
        <f ca="1">IFERROR(__xludf.DUMMYFUNCTION("""COMPUTED_VALUE"""),45359)</f>
        <v>45359</v>
      </c>
      <c r="J38" s="9"/>
      <c r="K38" s="8" t="str">
        <f ca="1">IFERROR(__xludf.DUMMYFUNCTION("""COMPUTED_VALUE"""),"AM")</f>
        <v>AM</v>
      </c>
      <c r="L38" s="8"/>
      <c r="M38" s="8"/>
      <c r="N38" s="8">
        <f ca="1">IFERROR(__xludf.DUMMYFUNCTION("""COMPUTED_VALUE"""),7.5)</f>
        <v>7.5</v>
      </c>
      <c r="O38" s="8" t="str">
        <f ca="1">IFERROR(__xludf.DUMMYFUNCTION("""COMPUTED_VALUE"""),"Proficient I")</f>
        <v>Proficient I</v>
      </c>
      <c r="P38" s="8">
        <f ca="1">IFERROR(__xludf.DUMMYFUNCTION("""COMPUTED_VALUE"""),2)</f>
        <v>2</v>
      </c>
      <c r="Q38" s="8">
        <f ca="1">IFERROR(__xludf.DUMMYFUNCTION("""COMPUTED_VALUE"""),3.5)</f>
        <v>3.5</v>
      </c>
      <c r="R38" s="8">
        <f ca="1">IFERROR(__xludf.DUMMYFUNCTION("""COMPUTED_VALUE"""),2)</f>
        <v>2</v>
      </c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</row>
    <row r="39" spans="1:31" ht="13.15" x14ac:dyDescent="0.4">
      <c r="A39" s="8" t="s">
        <v>58</v>
      </c>
      <c r="B39" s="8" t="s">
        <v>59</v>
      </c>
      <c r="C39" s="8">
        <f ca="1">(COUNTIFS($E$2:$E966,"JONES-CLARK",$H$2:$H966,"Da'Lisa Hatcher"))</f>
        <v>13</v>
      </c>
      <c r="D39" s="8"/>
      <c r="E39" s="8" t="str">
        <f ca="1">IFERROR(__xludf.DUMMYFUNCTION("""COMPUTED_VALUE"""),"AAL")</f>
        <v>AAL</v>
      </c>
      <c r="F39" s="8" t="str">
        <f ca="1">IFERROR(__xludf.DUMMYFUNCTION("""COMPUTED_VALUE"""),"ELL/SPED")</f>
        <v>ELL/SPED</v>
      </c>
      <c r="G39" s="8" t="str">
        <f ca="1">IFERROR(__xludf.DUMMYFUNCTION("""COMPUTED_VALUE"""),"MJ Chimes")</f>
        <v>MJ Chimes</v>
      </c>
      <c r="H39" s="8" t="str">
        <f ca="1">IFERROR(__xludf.DUMMYFUNCTION("""COMPUTED_VALUE"""),"Stephanie McClendon")</f>
        <v>Stephanie McClendon</v>
      </c>
      <c r="I39" s="9">
        <f ca="1">IFERROR(__xludf.DUMMYFUNCTION("""COMPUTED_VALUE"""),45355)</f>
        <v>45355</v>
      </c>
      <c r="J39" s="9">
        <f ca="1">IFERROR(__xludf.DUMMYFUNCTION("""COMPUTED_VALUE"""),45355)</f>
        <v>45355</v>
      </c>
      <c r="K39" s="8" t="str">
        <f ca="1">IFERROR(__xludf.DUMMYFUNCTION("""COMPUTED_VALUE"""),"AM")</f>
        <v>AM</v>
      </c>
      <c r="L39" s="8" t="str">
        <f ca="1">IFERROR(__xludf.DUMMYFUNCTION("""COMPUTED_VALUE"""),"4th Grade")</f>
        <v>4th Grade</v>
      </c>
      <c r="M39" s="8"/>
      <c r="N39" s="8">
        <f ca="1">IFERROR(__xludf.DUMMYFUNCTION("""COMPUTED_VALUE"""),5)</f>
        <v>5</v>
      </c>
      <c r="O39" s="8" t="str">
        <f ca="1">IFERROR(__xludf.DUMMYFUNCTION("""COMPUTED_VALUE"""),"Proficient I")</f>
        <v>Proficient I</v>
      </c>
      <c r="P39" s="8">
        <f ca="1">IFERROR(__xludf.DUMMYFUNCTION("""COMPUTED_VALUE"""),2)</f>
        <v>2</v>
      </c>
      <c r="Q39" s="8">
        <f ca="1">IFERROR(__xludf.DUMMYFUNCTION("""COMPUTED_VALUE"""),1)</f>
        <v>1</v>
      </c>
      <c r="R39" s="8">
        <f ca="1">IFERROR(__xludf.DUMMYFUNCTION("""COMPUTED_VALUE"""),2)</f>
        <v>2</v>
      </c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</row>
    <row r="40" spans="1:31" ht="13.15" x14ac:dyDescent="0.4">
      <c r="A40" s="8" t="s">
        <v>58</v>
      </c>
      <c r="B40" s="8" t="s">
        <v>60</v>
      </c>
      <c r="C40" s="8">
        <f ca="1">(COUNTIFS($E$2:$E966,"JONES-CLARK",$H$2:$H966,"Desmond Bridges Sr."))</f>
        <v>11</v>
      </c>
      <c r="D40" s="8"/>
      <c r="E40" s="8" t="str">
        <f ca="1">IFERROR(__xludf.DUMMYFUNCTION("""COMPUTED_VALUE"""),"AAL")</f>
        <v>AAL</v>
      </c>
      <c r="F40" s="8" t="str">
        <f ca="1">IFERROR(__xludf.DUMMYFUNCTION("""COMPUTED_VALUE"""),"Learning Coach")</f>
        <v>Learning Coach</v>
      </c>
      <c r="G40" s="8" t="str">
        <f ca="1">IFERROR(__xludf.DUMMYFUNCTION("""COMPUTED_VALUE"""),"Stephanie Protsman")</f>
        <v>Stephanie Protsman</v>
      </c>
      <c r="H40" s="8" t="str">
        <f ca="1">IFERROR(__xludf.DUMMYFUNCTION("""COMPUTED_VALUE"""),"Stephanie McClendon")</f>
        <v>Stephanie McClendon</v>
      </c>
      <c r="I40" s="9">
        <f ca="1">IFERROR(__xludf.DUMMYFUNCTION("""COMPUTED_VALUE"""),45356)</f>
        <v>45356</v>
      </c>
      <c r="J40" s="9">
        <f ca="1">IFERROR(__xludf.DUMMYFUNCTION("""COMPUTED_VALUE"""),45356)</f>
        <v>45356</v>
      </c>
      <c r="K40" s="8" t="str">
        <f ca="1">IFERROR(__xludf.DUMMYFUNCTION("""COMPUTED_VALUE"""),"AM")</f>
        <v>AM</v>
      </c>
      <c r="L40" s="8"/>
      <c r="M40" s="8"/>
      <c r="N40" s="8">
        <f ca="1">IFERROR(__xludf.DUMMYFUNCTION("""COMPUTED_VALUE"""),8)</f>
        <v>8</v>
      </c>
      <c r="O40" s="8" t="str">
        <f ca="1">IFERROR(__xludf.DUMMYFUNCTION("""COMPUTED_VALUE"""),"Proficient II")</f>
        <v>Proficient II</v>
      </c>
      <c r="P40" s="8">
        <f ca="1">IFERROR(__xludf.DUMMYFUNCTION("""COMPUTED_VALUE"""),2)</f>
        <v>2</v>
      </c>
      <c r="Q40" s="8">
        <f ca="1">IFERROR(__xludf.DUMMYFUNCTION("""COMPUTED_VALUE"""),3)</f>
        <v>3</v>
      </c>
      <c r="R40" s="8">
        <f ca="1">IFERROR(__xludf.DUMMYFUNCTION("""COMPUTED_VALUE"""),3)</f>
        <v>3</v>
      </c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</row>
    <row r="41" spans="1:31" ht="13.15" x14ac:dyDescent="0.4">
      <c r="A41" s="8" t="s">
        <v>58</v>
      </c>
      <c r="B41" s="8" t="s">
        <v>61</v>
      </c>
      <c r="C41" s="8">
        <f ca="1">(COUNTIFS($E$2:$E966,"JONES-CLARK",$H$2:$H966,"Yvette Isom-Drake"))</f>
        <v>6</v>
      </c>
      <c r="D41" s="8"/>
      <c r="E41" s="8" t="str">
        <f ca="1">IFERROR(__xludf.DUMMYFUNCTION("""COMPUTED_VALUE"""),"AAL")</f>
        <v>AAL</v>
      </c>
      <c r="F41" s="8" t="str">
        <f ca="1">IFERROR(__xludf.DUMMYFUNCTION("""COMPUTED_VALUE"""),"Learning Coach")</f>
        <v>Learning Coach</v>
      </c>
      <c r="G41" s="8" t="str">
        <f ca="1">IFERROR(__xludf.DUMMYFUNCTION("""COMPUTED_VALUE"""),"Linda Doss")</f>
        <v>Linda Doss</v>
      </c>
      <c r="H41" s="8" t="str">
        <f ca="1">IFERROR(__xludf.DUMMYFUNCTION("""COMPUTED_VALUE"""),"Stephanie McClendon")</f>
        <v>Stephanie McClendon</v>
      </c>
      <c r="I41" s="9">
        <f ca="1">IFERROR(__xludf.DUMMYFUNCTION("""COMPUTED_VALUE"""),45357)</f>
        <v>45357</v>
      </c>
      <c r="J41" s="9">
        <f ca="1">IFERROR(__xludf.DUMMYFUNCTION("""COMPUTED_VALUE"""),45357)</f>
        <v>45357</v>
      </c>
      <c r="K41" s="8" t="str">
        <f ca="1">IFERROR(__xludf.DUMMYFUNCTION("""COMPUTED_VALUE"""),"AM")</f>
        <v>AM</v>
      </c>
      <c r="L41" s="8"/>
      <c r="M41" s="8"/>
      <c r="N41" s="8">
        <f ca="1">IFERROR(__xludf.DUMMYFUNCTION("""COMPUTED_VALUE"""),9)</f>
        <v>9</v>
      </c>
      <c r="O41" s="8" t="str">
        <f ca="1">IFERROR(__xludf.DUMMYFUNCTION("""COMPUTED_VALUE"""),"Proficient II")</f>
        <v>Proficient II</v>
      </c>
      <c r="P41" s="8">
        <f ca="1">IFERROR(__xludf.DUMMYFUNCTION("""COMPUTED_VALUE"""),2)</f>
        <v>2</v>
      </c>
      <c r="Q41" s="8">
        <f ca="1">IFERROR(__xludf.DUMMYFUNCTION("""COMPUTED_VALUE"""),4)</f>
        <v>4</v>
      </c>
      <c r="R41" s="8">
        <f ca="1">IFERROR(__xludf.DUMMYFUNCTION("""COMPUTED_VALUE"""),3)</f>
        <v>3</v>
      </c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</row>
    <row r="42" spans="1:31" ht="13.15" x14ac:dyDescent="0.4">
      <c r="A42" s="8" t="s">
        <v>62</v>
      </c>
      <c r="B42" s="8" t="s">
        <v>63</v>
      </c>
      <c r="C42" s="8">
        <f ca="1">(COUNTIFS($E$2:$E966,"SMITH",$H$2:$H966,"Loretta Mack"))</f>
        <v>10</v>
      </c>
      <c r="D42" s="8"/>
      <c r="E42" s="8" t="str">
        <f ca="1">IFERROR(__xludf.DUMMYFUNCTION("""COMPUTED_VALUE"""),"AAL")</f>
        <v>AAL</v>
      </c>
      <c r="F42" s="8" t="str">
        <f ca="1">IFERROR(__xludf.DUMMYFUNCTION("""COMPUTED_VALUE"""),"Learning Coach")</f>
        <v>Learning Coach</v>
      </c>
      <c r="G42" s="8" t="str">
        <f ca="1">IFERROR(__xludf.DUMMYFUNCTION("""COMPUTED_VALUE"""),"Alexis Mares")</f>
        <v>Alexis Mares</v>
      </c>
      <c r="H42" s="8" t="str">
        <f ca="1">IFERROR(__xludf.DUMMYFUNCTION("""COMPUTED_VALUE"""),"Stephanie McClendon")</f>
        <v>Stephanie McClendon</v>
      </c>
      <c r="I42" s="9">
        <f ca="1">IFERROR(__xludf.DUMMYFUNCTION("""COMPUTED_VALUE"""),45357)</f>
        <v>45357</v>
      </c>
      <c r="J42" s="9">
        <f ca="1">IFERROR(__xludf.DUMMYFUNCTION("""COMPUTED_VALUE"""),45357)</f>
        <v>45357</v>
      </c>
      <c r="K42" s="8" t="str">
        <f ca="1">IFERROR(__xludf.DUMMYFUNCTION("""COMPUTED_VALUE"""),"AM")</f>
        <v>AM</v>
      </c>
      <c r="L42" s="8"/>
      <c r="M42" s="8"/>
      <c r="N42" s="8">
        <f ca="1">IFERROR(__xludf.DUMMYFUNCTION("""COMPUTED_VALUE"""),7)</f>
        <v>7</v>
      </c>
      <c r="O42" s="8" t="str">
        <f ca="1">IFERROR(__xludf.DUMMYFUNCTION("""COMPUTED_VALUE"""),"Proficient I")</f>
        <v>Proficient I</v>
      </c>
      <c r="P42" s="8">
        <f ca="1">IFERROR(__xludf.DUMMYFUNCTION("""COMPUTED_VALUE"""),2)</f>
        <v>2</v>
      </c>
      <c r="Q42" s="8">
        <f ca="1">IFERROR(__xludf.DUMMYFUNCTION("""COMPUTED_VALUE"""),2.5)</f>
        <v>2.5</v>
      </c>
      <c r="R42" s="8">
        <f ca="1">IFERROR(__xludf.DUMMYFUNCTION("""COMPUTED_VALUE"""),2.5)</f>
        <v>2.5</v>
      </c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</row>
    <row r="43" spans="1:31" ht="13.15" x14ac:dyDescent="0.4">
      <c r="A43" s="8" t="s">
        <v>62</v>
      </c>
      <c r="B43" s="8" t="s">
        <v>64</v>
      </c>
      <c r="C43" s="8">
        <f ca="1">(COUNTIFS($E$2:$E966,"SMITH",$H$2:$H966,"Sarah Flores"))</f>
        <v>10</v>
      </c>
      <c r="D43" s="8"/>
      <c r="E43" s="8" t="str">
        <f ca="1">IFERROR(__xludf.DUMMYFUNCTION("""COMPUTED_VALUE"""),"AAL")</f>
        <v>AAL</v>
      </c>
      <c r="F43" s="8" t="str">
        <f ca="1">IFERROR(__xludf.DUMMYFUNCTION("""COMPUTED_VALUE"""),"Learning Coach")</f>
        <v>Learning Coach</v>
      </c>
      <c r="G43" s="8" t="str">
        <f ca="1">IFERROR(__xludf.DUMMYFUNCTION("""COMPUTED_VALUE"""),"Cam Stevens")</f>
        <v>Cam Stevens</v>
      </c>
      <c r="H43" s="8" t="str">
        <f ca="1">IFERROR(__xludf.DUMMYFUNCTION("""COMPUTED_VALUE"""),"Stephanie McClendon")</f>
        <v>Stephanie McClendon</v>
      </c>
      <c r="I43" s="9">
        <f ca="1">IFERROR(__xludf.DUMMYFUNCTION("""COMPUTED_VALUE"""),45357)</f>
        <v>45357</v>
      </c>
      <c r="J43" s="9"/>
      <c r="K43" s="8" t="str">
        <f ca="1">IFERROR(__xludf.DUMMYFUNCTION("""COMPUTED_VALUE"""),"AM")</f>
        <v>AM</v>
      </c>
      <c r="L43" s="8"/>
      <c r="M43" s="8"/>
      <c r="N43" s="8">
        <f ca="1">IFERROR(__xludf.DUMMYFUNCTION("""COMPUTED_VALUE"""),8)</f>
        <v>8</v>
      </c>
      <c r="O43" s="8" t="str">
        <f ca="1">IFERROR(__xludf.DUMMYFUNCTION("""COMPUTED_VALUE"""),"Proficient II")</f>
        <v>Proficient II</v>
      </c>
      <c r="P43" s="8">
        <f ca="1">IFERROR(__xludf.DUMMYFUNCTION("""COMPUTED_VALUE"""),2)</f>
        <v>2</v>
      </c>
      <c r="Q43" s="8">
        <f ca="1">IFERROR(__xludf.DUMMYFUNCTION("""COMPUTED_VALUE"""),3)</f>
        <v>3</v>
      </c>
      <c r="R43" s="8">
        <f ca="1">IFERROR(__xludf.DUMMYFUNCTION("""COMPUTED_VALUE"""),3)</f>
        <v>3</v>
      </c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</row>
    <row r="44" spans="1:31" ht="13.15" x14ac:dyDescent="0.4">
      <c r="A44" s="8" t="s">
        <v>62</v>
      </c>
      <c r="B44" s="8" t="s">
        <v>65</v>
      </c>
      <c r="C44" s="8">
        <f ca="1">(COUNTIFS($E$2:$E966,"SMITH",$H$2:$H966,"Velma Guidry"))</f>
        <v>10</v>
      </c>
      <c r="D44" s="8"/>
      <c r="E44" s="8" t="str">
        <f ca="1">IFERROR(__xludf.DUMMYFUNCTION("""COMPUTED_VALUE"""),"AAL")</f>
        <v>AAL</v>
      </c>
      <c r="F44" s="8" t="str">
        <f ca="1">IFERROR(__xludf.DUMMYFUNCTION("""COMPUTED_VALUE"""),"Teacher Apprentice")</f>
        <v>Teacher Apprentice</v>
      </c>
      <c r="G44" s="8" t="str">
        <f ca="1">IFERROR(__xludf.DUMMYFUNCTION("""COMPUTED_VALUE"""),"Dwan Cribbs")</f>
        <v>Dwan Cribbs</v>
      </c>
      <c r="H44" s="8" t="str">
        <f ca="1">IFERROR(__xludf.DUMMYFUNCTION("""COMPUTED_VALUE"""),"Stephanie McClendon")</f>
        <v>Stephanie McClendon</v>
      </c>
      <c r="I44" s="9">
        <f ca="1">IFERROR(__xludf.DUMMYFUNCTION("""COMPUTED_VALUE"""),45358)</f>
        <v>45358</v>
      </c>
      <c r="J44" s="9">
        <f ca="1">IFERROR(__xludf.DUMMYFUNCTION("""COMPUTED_VALUE"""),45358)</f>
        <v>45358</v>
      </c>
      <c r="K44" s="8" t="str">
        <f ca="1">IFERROR(__xludf.DUMMYFUNCTION("""COMPUTED_VALUE"""),"AM")</f>
        <v>AM</v>
      </c>
      <c r="L44" s="11" t="str">
        <f ca="1">IFERROR(__xludf.DUMMYFUNCTION("""COMPUTED_VALUE"""),"5th Grade")</f>
        <v>5th Grade</v>
      </c>
      <c r="M44" s="8" t="str">
        <f ca="1">IFERROR(__xludf.DUMMYFUNCTION("""COMPUTED_VALUE"""),"ELA")</f>
        <v>ELA</v>
      </c>
      <c r="N44" s="8">
        <f ca="1">IFERROR(__xludf.DUMMYFUNCTION("""COMPUTED_VALUE"""),6.5)</f>
        <v>6.5</v>
      </c>
      <c r="O44" s="8" t="str">
        <f ca="1">IFERROR(__xludf.DUMMYFUNCTION("""COMPUTED_VALUE"""),"Proficient I")</f>
        <v>Proficient I</v>
      </c>
      <c r="P44" s="8">
        <f ca="1">IFERROR(__xludf.DUMMYFUNCTION("""COMPUTED_VALUE"""),1)</f>
        <v>1</v>
      </c>
      <c r="Q44" s="8">
        <f ca="1">IFERROR(__xludf.DUMMYFUNCTION("""COMPUTED_VALUE"""),2)</f>
        <v>2</v>
      </c>
      <c r="R44" s="8">
        <f ca="1">IFERROR(__xludf.DUMMYFUNCTION("""COMPUTED_VALUE"""),2.5)</f>
        <v>2.5</v>
      </c>
      <c r="S44" s="8">
        <f ca="1">IFERROR(__xludf.DUMMYFUNCTION("""COMPUTED_VALUE"""),1)</f>
        <v>1</v>
      </c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</row>
    <row r="45" spans="1:31" ht="13.15" x14ac:dyDescent="0.4">
      <c r="A45" s="8" t="s">
        <v>62</v>
      </c>
      <c r="B45" s="8" t="s">
        <v>66</v>
      </c>
      <c r="C45" s="8">
        <f ca="1">(COUNTIFS($E$2:$E966,"SMITH",$H$2:$H966,"Pamela Kemajou"))</f>
        <v>10</v>
      </c>
      <c r="D45" s="8"/>
      <c r="E45" s="8" t="str">
        <f ca="1">IFERROR(__xludf.DUMMYFUNCTION("""COMPUTED_VALUE"""),"AAL")</f>
        <v>AAL</v>
      </c>
      <c r="F45" s="8" t="str">
        <f ca="1">IFERROR(__xludf.DUMMYFUNCTION("""COMPUTED_VALUE"""),"Core Subject No LSAE")</f>
        <v>Core Subject No LSAE</v>
      </c>
      <c r="G45" s="8" t="str">
        <f ca="1">IFERROR(__xludf.DUMMYFUNCTION("""COMPUTED_VALUE"""),"Steve Seitz")</f>
        <v>Steve Seitz</v>
      </c>
      <c r="H45" s="8" t="str">
        <f ca="1">IFERROR(__xludf.DUMMYFUNCTION("""COMPUTED_VALUE"""),"Stephanie McClendon")</f>
        <v>Stephanie McClendon</v>
      </c>
      <c r="I45" s="9">
        <f ca="1">IFERROR(__xludf.DUMMYFUNCTION("""COMPUTED_VALUE"""),45359)</f>
        <v>45359</v>
      </c>
      <c r="J45" s="9">
        <f ca="1">IFERROR(__xludf.DUMMYFUNCTION("""COMPUTED_VALUE"""),45359)</f>
        <v>45359</v>
      </c>
      <c r="K45" s="8" t="str">
        <f ca="1">IFERROR(__xludf.DUMMYFUNCTION("""COMPUTED_VALUE"""),"AM")</f>
        <v>AM</v>
      </c>
      <c r="L45" s="8" t="str">
        <f ca="1">IFERROR(__xludf.DUMMYFUNCTION("""COMPUTED_VALUE"""),"6th Grade")</f>
        <v>6th Grade</v>
      </c>
      <c r="M45" s="8" t="str">
        <f ca="1">IFERROR(__xludf.DUMMYFUNCTION("""COMPUTED_VALUE"""),"Science")</f>
        <v>Science</v>
      </c>
      <c r="N45" s="8">
        <f ca="1">IFERROR(__xludf.DUMMYFUNCTION("""COMPUTED_VALUE"""),6)</f>
        <v>6</v>
      </c>
      <c r="O45" s="8" t="str">
        <f ca="1">IFERROR(__xludf.DUMMYFUNCTION("""COMPUTED_VALUE"""),"Proficient I")</f>
        <v>Proficient I</v>
      </c>
      <c r="P45" s="8">
        <f ca="1">IFERROR(__xludf.DUMMYFUNCTION("""COMPUTED_VALUE"""),2)</f>
        <v>2</v>
      </c>
      <c r="Q45" s="8">
        <f ca="1">IFERROR(__xludf.DUMMYFUNCTION("""COMPUTED_VALUE"""),2)</f>
        <v>2</v>
      </c>
      <c r="R45" s="8">
        <f ca="1">IFERROR(__xludf.DUMMYFUNCTION("""COMPUTED_VALUE"""),2)</f>
        <v>2</v>
      </c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</row>
    <row r="46" spans="1:31" ht="13.15" x14ac:dyDescent="0.4">
      <c r="A46" s="8" t="s">
        <v>67</v>
      </c>
      <c r="B46" s="8" t="s">
        <v>68</v>
      </c>
      <c r="C46" s="8">
        <f ca="1">(COUNTIFS($E$2:$E966,"MENDEZ",$H$2:$H966,"Elizabeth Miranda"))</f>
        <v>2</v>
      </c>
      <c r="D46" s="8"/>
      <c r="E46" s="8" t="str">
        <f ca="1">IFERROR(__xludf.DUMMYFUNCTION("""COMPUTED_VALUE"""),"AAL")</f>
        <v>AAL</v>
      </c>
      <c r="F46" s="8" t="str">
        <f ca="1">IFERROR(__xludf.DUMMYFUNCTION("""COMPUTED_VALUE"""),"Learning Coach")</f>
        <v>Learning Coach</v>
      </c>
      <c r="G46" s="8" t="str">
        <f ca="1">IFERROR(__xludf.DUMMYFUNCTION("""COMPUTED_VALUE"""),"Linda Doss")</f>
        <v>Linda Doss</v>
      </c>
      <c r="H46" s="8" t="str">
        <f ca="1">IFERROR(__xludf.DUMMYFUNCTION("""COMPUTED_VALUE"""),"Stephanie McClendon")</f>
        <v>Stephanie McClendon</v>
      </c>
      <c r="I46" s="9">
        <f ca="1">IFERROR(__xludf.DUMMYFUNCTION("""COMPUTED_VALUE"""),45359)</f>
        <v>45359</v>
      </c>
      <c r="J46" s="9"/>
      <c r="K46" s="8" t="str">
        <f ca="1">IFERROR(__xludf.DUMMYFUNCTION("""COMPUTED_VALUE"""),"PM")</f>
        <v>PM</v>
      </c>
      <c r="L46" s="8"/>
      <c r="M46" s="8"/>
      <c r="N46" s="8">
        <f ca="1">IFERROR(__xludf.DUMMYFUNCTION("""COMPUTED_VALUE"""),8.5)</f>
        <v>8.5</v>
      </c>
      <c r="O46" s="8" t="str">
        <f ca="1">IFERROR(__xludf.DUMMYFUNCTION("""COMPUTED_VALUE"""),"Proficient II")</f>
        <v>Proficient II</v>
      </c>
      <c r="P46" s="8">
        <f ca="1">IFERROR(__xludf.DUMMYFUNCTION("""COMPUTED_VALUE"""),2)</f>
        <v>2</v>
      </c>
      <c r="Q46" s="8">
        <f ca="1">IFERROR(__xludf.DUMMYFUNCTION("""COMPUTED_VALUE"""),3.5)</f>
        <v>3.5</v>
      </c>
      <c r="R46" s="8">
        <f ca="1">IFERROR(__xludf.DUMMYFUNCTION("""COMPUTED_VALUE"""),3)</f>
        <v>3</v>
      </c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</row>
    <row r="47" spans="1:31" ht="13.15" x14ac:dyDescent="0.4">
      <c r="A47" s="8" t="s">
        <v>67</v>
      </c>
      <c r="B47" s="8" t="s">
        <v>69</v>
      </c>
      <c r="C47" s="8">
        <f ca="1">(COUNTIFS($E$2:$E966,"MENDEZ",$H$2:$H966,"Jeremiah Willis"))</f>
        <v>5</v>
      </c>
      <c r="D47" s="8"/>
      <c r="E47" s="8" t="str">
        <f ca="1">IFERROR(__xludf.DUMMYFUNCTION("""COMPUTED_VALUE"""),"AAL")</f>
        <v>AAL</v>
      </c>
      <c r="F47" s="8" t="str">
        <f ca="1">IFERROR(__xludf.DUMMYFUNCTION("""COMPUTED_VALUE"""),"Learning Coach")</f>
        <v>Learning Coach</v>
      </c>
      <c r="G47" s="8" t="str">
        <f ca="1">IFERROR(__xludf.DUMMYFUNCTION("""COMPUTED_VALUE"""),"Skylar Smith")</f>
        <v>Skylar Smith</v>
      </c>
      <c r="H47" s="8" t="str">
        <f ca="1">IFERROR(__xludf.DUMMYFUNCTION("""COMPUTED_VALUE"""),"Stephanie McClendon")</f>
        <v>Stephanie McClendon</v>
      </c>
      <c r="I47" s="9">
        <f ca="1">IFERROR(__xludf.DUMMYFUNCTION("""COMPUTED_VALUE"""),45359)</f>
        <v>45359</v>
      </c>
      <c r="J47" s="9">
        <f ca="1">IFERROR(__xludf.DUMMYFUNCTION("""COMPUTED_VALUE"""),45359)</f>
        <v>45359</v>
      </c>
      <c r="K47" s="8" t="str">
        <f ca="1">IFERROR(__xludf.DUMMYFUNCTION("""COMPUTED_VALUE"""),"AM")</f>
        <v>AM</v>
      </c>
      <c r="L47" s="8"/>
      <c r="M47" s="8"/>
      <c r="N47" s="8">
        <f ca="1">IFERROR(__xludf.DUMMYFUNCTION("""COMPUTED_VALUE"""),8)</f>
        <v>8</v>
      </c>
      <c r="O47" s="8" t="str">
        <f ca="1">IFERROR(__xludf.DUMMYFUNCTION("""COMPUTED_VALUE"""),"Proficient II")</f>
        <v>Proficient II</v>
      </c>
      <c r="P47" s="8">
        <f ca="1">IFERROR(__xludf.DUMMYFUNCTION("""COMPUTED_VALUE"""),2)</f>
        <v>2</v>
      </c>
      <c r="Q47" s="8">
        <f ca="1">IFERROR(__xludf.DUMMYFUNCTION("""COMPUTED_VALUE"""),3.5)</f>
        <v>3.5</v>
      </c>
      <c r="R47" s="8">
        <f ca="1">IFERROR(__xludf.DUMMYFUNCTION("""COMPUTED_VALUE"""),2.5)</f>
        <v>2.5</v>
      </c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</row>
    <row r="48" spans="1:31" ht="13.15" x14ac:dyDescent="0.4">
      <c r="A48" s="8" t="s">
        <v>70</v>
      </c>
      <c r="B48" s="8" t="s">
        <v>71</v>
      </c>
      <c r="C48" s="8">
        <f ca="1">(COUNTIFS($E$2:$E966,"PRESCOTT",$H$2:$H966,"Cleotha Johnigan"))</f>
        <v>11</v>
      </c>
      <c r="D48" s="8"/>
      <c r="E48" s="8" t="str">
        <f ca="1">IFERROR(__xludf.DUMMYFUNCTION("""COMPUTED_VALUE"""),"COPERNI")</f>
        <v>COPERNI</v>
      </c>
      <c r="F48" s="8" t="str">
        <f ca="1">IFERROR(__xludf.DUMMYFUNCTION("""COMPUTED_VALUE"""),"Core Subject No LSAE")</f>
        <v>Core Subject No LSAE</v>
      </c>
      <c r="G48" s="8" t="str">
        <f ca="1">IFERROR(__xludf.DUMMYFUNCTION("""COMPUTED_VALUE"""),"Heather Bowen")</f>
        <v>Heather Bowen</v>
      </c>
      <c r="H48" s="8" t="str">
        <f ca="1">IFERROR(__xludf.DUMMYFUNCTION("""COMPUTED_VALUE"""),"Noel Mercado")</f>
        <v>Noel Mercado</v>
      </c>
      <c r="I48" s="9">
        <f ca="1">IFERROR(__xludf.DUMMYFUNCTION("""COMPUTED_VALUE"""),45355)</f>
        <v>45355</v>
      </c>
      <c r="J48" s="9">
        <f ca="1">IFERROR(__xludf.DUMMYFUNCTION("""COMPUTED_VALUE"""),45357)</f>
        <v>45357</v>
      </c>
      <c r="K48" s="8" t="str">
        <f ca="1">IFERROR(__xludf.DUMMYFUNCTION("""COMPUTED_VALUE"""),"AM")</f>
        <v>AM</v>
      </c>
      <c r="L48" s="8" t="str">
        <f ca="1">IFERROR(__xludf.DUMMYFUNCTION("""COMPUTED_VALUE"""),"4th Grade")</f>
        <v>4th Grade</v>
      </c>
      <c r="M48" s="8" t="str">
        <f ca="1">IFERROR(__xludf.DUMMYFUNCTION("""COMPUTED_VALUE"""),"ELA")</f>
        <v>ELA</v>
      </c>
      <c r="N48" s="8">
        <f ca="1">IFERROR(__xludf.DUMMYFUNCTION("""COMPUTED_VALUE"""),6)</f>
        <v>6</v>
      </c>
      <c r="O48" s="8" t="str">
        <f ca="1">IFERROR(__xludf.DUMMYFUNCTION("""COMPUTED_VALUE"""),"Proficient I")</f>
        <v>Proficient I</v>
      </c>
      <c r="P48" s="8">
        <f ca="1">IFERROR(__xludf.DUMMYFUNCTION("""COMPUTED_VALUE"""),2)</f>
        <v>2</v>
      </c>
      <c r="Q48" s="8">
        <f ca="1">IFERROR(__xludf.DUMMYFUNCTION("""COMPUTED_VALUE"""),2)</f>
        <v>2</v>
      </c>
      <c r="R48" s="8">
        <f ca="1">IFERROR(__xludf.DUMMYFUNCTION("""COMPUTED_VALUE"""),2)</f>
        <v>2</v>
      </c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</row>
    <row r="49" spans="1:31" ht="13.15" x14ac:dyDescent="0.4">
      <c r="A49" s="8" t="s">
        <v>70</v>
      </c>
      <c r="B49" s="8" t="s">
        <v>72</v>
      </c>
      <c r="C49" s="8">
        <f ca="1">(COUNTIFS($E$2:$E966,"PRESCOTT",$H$2:$H966,"Francine Pewee"))</f>
        <v>5</v>
      </c>
      <c r="D49" s="8"/>
      <c r="E49" s="8" t="str">
        <f ca="1">IFERROR(__xludf.DUMMYFUNCTION("""COMPUTED_VALUE"""),"COPERNI")</f>
        <v>COPERNI</v>
      </c>
      <c r="F49" s="8" t="str">
        <f ca="1">IFERROR(__xludf.DUMMYFUNCTION("""COMPUTED_VALUE"""),"Core Subject No LSAE")</f>
        <v>Core Subject No LSAE</v>
      </c>
      <c r="G49" s="8" t="str">
        <f ca="1">IFERROR(__xludf.DUMMYFUNCTION("""COMPUTED_VALUE"""),"Dana Greek")</f>
        <v>Dana Greek</v>
      </c>
      <c r="H49" s="8" t="str">
        <f ca="1">IFERROR(__xludf.DUMMYFUNCTION("""COMPUTED_VALUE"""),"Noel Mercado")</f>
        <v>Noel Mercado</v>
      </c>
      <c r="I49" s="9">
        <f ca="1">IFERROR(__xludf.DUMMYFUNCTION("""COMPUTED_VALUE"""),45355)</f>
        <v>45355</v>
      </c>
      <c r="J49" s="9"/>
      <c r="K49" s="8" t="str">
        <f ca="1">IFERROR(__xludf.DUMMYFUNCTION("""COMPUTED_VALUE"""),"PM")</f>
        <v>PM</v>
      </c>
      <c r="L49" s="8" t="str">
        <f ca="1">IFERROR(__xludf.DUMMYFUNCTION("""COMPUTED_VALUE"""),"5th Grade")</f>
        <v>5th Grade</v>
      </c>
      <c r="M49" s="8" t="str">
        <f ca="1">IFERROR(__xludf.DUMMYFUNCTION("""COMPUTED_VALUE"""),"Science")</f>
        <v>Science</v>
      </c>
      <c r="N49" s="8">
        <f ca="1">IFERROR(__xludf.DUMMYFUNCTION("""COMPUTED_VALUE"""),5.5)</f>
        <v>5.5</v>
      </c>
      <c r="O49" s="8" t="str">
        <f ca="1">IFERROR(__xludf.DUMMYFUNCTION("""COMPUTED_VALUE"""),"Progressing")</f>
        <v>Progressing</v>
      </c>
      <c r="P49" s="8">
        <f ca="1">IFERROR(__xludf.DUMMYFUNCTION("""COMPUTED_VALUE"""),1)</f>
        <v>1</v>
      </c>
      <c r="Q49" s="8">
        <f ca="1">IFERROR(__xludf.DUMMYFUNCTION("""COMPUTED_VALUE"""),2.5)</f>
        <v>2.5</v>
      </c>
      <c r="R49" s="8">
        <f ca="1">IFERROR(__xludf.DUMMYFUNCTION("""COMPUTED_VALUE"""),2)</f>
        <v>2</v>
      </c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</row>
    <row r="50" spans="1:31" ht="13.15" x14ac:dyDescent="0.4">
      <c r="A50" s="8" t="s">
        <v>70</v>
      </c>
      <c r="B50" s="8" t="s">
        <v>73</v>
      </c>
      <c r="C50" s="8">
        <f ca="1">(COUNTIFS($E$2:$E966,"PRESCOTT",$H$2:$H966,"Kylon Wishom"))</f>
        <v>10</v>
      </c>
      <c r="D50" s="8"/>
      <c r="E50" s="8" t="str">
        <f ca="1">IFERROR(__xludf.DUMMYFUNCTION("""COMPUTED_VALUE"""),"COPERNI")</f>
        <v>COPERNI</v>
      </c>
      <c r="F50" s="8" t="str">
        <f ca="1">IFERROR(__xludf.DUMMYFUNCTION("""COMPUTED_VALUE"""),"ELL/SPED")</f>
        <v>ELL/SPED</v>
      </c>
      <c r="G50" s="8" t="str">
        <f ca="1">IFERROR(__xludf.DUMMYFUNCTION("""COMPUTED_VALUE"""),"Elizabeth Kelly")</f>
        <v>Elizabeth Kelly</v>
      </c>
      <c r="H50" s="8" t="str">
        <f ca="1">IFERROR(__xludf.DUMMYFUNCTION("""COMPUTED_VALUE"""),"Noel Mercado")</f>
        <v>Noel Mercado</v>
      </c>
      <c r="I50" s="9">
        <f ca="1">IFERROR(__xludf.DUMMYFUNCTION("""COMPUTED_VALUE"""),45356)</f>
        <v>45356</v>
      </c>
      <c r="J50" s="9">
        <f ca="1">IFERROR(__xludf.DUMMYFUNCTION("""COMPUTED_VALUE"""),45357)</f>
        <v>45357</v>
      </c>
      <c r="K50" s="8" t="str">
        <f ca="1">IFERROR(__xludf.DUMMYFUNCTION("""COMPUTED_VALUE"""),"AM")</f>
        <v>AM</v>
      </c>
      <c r="L50" s="8" t="str">
        <f ca="1">IFERROR(__xludf.DUMMYFUNCTION("""COMPUTED_VALUE"""),"7th Grade")</f>
        <v>7th Grade</v>
      </c>
      <c r="M50" s="8"/>
      <c r="N50" s="8">
        <f ca="1">IFERROR(__xludf.DUMMYFUNCTION("""COMPUTED_VALUE"""),5)</f>
        <v>5</v>
      </c>
      <c r="O50" s="8" t="str">
        <f ca="1">IFERROR(__xludf.DUMMYFUNCTION("""COMPUTED_VALUE"""),"Proficient I")</f>
        <v>Proficient I</v>
      </c>
      <c r="P50" s="8">
        <f ca="1">IFERROR(__xludf.DUMMYFUNCTION("""COMPUTED_VALUE"""),2)</f>
        <v>2</v>
      </c>
      <c r="Q50" s="8">
        <f ca="1">IFERROR(__xludf.DUMMYFUNCTION("""COMPUTED_VALUE"""),3)</f>
        <v>3</v>
      </c>
      <c r="R50" s="8">
        <f ca="1">IFERROR(__xludf.DUMMYFUNCTION("""COMPUTED_VALUE"""),0)</f>
        <v>0</v>
      </c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</row>
    <row r="51" spans="1:31" ht="13.15" x14ac:dyDescent="0.4">
      <c r="C51" s="6">
        <f ca="1">SUM(C16:C50)</f>
        <v>326</v>
      </c>
      <c r="D51" s="8"/>
      <c r="E51" s="8" t="str">
        <f ca="1">IFERROR(__xludf.DUMMYFUNCTION("""COMPUTED_VALUE"""),"COPERNI")</f>
        <v>COPERNI</v>
      </c>
      <c r="F51" s="8" t="str">
        <f ca="1">IFERROR(__xludf.DUMMYFUNCTION("""COMPUTED_VALUE"""),"Learning Coach")</f>
        <v>Learning Coach</v>
      </c>
      <c r="G51" s="8" t="str">
        <f ca="1">IFERROR(__xludf.DUMMYFUNCTION("""COMPUTED_VALUE"""),"Ceresa Freehling")</f>
        <v>Ceresa Freehling</v>
      </c>
      <c r="H51" s="8" t="str">
        <f ca="1">IFERROR(__xludf.DUMMYFUNCTION("""COMPUTED_VALUE"""),"Noel Mercado")</f>
        <v>Noel Mercado</v>
      </c>
      <c r="I51" s="9">
        <f ca="1">IFERROR(__xludf.DUMMYFUNCTION("""COMPUTED_VALUE"""),45357)</f>
        <v>45357</v>
      </c>
      <c r="J51" s="9">
        <f ca="1">IFERROR(__xludf.DUMMYFUNCTION("""COMPUTED_VALUE"""),45357)</f>
        <v>45357</v>
      </c>
      <c r="K51" s="8" t="str">
        <f ca="1">IFERROR(__xludf.DUMMYFUNCTION("""COMPUTED_VALUE"""),"AM")</f>
        <v>AM</v>
      </c>
      <c r="L51" s="8"/>
      <c r="M51" s="8"/>
      <c r="N51" s="8">
        <f ca="1">IFERROR(__xludf.DUMMYFUNCTION("""COMPUTED_VALUE"""),7.5)</f>
        <v>7.5</v>
      </c>
      <c r="O51" s="8" t="str">
        <f ca="1">IFERROR(__xludf.DUMMYFUNCTION("""COMPUTED_VALUE"""),"Proficient I")</f>
        <v>Proficient I</v>
      </c>
      <c r="P51" s="8">
        <f ca="1">IFERROR(__xludf.DUMMYFUNCTION("""COMPUTED_VALUE"""),2)</f>
        <v>2</v>
      </c>
      <c r="Q51" s="8">
        <f ca="1">IFERROR(__xludf.DUMMYFUNCTION("""COMPUTED_VALUE"""),3)</f>
        <v>3</v>
      </c>
      <c r="R51" s="8">
        <f ca="1">IFERROR(__xludf.DUMMYFUNCTION("""COMPUTED_VALUE"""),2.5)</f>
        <v>2.5</v>
      </c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</row>
    <row r="52" spans="1:31" ht="13.15" x14ac:dyDescent="0.4">
      <c r="D52" s="8"/>
      <c r="E52" s="8" t="str">
        <f ca="1">IFERROR(__xludf.DUMMYFUNCTION("""COMPUTED_VALUE"""),"COPERNI")</f>
        <v>COPERNI</v>
      </c>
      <c r="F52" s="8" t="str">
        <f ca="1">IFERROR(__xludf.DUMMYFUNCTION("""COMPUTED_VALUE"""),"K-1")</f>
        <v>K-1</v>
      </c>
      <c r="G52" s="8" t="str">
        <f ca="1">IFERROR(__xludf.DUMMYFUNCTION("""COMPUTED_VALUE"""),"Shelby West")</f>
        <v>Shelby West</v>
      </c>
      <c r="H52" s="8" t="str">
        <f ca="1">IFERROR(__xludf.DUMMYFUNCTION("""COMPUTED_VALUE"""),"Noel Mercado")</f>
        <v>Noel Mercado</v>
      </c>
      <c r="I52" s="9">
        <f ca="1">IFERROR(__xludf.DUMMYFUNCTION("""COMPUTED_VALUE"""),45358)</f>
        <v>45358</v>
      </c>
      <c r="J52" s="9"/>
      <c r="K52" s="8" t="str">
        <f ca="1">IFERROR(__xludf.DUMMYFUNCTION("""COMPUTED_VALUE"""),"AM")</f>
        <v>AM</v>
      </c>
      <c r="L52" s="8" t="str">
        <f ca="1">IFERROR(__xludf.DUMMYFUNCTION("""COMPUTED_VALUE"""),"1st Grade")</f>
        <v>1st Grade</v>
      </c>
      <c r="M52" s="8" t="str">
        <f ca="1">IFERROR(__xludf.DUMMYFUNCTION("""COMPUTED_VALUE"""),"ELA")</f>
        <v>ELA</v>
      </c>
      <c r="N52" s="8">
        <f ca="1">IFERROR(__xludf.DUMMYFUNCTION("""COMPUTED_VALUE"""),7)</f>
        <v>7</v>
      </c>
      <c r="O52" s="8" t="str">
        <f ca="1">IFERROR(__xludf.DUMMYFUNCTION("""COMPUTED_VALUE"""),"Proficient I")</f>
        <v>Proficient I</v>
      </c>
      <c r="P52" s="8">
        <f ca="1">IFERROR(__xludf.DUMMYFUNCTION("""COMPUTED_VALUE"""),1)</f>
        <v>1</v>
      </c>
      <c r="Q52" s="8">
        <f ca="1">IFERROR(__xludf.DUMMYFUNCTION("""COMPUTED_VALUE"""),2)</f>
        <v>2</v>
      </c>
      <c r="R52" s="8">
        <f ca="1">IFERROR(__xludf.DUMMYFUNCTION("""COMPUTED_VALUE"""),2.5)</f>
        <v>2.5</v>
      </c>
      <c r="S52" s="8">
        <f ca="1">IFERROR(__xludf.DUMMYFUNCTION("""COMPUTED_VALUE"""),1.5)</f>
        <v>1.5</v>
      </c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</row>
    <row r="53" spans="1:31" ht="13.15" x14ac:dyDescent="0.4">
      <c r="D53" s="8"/>
      <c r="E53" s="8" t="str">
        <f ca="1">IFERROR(__xludf.DUMMYFUNCTION("""COMPUTED_VALUE"""),"COPERNI")</f>
        <v>COPERNI</v>
      </c>
      <c r="F53" s="8" t="str">
        <f ca="1">IFERROR(__xludf.DUMMYFUNCTION("""COMPUTED_VALUE"""),"Core Subject No LSAE")</f>
        <v>Core Subject No LSAE</v>
      </c>
      <c r="G53" s="8" t="str">
        <f ca="1">IFERROR(__xludf.DUMMYFUNCTION("""COMPUTED_VALUE"""),"Fatima Mercado")</f>
        <v>Fatima Mercado</v>
      </c>
      <c r="H53" s="8" t="str">
        <f ca="1">IFERROR(__xludf.DUMMYFUNCTION("""COMPUTED_VALUE"""),"Noel Mercado")</f>
        <v>Noel Mercado</v>
      </c>
      <c r="I53" s="9">
        <f ca="1">IFERROR(__xludf.DUMMYFUNCTION("""COMPUTED_VALUE"""),45359)</f>
        <v>45359</v>
      </c>
      <c r="J53" s="9"/>
      <c r="K53" s="8" t="str">
        <f ca="1">IFERROR(__xludf.DUMMYFUNCTION("""COMPUTED_VALUE"""),"PM")</f>
        <v>PM</v>
      </c>
      <c r="L53" s="8" t="str">
        <f ca="1">IFERROR(__xludf.DUMMYFUNCTION("""COMPUTED_VALUE"""),"3rd Grade")</f>
        <v>3rd Grade</v>
      </c>
      <c r="M53" s="8" t="str">
        <f ca="1">IFERROR(__xludf.DUMMYFUNCTION("""COMPUTED_VALUE"""),"Art of Thinking")</f>
        <v>Art of Thinking</v>
      </c>
      <c r="N53" s="8">
        <f ca="1">IFERROR(__xludf.DUMMYFUNCTION("""COMPUTED_VALUE"""),6.5)</f>
        <v>6.5</v>
      </c>
      <c r="O53" s="8" t="str">
        <f ca="1">IFERROR(__xludf.DUMMYFUNCTION("""COMPUTED_VALUE"""),"Proficient I")</f>
        <v>Proficient I</v>
      </c>
      <c r="P53" s="8">
        <f ca="1">IFERROR(__xludf.DUMMYFUNCTION("""COMPUTED_VALUE"""),2)</f>
        <v>2</v>
      </c>
      <c r="Q53" s="8">
        <f ca="1">IFERROR(__xludf.DUMMYFUNCTION("""COMPUTED_VALUE"""),2.5)</f>
        <v>2.5</v>
      </c>
      <c r="R53" s="8">
        <f ca="1">IFERROR(__xludf.DUMMYFUNCTION("""COMPUTED_VALUE"""),2)</f>
        <v>2</v>
      </c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</row>
    <row r="54" spans="1:31" ht="13.15" x14ac:dyDescent="0.4">
      <c r="D54" s="8"/>
      <c r="E54" s="8" t="str">
        <f ca="1">IFERROR(__xludf.DUMMYFUNCTION("""COMPUTED_VALUE"""),"COPERNI")</f>
        <v>COPERNI</v>
      </c>
      <c r="F54" s="8" t="str">
        <f ca="1">IFERROR(__xludf.DUMMYFUNCTION("""COMPUTED_VALUE"""),"K-1")</f>
        <v>K-1</v>
      </c>
      <c r="G54" s="8" t="str">
        <f ca="1">IFERROR(__xludf.DUMMYFUNCTION("""COMPUTED_VALUE"""),"Hailey Mills")</f>
        <v>Hailey Mills</v>
      </c>
      <c r="H54" s="8" t="str">
        <f ca="1">IFERROR(__xludf.DUMMYFUNCTION("""COMPUTED_VALUE"""),"Noel Mercado")</f>
        <v>Noel Mercado</v>
      </c>
      <c r="I54" s="9">
        <f ca="1">IFERROR(__xludf.DUMMYFUNCTION("""COMPUTED_VALUE"""),45359)</f>
        <v>45359</v>
      </c>
      <c r="J54" s="9"/>
      <c r="K54" s="8" t="str">
        <f ca="1">IFERROR(__xludf.DUMMYFUNCTION("""COMPUTED_VALUE"""),"PM")</f>
        <v>PM</v>
      </c>
      <c r="L54" s="8" t="str">
        <f ca="1">IFERROR(__xludf.DUMMYFUNCTION("""COMPUTED_VALUE"""),"Kindergarten")</f>
        <v>Kindergarten</v>
      </c>
      <c r="M54" s="8" t="str">
        <f ca="1">IFERROR(__xludf.DUMMYFUNCTION("""COMPUTED_VALUE"""),"ELA")</f>
        <v>ELA</v>
      </c>
      <c r="N54" s="8">
        <f ca="1">IFERROR(__xludf.DUMMYFUNCTION("""COMPUTED_VALUE"""),7)</f>
        <v>7</v>
      </c>
      <c r="O54" s="8" t="str">
        <f ca="1">IFERROR(__xludf.DUMMYFUNCTION("""COMPUTED_VALUE"""),"Proficient I")</f>
        <v>Proficient I</v>
      </c>
      <c r="P54" s="8">
        <f ca="1">IFERROR(__xludf.DUMMYFUNCTION("""COMPUTED_VALUE"""),1)</f>
        <v>1</v>
      </c>
      <c r="Q54" s="8">
        <f ca="1">IFERROR(__xludf.DUMMYFUNCTION("""COMPUTED_VALUE"""),2.5)</f>
        <v>2.5</v>
      </c>
      <c r="R54" s="8">
        <f ca="1">IFERROR(__xludf.DUMMYFUNCTION("""COMPUTED_VALUE"""),2)</f>
        <v>2</v>
      </c>
      <c r="S54" s="8">
        <f ca="1">IFERROR(__xludf.DUMMYFUNCTION("""COMPUTED_VALUE"""),1.5)</f>
        <v>1.5</v>
      </c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</row>
    <row r="55" spans="1:31" ht="13.15" x14ac:dyDescent="0.4">
      <c r="D55" s="8"/>
      <c r="E55" s="8" t="str">
        <f ca="1">IFERROR(__xludf.DUMMYFUNCTION("""COMPUTED_VALUE"""),"COPERNI")</f>
        <v>COPERNI</v>
      </c>
      <c r="F55" s="8" t="str">
        <f ca="1">IFERROR(__xludf.DUMMYFUNCTION("""COMPUTED_VALUE"""),"Core Subject No LSAE")</f>
        <v>Core Subject No LSAE</v>
      </c>
      <c r="G55" s="8" t="str">
        <f ca="1">IFERROR(__xludf.DUMMYFUNCTION("""COMPUTED_VALUE"""),"Hannah Torres")</f>
        <v>Hannah Torres</v>
      </c>
      <c r="H55" s="8" t="str">
        <f ca="1">IFERROR(__xludf.DUMMYFUNCTION("""COMPUTED_VALUE"""),"Wendy Edwards")</f>
        <v>Wendy Edwards</v>
      </c>
      <c r="I55" s="9">
        <f ca="1">IFERROR(__xludf.DUMMYFUNCTION("""COMPUTED_VALUE"""),45355)</f>
        <v>45355</v>
      </c>
      <c r="J55" s="9">
        <f ca="1">IFERROR(__xludf.DUMMYFUNCTION("""COMPUTED_VALUE"""),45359)</f>
        <v>45359</v>
      </c>
      <c r="K55" s="8" t="str">
        <f ca="1">IFERROR(__xludf.DUMMYFUNCTION("""COMPUTED_VALUE"""),"AM")</f>
        <v>AM</v>
      </c>
      <c r="L55" s="8" t="str">
        <f ca="1">IFERROR(__xludf.DUMMYFUNCTION("""COMPUTED_VALUE"""),"2nd Grade")</f>
        <v>2nd Grade</v>
      </c>
      <c r="M55" s="8" t="str">
        <f ca="1">IFERROR(__xludf.DUMMYFUNCTION("""COMPUTED_VALUE"""),"ELA")</f>
        <v>ELA</v>
      </c>
      <c r="N55" s="8">
        <f ca="1">IFERROR(__xludf.DUMMYFUNCTION("""COMPUTED_VALUE"""),6.5)</f>
        <v>6.5</v>
      </c>
      <c r="O55" s="8" t="str">
        <f ca="1">IFERROR(__xludf.DUMMYFUNCTION("""COMPUTED_VALUE"""),"Proficient I")</f>
        <v>Proficient I</v>
      </c>
      <c r="P55" s="8">
        <f ca="1">IFERROR(__xludf.DUMMYFUNCTION("""COMPUTED_VALUE"""),1.5)</f>
        <v>1.5</v>
      </c>
      <c r="Q55" s="8">
        <f ca="1">IFERROR(__xludf.DUMMYFUNCTION("""COMPUTED_VALUE"""),2.5)</f>
        <v>2.5</v>
      </c>
      <c r="R55" s="8">
        <f ca="1">IFERROR(__xludf.DUMMYFUNCTION("""COMPUTED_VALUE"""),2.5)</f>
        <v>2.5</v>
      </c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</row>
    <row r="56" spans="1:31" ht="13.15" x14ac:dyDescent="0.4">
      <c r="D56" s="8"/>
      <c r="E56" s="8" t="str">
        <f ca="1">IFERROR(__xludf.DUMMYFUNCTION("""COMPUTED_VALUE"""),"COPERNI")</f>
        <v>COPERNI</v>
      </c>
      <c r="F56" s="8" t="str">
        <f ca="1">IFERROR(__xludf.DUMMYFUNCTION("""COMPUTED_VALUE"""),"Core Subject With LSAE")</f>
        <v>Core Subject With LSAE</v>
      </c>
      <c r="G56" s="8" t="str">
        <f ca="1">IFERROR(__xludf.DUMMYFUNCTION("""COMPUTED_VALUE"""),"Hailey Mills")</f>
        <v>Hailey Mills</v>
      </c>
      <c r="H56" s="8" t="str">
        <f ca="1">IFERROR(__xludf.DUMMYFUNCTION("""COMPUTED_VALUE"""),"Wendy Edwards")</f>
        <v>Wendy Edwards</v>
      </c>
      <c r="I56" s="9">
        <f ca="1">IFERROR(__xludf.DUMMYFUNCTION("""COMPUTED_VALUE"""),45355)</f>
        <v>45355</v>
      </c>
      <c r="J56" s="9"/>
      <c r="K56" s="8" t="str">
        <f ca="1">IFERROR(__xludf.DUMMYFUNCTION("""COMPUTED_VALUE"""),"AM")</f>
        <v>AM</v>
      </c>
      <c r="L56" s="8" t="str">
        <f ca="1">IFERROR(__xludf.DUMMYFUNCTION("""COMPUTED_VALUE"""),"Kindergarten")</f>
        <v>Kindergarten</v>
      </c>
      <c r="M56" s="8" t="str">
        <f ca="1">IFERROR(__xludf.DUMMYFUNCTION("""COMPUTED_VALUE"""),"ELA")</f>
        <v>ELA</v>
      </c>
      <c r="N56" s="8">
        <f ca="1">IFERROR(__xludf.DUMMYFUNCTION("""COMPUTED_VALUE"""),5.5)</f>
        <v>5.5</v>
      </c>
      <c r="O56" s="8" t="str">
        <f ca="1">IFERROR(__xludf.DUMMYFUNCTION("""COMPUTED_VALUE"""),"Progressing")</f>
        <v>Progressing</v>
      </c>
      <c r="P56" s="8">
        <f ca="1">IFERROR(__xludf.DUMMYFUNCTION("""COMPUTED_VALUE"""),1)</f>
        <v>1</v>
      </c>
      <c r="Q56" s="8">
        <f ca="1">IFERROR(__xludf.DUMMYFUNCTION("""COMPUTED_VALUE"""),2)</f>
        <v>2</v>
      </c>
      <c r="R56" s="8">
        <f ca="1">IFERROR(__xludf.DUMMYFUNCTION("""COMPUTED_VALUE"""),2.5)</f>
        <v>2.5</v>
      </c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</row>
    <row r="57" spans="1:31" ht="13.15" x14ac:dyDescent="0.4">
      <c r="D57" s="8"/>
      <c r="E57" s="8" t="str">
        <f ca="1">IFERROR(__xludf.DUMMYFUNCTION("""COMPUTED_VALUE"""),"COPERNI")</f>
        <v>COPERNI</v>
      </c>
      <c r="F57" s="8" t="str">
        <f ca="1">IFERROR(__xludf.DUMMYFUNCTION("""COMPUTED_VALUE"""),"Core Subject With LSAE")</f>
        <v>Core Subject With LSAE</v>
      </c>
      <c r="G57" s="8" t="str">
        <f ca="1">IFERROR(__xludf.DUMMYFUNCTION("""COMPUTED_VALUE"""),"Laycee Rexroth")</f>
        <v>Laycee Rexroth</v>
      </c>
      <c r="H57" s="8" t="str">
        <f ca="1">IFERROR(__xludf.DUMMYFUNCTION("""COMPUTED_VALUE"""),"Wendy Edwards")</f>
        <v>Wendy Edwards</v>
      </c>
      <c r="I57" s="9">
        <f ca="1">IFERROR(__xludf.DUMMYFUNCTION("""COMPUTED_VALUE"""),45356)</f>
        <v>45356</v>
      </c>
      <c r="J57" s="9"/>
      <c r="K57" s="8" t="str">
        <f ca="1">IFERROR(__xludf.DUMMYFUNCTION("""COMPUTED_VALUE"""),"AM")</f>
        <v>AM</v>
      </c>
      <c r="L57" s="8" t="str">
        <f ca="1">IFERROR(__xludf.DUMMYFUNCTION("""COMPUTED_VALUE"""),"5th Grade")</f>
        <v>5th Grade</v>
      </c>
      <c r="M57" s="8" t="str">
        <f ca="1">IFERROR(__xludf.DUMMYFUNCTION("""COMPUTED_VALUE"""),"ELA")</f>
        <v>ELA</v>
      </c>
      <c r="N57" s="8">
        <f ca="1">IFERROR(__xludf.DUMMYFUNCTION("""COMPUTED_VALUE"""),8)</f>
        <v>8</v>
      </c>
      <c r="O57" s="8" t="str">
        <f ca="1">IFERROR(__xludf.DUMMYFUNCTION("""COMPUTED_VALUE"""),"Proficient II")</f>
        <v>Proficient II</v>
      </c>
      <c r="P57" s="8">
        <f ca="1">IFERROR(__xludf.DUMMYFUNCTION("""COMPUTED_VALUE"""),1)</f>
        <v>1</v>
      </c>
      <c r="Q57" s="8">
        <f ca="1">IFERROR(__xludf.DUMMYFUNCTION("""COMPUTED_VALUE"""),2.5)</f>
        <v>2.5</v>
      </c>
      <c r="R57" s="8">
        <f ca="1">IFERROR(__xludf.DUMMYFUNCTION("""COMPUTED_VALUE"""),3)</f>
        <v>3</v>
      </c>
      <c r="S57" s="8">
        <f ca="1">IFERROR(__xludf.DUMMYFUNCTION("""COMPUTED_VALUE"""),1.5)</f>
        <v>1.5</v>
      </c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</row>
    <row r="58" spans="1:31" ht="13.15" x14ac:dyDescent="0.4">
      <c r="A58" s="8"/>
      <c r="B58" s="8"/>
      <c r="C58" s="8"/>
      <c r="D58" s="8"/>
      <c r="E58" s="8" t="str">
        <f ca="1">IFERROR(__xludf.DUMMYFUNCTION("""COMPUTED_VALUE"""),"COPERNI")</f>
        <v>COPERNI</v>
      </c>
      <c r="F58" s="8" t="str">
        <f ca="1">IFERROR(__xludf.DUMMYFUNCTION("""COMPUTED_VALUE"""),"Core Subject With LSAE")</f>
        <v>Core Subject With LSAE</v>
      </c>
      <c r="G58" s="8" t="str">
        <f ca="1">IFERROR(__xludf.DUMMYFUNCTION("""COMPUTED_VALUE"""),"Aldin Hernandez")</f>
        <v>Aldin Hernandez</v>
      </c>
      <c r="H58" s="8" t="str">
        <f ca="1">IFERROR(__xludf.DUMMYFUNCTION("""COMPUTED_VALUE"""),"Wendy Edwards")</f>
        <v>Wendy Edwards</v>
      </c>
      <c r="I58" s="9">
        <f ca="1">IFERROR(__xludf.DUMMYFUNCTION("""COMPUTED_VALUE"""),45356)</f>
        <v>45356</v>
      </c>
      <c r="J58" s="9">
        <f ca="1">IFERROR(__xludf.DUMMYFUNCTION("""COMPUTED_VALUE"""),45357)</f>
        <v>45357</v>
      </c>
      <c r="K58" s="8" t="str">
        <f ca="1">IFERROR(__xludf.DUMMYFUNCTION("""COMPUTED_VALUE"""),"PM")</f>
        <v>PM</v>
      </c>
      <c r="L58" s="8" t="str">
        <f ca="1">IFERROR(__xludf.DUMMYFUNCTION("""COMPUTED_VALUE"""),"6th Grade")</f>
        <v>6th Grade</v>
      </c>
      <c r="M58" s="8" t="str">
        <f ca="1">IFERROR(__xludf.DUMMYFUNCTION("""COMPUTED_VALUE"""),"Math")</f>
        <v>Math</v>
      </c>
      <c r="N58" s="8">
        <f ca="1">IFERROR(__xludf.DUMMYFUNCTION("""COMPUTED_VALUE"""),5)</f>
        <v>5</v>
      </c>
      <c r="O58" s="8" t="str">
        <f ca="1">IFERROR(__xludf.DUMMYFUNCTION("""COMPUTED_VALUE"""),"Progressing")</f>
        <v>Progressing</v>
      </c>
      <c r="P58" s="8">
        <f ca="1">IFERROR(__xludf.DUMMYFUNCTION("""COMPUTED_VALUE"""),1)</f>
        <v>1</v>
      </c>
      <c r="Q58" s="8">
        <f ca="1">IFERROR(__xludf.DUMMYFUNCTION("""COMPUTED_VALUE"""),1)</f>
        <v>1</v>
      </c>
      <c r="R58" s="8">
        <f ca="1">IFERROR(__xludf.DUMMYFUNCTION("""COMPUTED_VALUE"""),1.5)</f>
        <v>1.5</v>
      </c>
      <c r="S58" s="8">
        <f ca="1">IFERROR(__xludf.DUMMYFUNCTION("""COMPUTED_VALUE"""),1.5)</f>
        <v>1.5</v>
      </c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</row>
    <row r="59" spans="1:31" ht="13.15" x14ac:dyDescent="0.4">
      <c r="A59" s="8"/>
      <c r="B59" s="8"/>
      <c r="C59" s="8"/>
      <c r="D59" s="8"/>
      <c r="E59" s="8" t="str">
        <f ca="1">IFERROR(__xludf.DUMMYFUNCTION("""COMPUTED_VALUE"""),"COPERNI")</f>
        <v>COPERNI</v>
      </c>
      <c r="F59" s="8" t="str">
        <f ca="1">IFERROR(__xludf.DUMMYFUNCTION("""COMPUTED_VALUE"""),"Core Subject With LSAE")</f>
        <v>Core Subject With LSAE</v>
      </c>
      <c r="G59" s="8" t="str">
        <f ca="1">IFERROR(__xludf.DUMMYFUNCTION("""COMPUTED_VALUE"""),"Jennifer Morales")</f>
        <v>Jennifer Morales</v>
      </c>
      <c r="H59" s="8" t="str">
        <f ca="1">IFERROR(__xludf.DUMMYFUNCTION("""COMPUTED_VALUE"""),"Wendy Edwards")</f>
        <v>Wendy Edwards</v>
      </c>
      <c r="I59" s="9">
        <f ca="1">IFERROR(__xludf.DUMMYFUNCTION("""COMPUTED_VALUE"""),45357)</f>
        <v>45357</v>
      </c>
      <c r="J59" s="9"/>
      <c r="K59" s="8" t="str">
        <f ca="1">IFERROR(__xludf.DUMMYFUNCTION("""COMPUTED_VALUE"""),"AM")</f>
        <v>AM</v>
      </c>
      <c r="L59" s="8" t="str">
        <f ca="1">IFERROR(__xludf.DUMMYFUNCTION("""COMPUTED_VALUE"""),"1st Grade")</f>
        <v>1st Grade</v>
      </c>
      <c r="M59" s="8" t="str">
        <f ca="1">IFERROR(__xludf.DUMMYFUNCTION("""COMPUTED_VALUE"""),"ELA")</f>
        <v>ELA</v>
      </c>
      <c r="N59" s="8">
        <f ca="1">IFERROR(__xludf.DUMMYFUNCTION("""COMPUTED_VALUE"""),6.5)</f>
        <v>6.5</v>
      </c>
      <c r="O59" s="8" t="str">
        <f ca="1">IFERROR(__xludf.DUMMYFUNCTION("""COMPUTED_VALUE"""),"Proficient I")</f>
        <v>Proficient I</v>
      </c>
      <c r="P59" s="8">
        <f ca="1">IFERROR(__xludf.DUMMYFUNCTION("""COMPUTED_VALUE"""),1)</f>
        <v>1</v>
      </c>
      <c r="Q59" s="8">
        <f ca="1">IFERROR(__xludf.DUMMYFUNCTION("""COMPUTED_VALUE"""),2.5)</f>
        <v>2.5</v>
      </c>
      <c r="R59" s="8">
        <f ca="1">IFERROR(__xludf.DUMMYFUNCTION("""COMPUTED_VALUE"""),3)</f>
        <v>3</v>
      </c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</row>
    <row r="60" spans="1:31" ht="13.15" x14ac:dyDescent="0.4">
      <c r="A60" s="8"/>
      <c r="B60" s="8"/>
      <c r="C60" s="8"/>
      <c r="D60" s="8"/>
      <c r="E60" s="8" t="str">
        <f ca="1">IFERROR(__xludf.DUMMYFUNCTION("""COMPUTED_VALUE"""),"COPERNI")</f>
        <v>COPERNI</v>
      </c>
      <c r="F60" s="8" t="str">
        <f ca="1">IFERROR(__xludf.DUMMYFUNCTION("""COMPUTED_VALUE"""),"ELL/SPED")</f>
        <v>ELL/SPED</v>
      </c>
      <c r="G60" s="8" t="str">
        <f ca="1">IFERROR(__xludf.DUMMYFUNCTION("""COMPUTED_VALUE"""),"Brittany Johnson")</f>
        <v>Brittany Johnson</v>
      </c>
      <c r="H60" s="8" t="str">
        <f ca="1">IFERROR(__xludf.DUMMYFUNCTION("""COMPUTED_VALUE"""),"Wendy Edwards")</f>
        <v>Wendy Edwards</v>
      </c>
      <c r="I60" s="9">
        <f ca="1">IFERROR(__xludf.DUMMYFUNCTION("""COMPUTED_VALUE"""),45357)</f>
        <v>45357</v>
      </c>
      <c r="J60" s="9"/>
      <c r="K60" s="8" t="str">
        <f ca="1">IFERROR(__xludf.DUMMYFUNCTION("""COMPUTED_VALUE"""),"PM")</f>
        <v>PM</v>
      </c>
      <c r="L60" s="8" t="str">
        <f ca="1">IFERROR(__xludf.DUMMYFUNCTION("""COMPUTED_VALUE"""),"5th Grade")</f>
        <v>5th Grade</v>
      </c>
      <c r="M60" s="8"/>
      <c r="N60" s="8">
        <f ca="1">IFERROR(__xludf.DUMMYFUNCTION("""COMPUTED_VALUE"""),5)</f>
        <v>5</v>
      </c>
      <c r="O60" s="8" t="str">
        <f ca="1">IFERROR(__xludf.DUMMYFUNCTION("""COMPUTED_VALUE"""),"Proficient I")</f>
        <v>Proficient I</v>
      </c>
      <c r="P60" s="8">
        <f ca="1">IFERROR(__xludf.DUMMYFUNCTION("""COMPUTED_VALUE"""),2)</f>
        <v>2</v>
      </c>
      <c r="Q60" s="8">
        <f ca="1">IFERROR(__xludf.DUMMYFUNCTION("""COMPUTED_VALUE"""),3)</f>
        <v>3</v>
      </c>
      <c r="R60" s="8">
        <f ca="1">IFERROR(__xludf.DUMMYFUNCTION("""COMPUTED_VALUE"""),0)</f>
        <v>0</v>
      </c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</row>
    <row r="61" spans="1:31" ht="13.15" x14ac:dyDescent="0.4">
      <c r="A61" s="8"/>
      <c r="B61" s="8"/>
      <c r="C61" s="8"/>
      <c r="D61" s="8"/>
      <c r="E61" s="8" t="str">
        <f ca="1">IFERROR(__xludf.DUMMYFUNCTION("""COMPUTED_VALUE"""),"COPERNI")</f>
        <v>COPERNI</v>
      </c>
      <c r="F61" s="8" t="str">
        <f ca="1">IFERROR(__xludf.DUMMYFUNCTION("""COMPUTED_VALUE"""),"K-1")</f>
        <v>K-1</v>
      </c>
      <c r="G61" s="8" t="str">
        <f ca="1">IFERROR(__xludf.DUMMYFUNCTION("""COMPUTED_VALUE"""),"Hailey Mills")</f>
        <v>Hailey Mills</v>
      </c>
      <c r="H61" s="8" t="str">
        <f ca="1">IFERROR(__xludf.DUMMYFUNCTION("""COMPUTED_VALUE"""),"Wendy Edwards")</f>
        <v>Wendy Edwards</v>
      </c>
      <c r="I61" s="9">
        <f ca="1">IFERROR(__xludf.DUMMYFUNCTION("""COMPUTED_VALUE"""),45357)</f>
        <v>45357</v>
      </c>
      <c r="J61" s="9"/>
      <c r="K61" s="8" t="str">
        <f ca="1">IFERROR(__xludf.DUMMYFUNCTION("""COMPUTED_VALUE"""),"AM")</f>
        <v>AM</v>
      </c>
      <c r="L61" s="8" t="str">
        <f ca="1">IFERROR(__xludf.DUMMYFUNCTION("""COMPUTED_VALUE"""),"Kindergarten")</f>
        <v>Kindergarten</v>
      </c>
      <c r="M61" s="8" t="str">
        <f ca="1">IFERROR(__xludf.DUMMYFUNCTION("""COMPUTED_VALUE"""),"ELA")</f>
        <v>ELA</v>
      </c>
      <c r="N61" s="8">
        <f ca="1">IFERROR(__xludf.DUMMYFUNCTION("""COMPUTED_VALUE"""),6.5)</f>
        <v>6.5</v>
      </c>
      <c r="O61" s="8" t="str">
        <f ca="1">IFERROR(__xludf.DUMMYFUNCTION("""COMPUTED_VALUE"""),"Proficient I")</f>
        <v>Proficient I</v>
      </c>
      <c r="P61" s="8">
        <f ca="1">IFERROR(__xludf.DUMMYFUNCTION("""COMPUTED_VALUE"""),1)</f>
        <v>1</v>
      </c>
      <c r="Q61" s="8">
        <f ca="1">IFERROR(__xludf.DUMMYFUNCTION("""COMPUTED_VALUE"""),2)</f>
        <v>2</v>
      </c>
      <c r="R61" s="8">
        <f ca="1">IFERROR(__xludf.DUMMYFUNCTION("""COMPUTED_VALUE"""),2)</f>
        <v>2</v>
      </c>
      <c r="S61" s="8">
        <f ca="1">IFERROR(__xludf.DUMMYFUNCTION("""COMPUTED_VALUE"""),1.5)</f>
        <v>1.5</v>
      </c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</row>
    <row r="62" spans="1:31" ht="13.15" x14ac:dyDescent="0.4">
      <c r="A62" s="8"/>
      <c r="B62" s="8"/>
      <c r="C62" s="8"/>
      <c r="D62" s="8"/>
      <c r="E62" s="8" t="str">
        <f ca="1">IFERROR(__xludf.DUMMYFUNCTION("""COMPUTED_VALUE"""),"COPERNI")</f>
        <v>COPERNI</v>
      </c>
      <c r="F62" s="8" t="str">
        <f ca="1">IFERROR(__xludf.DUMMYFUNCTION("""COMPUTED_VALUE"""),"K-1")</f>
        <v>K-1</v>
      </c>
      <c r="G62" s="8" t="str">
        <f ca="1">IFERROR(__xludf.DUMMYFUNCTION("""COMPUTED_VALUE"""),"Jennifer Morales")</f>
        <v>Jennifer Morales</v>
      </c>
      <c r="H62" s="8" t="str">
        <f ca="1">IFERROR(__xludf.DUMMYFUNCTION("""COMPUTED_VALUE"""),"Wendy Edwards")</f>
        <v>Wendy Edwards</v>
      </c>
      <c r="I62" s="9">
        <f ca="1">IFERROR(__xludf.DUMMYFUNCTION("""COMPUTED_VALUE"""),45357)</f>
        <v>45357</v>
      </c>
      <c r="J62" s="9">
        <f ca="1">IFERROR(__xludf.DUMMYFUNCTION("""COMPUTED_VALUE"""),45357)</f>
        <v>45357</v>
      </c>
      <c r="K62" s="8" t="str">
        <f ca="1">IFERROR(__xludf.DUMMYFUNCTION("""COMPUTED_VALUE"""),"AM")</f>
        <v>AM</v>
      </c>
      <c r="L62" s="8" t="str">
        <f ca="1">IFERROR(__xludf.DUMMYFUNCTION("""COMPUTED_VALUE"""),"1st Grade")</f>
        <v>1st Grade</v>
      </c>
      <c r="M62" s="8" t="str">
        <f ca="1">IFERROR(__xludf.DUMMYFUNCTION("""COMPUTED_VALUE"""),"ELA")</f>
        <v>ELA</v>
      </c>
      <c r="N62" s="8">
        <f ca="1">IFERROR(__xludf.DUMMYFUNCTION("""COMPUTED_VALUE"""),6.5)</f>
        <v>6.5</v>
      </c>
      <c r="O62" s="8" t="str">
        <f ca="1">IFERROR(__xludf.DUMMYFUNCTION("""COMPUTED_VALUE"""),"Proficient I")</f>
        <v>Proficient I</v>
      </c>
      <c r="P62" s="8">
        <f ca="1">IFERROR(__xludf.DUMMYFUNCTION("""COMPUTED_VALUE"""),1)</f>
        <v>1</v>
      </c>
      <c r="Q62" s="8">
        <f ca="1">IFERROR(__xludf.DUMMYFUNCTION("""COMPUTED_VALUE"""),2)</f>
        <v>2</v>
      </c>
      <c r="R62" s="8">
        <f ca="1">IFERROR(__xludf.DUMMYFUNCTION("""COMPUTED_VALUE"""),2)</f>
        <v>2</v>
      </c>
      <c r="S62" s="8">
        <f ca="1">IFERROR(__xludf.DUMMYFUNCTION("""COMPUTED_VALUE"""),1.5)</f>
        <v>1.5</v>
      </c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</row>
    <row r="63" spans="1:31" ht="13.15" x14ac:dyDescent="0.4">
      <c r="A63" s="8"/>
      <c r="B63" s="8"/>
      <c r="C63" s="8"/>
      <c r="D63" s="8"/>
      <c r="E63" s="8" t="str">
        <f ca="1">IFERROR(__xludf.DUMMYFUNCTION("""COMPUTED_VALUE"""),"COPERNI")</f>
        <v>COPERNI</v>
      </c>
      <c r="F63" s="8" t="str">
        <f ca="1">IFERROR(__xludf.DUMMYFUNCTION("""COMPUTED_VALUE"""),"Teacher Apprentice")</f>
        <v>Teacher Apprentice</v>
      </c>
      <c r="G63" s="8" t="str">
        <f ca="1">IFERROR(__xludf.DUMMYFUNCTION("""COMPUTED_VALUE"""),"Emily Florio")</f>
        <v>Emily Florio</v>
      </c>
      <c r="H63" s="8" t="str">
        <f ca="1">IFERROR(__xludf.DUMMYFUNCTION("""COMPUTED_VALUE"""),"Wendy Edwards")</f>
        <v>Wendy Edwards</v>
      </c>
      <c r="I63" s="9">
        <f ca="1">IFERROR(__xludf.DUMMYFUNCTION("""COMPUTED_VALUE"""),45358)</f>
        <v>45358</v>
      </c>
      <c r="J63" s="9"/>
      <c r="K63" s="8" t="str">
        <f ca="1">IFERROR(__xludf.DUMMYFUNCTION("""COMPUTED_VALUE"""),"PM")</f>
        <v>PM</v>
      </c>
      <c r="L63" s="8" t="str">
        <f ca="1">IFERROR(__xludf.DUMMYFUNCTION("""COMPUTED_VALUE"""),"6th Grade")</f>
        <v>6th Grade</v>
      </c>
      <c r="M63" s="8" t="str">
        <f ca="1">IFERROR(__xludf.DUMMYFUNCTION("""COMPUTED_VALUE"""),"ELA")</f>
        <v>ELA</v>
      </c>
      <c r="N63" s="8">
        <f ca="1">IFERROR(__xludf.DUMMYFUNCTION("""COMPUTED_VALUE"""),5.5)</f>
        <v>5.5</v>
      </c>
      <c r="O63" s="8" t="str">
        <f ca="1">IFERROR(__xludf.DUMMYFUNCTION("""COMPUTED_VALUE"""),"Progressing")</f>
        <v>Progressing</v>
      </c>
      <c r="P63" s="8">
        <f ca="1">IFERROR(__xludf.DUMMYFUNCTION("""COMPUTED_VALUE"""),1)</f>
        <v>1</v>
      </c>
      <c r="Q63" s="8">
        <f ca="1">IFERROR(__xludf.DUMMYFUNCTION("""COMPUTED_VALUE"""),1.5)</f>
        <v>1.5</v>
      </c>
      <c r="R63" s="8">
        <f ca="1">IFERROR(__xludf.DUMMYFUNCTION("""COMPUTED_VALUE"""),1.5)</f>
        <v>1.5</v>
      </c>
      <c r="S63" s="8">
        <f ca="1">IFERROR(__xludf.DUMMYFUNCTION("""COMPUTED_VALUE"""),1.5)</f>
        <v>1.5</v>
      </c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</row>
    <row r="64" spans="1:31" ht="13.15" x14ac:dyDescent="0.4">
      <c r="A64" s="8"/>
      <c r="B64" s="8"/>
      <c r="C64" s="8"/>
      <c r="D64" s="8"/>
      <c r="E64" s="8" t="str">
        <f ca="1">IFERROR(__xludf.DUMMYFUNCTION("""COMPUTED_VALUE"""),"COPERNI")</f>
        <v>COPERNI</v>
      </c>
      <c r="F64" s="8" t="str">
        <f ca="1">IFERROR(__xludf.DUMMYFUNCTION("""COMPUTED_VALUE"""),"Core Subject No LSAE")</f>
        <v>Core Subject No LSAE</v>
      </c>
      <c r="G64" s="8" t="str">
        <f ca="1">IFERROR(__xludf.DUMMYFUNCTION("""COMPUTED_VALUE"""),"Heather Bowen")</f>
        <v>Heather Bowen</v>
      </c>
      <c r="H64" s="8" t="str">
        <f ca="1">IFERROR(__xludf.DUMMYFUNCTION("""COMPUTED_VALUE"""),"Wendy Edwards")</f>
        <v>Wendy Edwards</v>
      </c>
      <c r="I64" s="9">
        <f ca="1">IFERROR(__xludf.DUMMYFUNCTION("""COMPUTED_VALUE"""),45359)</f>
        <v>45359</v>
      </c>
      <c r="J64" s="9"/>
      <c r="K64" s="8" t="str">
        <f ca="1">IFERROR(__xludf.DUMMYFUNCTION("""COMPUTED_VALUE"""),"PM")</f>
        <v>PM</v>
      </c>
      <c r="L64" s="8" t="str">
        <f ca="1">IFERROR(__xludf.DUMMYFUNCTION("""COMPUTED_VALUE"""),"3rd Grade")</f>
        <v>3rd Grade</v>
      </c>
      <c r="M64" s="8" t="str">
        <f ca="1">IFERROR(__xludf.DUMMYFUNCTION("""COMPUTED_VALUE"""),"ELA")</f>
        <v>ELA</v>
      </c>
      <c r="N64" s="8">
        <f ca="1">IFERROR(__xludf.DUMMYFUNCTION("""COMPUTED_VALUE"""),6.5)</f>
        <v>6.5</v>
      </c>
      <c r="O64" s="8" t="str">
        <f ca="1">IFERROR(__xludf.DUMMYFUNCTION("""COMPUTED_VALUE"""),"Proficient I")</f>
        <v>Proficient I</v>
      </c>
      <c r="P64" s="8">
        <f ca="1">IFERROR(__xludf.DUMMYFUNCTION("""COMPUTED_VALUE"""),2)</f>
        <v>2</v>
      </c>
      <c r="Q64" s="8">
        <f ca="1">IFERROR(__xludf.DUMMYFUNCTION("""COMPUTED_VALUE"""),2)</f>
        <v>2</v>
      </c>
      <c r="R64" s="8">
        <f ca="1">IFERROR(__xludf.DUMMYFUNCTION("""COMPUTED_VALUE"""),2.5)</f>
        <v>2.5</v>
      </c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</row>
    <row r="65" spans="1:31" ht="13.15" x14ac:dyDescent="0.4">
      <c r="A65" s="8"/>
      <c r="B65" s="8"/>
      <c r="C65" s="8"/>
      <c r="D65" s="8"/>
      <c r="E65" s="8" t="str">
        <f ca="1">IFERROR(__xludf.DUMMYFUNCTION("""COMPUTED_VALUE"""),"SAM")</f>
        <v>SAM</v>
      </c>
      <c r="F65" s="8" t="str">
        <f ca="1">IFERROR(__xludf.DUMMYFUNCTION("""COMPUTED_VALUE"""),"Core Subject No LSAE")</f>
        <v>Core Subject No LSAE</v>
      </c>
      <c r="G65" s="8" t="str">
        <f ca="1">IFERROR(__xludf.DUMMYFUNCTION("""COMPUTED_VALUE"""),"Beena Farrell")</f>
        <v>Beena Farrell</v>
      </c>
      <c r="H65" s="8" t="str">
        <f ca="1">IFERROR(__xludf.DUMMYFUNCTION("""COMPUTED_VALUE"""),"Keena Olivas")</f>
        <v>Keena Olivas</v>
      </c>
      <c r="I65" s="9">
        <f ca="1">IFERROR(__xludf.DUMMYFUNCTION("""COMPUTED_VALUE"""),45356)</f>
        <v>45356</v>
      </c>
      <c r="J65" s="9"/>
      <c r="K65" s="8" t="str">
        <f ca="1">IFERROR(__xludf.DUMMYFUNCTION("""COMPUTED_VALUE"""),"PM")</f>
        <v>PM</v>
      </c>
      <c r="L65" s="8" t="str">
        <f ca="1">IFERROR(__xludf.DUMMYFUNCTION("""COMPUTED_VALUE"""),"6th Grade")</f>
        <v>6th Grade</v>
      </c>
      <c r="M65" s="8" t="str">
        <f ca="1">IFERROR(__xludf.DUMMYFUNCTION("""COMPUTED_VALUE"""),"Art of Thinking")</f>
        <v>Art of Thinking</v>
      </c>
      <c r="N65" s="8">
        <f ca="1">IFERROR(__xludf.DUMMYFUNCTION("""COMPUTED_VALUE"""),7)</f>
        <v>7</v>
      </c>
      <c r="O65" s="8" t="str">
        <f ca="1">IFERROR(__xludf.DUMMYFUNCTION("""COMPUTED_VALUE"""),"Proficient I")</f>
        <v>Proficient I</v>
      </c>
      <c r="P65" s="8">
        <f ca="1">IFERROR(__xludf.DUMMYFUNCTION("""COMPUTED_VALUE"""),2)</f>
        <v>2</v>
      </c>
      <c r="Q65" s="8">
        <f ca="1">IFERROR(__xludf.DUMMYFUNCTION("""COMPUTED_VALUE"""),2.5)</f>
        <v>2.5</v>
      </c>
      <c r="R65" s="8">
        <f ca="1">IFERROR(__xludf.DUMMYFUNCTION("""COMPUTED_VALUE"""),2.5)</f>
        <v>2.5</v>
      </c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</row>
    <row r="66" spans="1:31" ht="13.15" x14ac:dyDescent="0.4">
      <c r="A66" s="8"/>
      <c r="B66" s="8"/>
      <c r="C66" s="8"/>
      <c r="D66" s="8"/>
      <c r="E66" s="8" t="str">
        <f ca="1">IFERROR(__xludf.DUMMYFUNCTION("""COMPUTED_VALUE"""),"SAM")</f>
        <v>SAM</v>
      </c>
      <c r="F66" s="8" t="str">
        <f ca="1">IFERROR(__xludf.DUMMYFUNCTION("""COMPUTED_VALUE"""),"Core Subject With LSAE")</f>
        <v>Core Subject With LSAE</v>
      </c>
      <c r="G66" s="8" t="str">
        <f ca="1">IFERROR(__xludf.DUMMYFUNCTION("""COMPUTED_VALUE"""),"Kelly Miller")</f>
        <v>Kelly Miller</v>
      </c>
      <c r="H66" s="8" t="str">
        <f ca="1">IFERROR(__xludf.DUMMYFUNCTION("""COMPUTED_VALUE"""),"Keena Olivas")</f>
        <v>Keena Olivas</v>
      </c>
      <c r="I66" s="9">
        <f ca="1">IFERROR(__xludf.DUMMYFUNCTION("""COMPUTED_VALUE"""),45355)</f>
        <v>45355</v>
      </c>
      <c r="J66" s="9"/>
      <c r="K66" s="8" t="str">
        <f ca="1">IFERROR(__xludf.DUMMYFUNCTION("""COMPUTED_VALUE"""),"AM")</f>
        <v>AM</v>
      </c>
      <c r="L66" s="8" t="str">
        <f ca="1">IFERROR(__xludf.DUMMYFUNCTION("""COMPUTED_VALUE"""),"4th Grade")</f>
        <v>4th Grade</v>
      </c>
      <c r="M66" s="8" t="str">
        <f ca="1">IFERROR(__xludf.DUMMYFUNCTION("""COMPUTED_VALUE"""),"ELA")</f>
        <v>ELA</v>
      </c>
      <c r="N66" s="8">
        <f ca="1">IFERROR(__xludf.DUMMYFUNCTION("""COMPUTED_VALUE"""),7)</f>
        <v>7</v>
      </c>
      <c r="O66" s="8" t="str">
        <f ca="1">IFERROR(__xludf.DUMMYFUNCTION("""COMPUTED_VALUE"""),"Proficient I")</f>
        <v>Proficient I</v>
      </c>
      <c r="P66" s="8">
        <f ca="1">IFERROR(__xludf.DUMMYFUNCTION("""COMPUTED_VALUE"""),1)</f>
        <v>1</v>
      </c>
      <c r="Q66" s="8">
        <f ca="1">IFERROR(__xludf.DUMMYFUNCTION("""COMPUTED_VALUE"""),2.5)</f>
        <v>2.5</v>
      </c>
      <c r="R66" s="8">
        <f ca="1">IFERROR(__xludf.DUMMYFUNCTION("""COMPUTED_VALUE"""),2)</f>
        <v>2</v>
      </c>
      <c r="S66" s="8">
        <f ca="1">IFERROR(__xludf.DUMMYFUNCTION("""COMPUTED_VALUE"""),1.5)</f>
        <v>1.5</v>
      </c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</row>
    <row r="67" spans="1:31" ht="13.15" x14ac:dyDescent="0.4">
      <c r="A67" s="8"/>
      <c r="B67" s="8"/>
      <c r="C67" s="8"/>
      <c r="D67" s="8"/>
      <c r="E67" s="8" t="str">
        <f ca="1">IFERROR(__xludf.DUMMYFUNCTION("""COMPUTED_VALUE"""),"SAM")</f>
        <v>SAM</v>
      </c>
      <c r="F67" s="8" t="str">
        <f ca="1">IFERROR(__xludf.DUMMYFUNCTION("""COMPUTED_VALUE"""),"Core Subject With LSAE")</f>
        <v>Core Subject With LSAE</v>
      </c>
      <c r="G67" s="8" t="str">
        <f ca="1">IFERROR(__xludf.DUMMYFUNCTION("""COMPUTED_VALUE"""),"Cristina Flores")</f>
        <v>Cristina Flores</v>
      </c>
      <c r="H67" s="8" t="str">
        <f ca="1">IFERROR(__xludf.DUMMYFUNCTION("""COMPUTED_VALUE"""),"Keena Olivas")</f>
        <v>Keena Olivas</v>
      </c>
      <c r="I67" s="9">
        <f ca="1">IFERROR(__xludf.DUMMYFUNCTION("""COMPUTED_VALUE"""),45356)</f>
        <v>45356</v>
      </c>
      <c r="J67" s="9">
        <f ca="1">IFERROR(__xludf.DUMMYFUNCTION("""COMPUTED_VALUE"""),45356)</f>
        <v>45356</v>
      </c>
      <c r="K67" s="8" t="str">
        <f ca="1">IFERROR(__xludf.DUMMYFUNCTION("""COMPUTED_VALUE"""),"AM")</f>
        <v>AM</v>
      </c>
      <c r="L67" s="8" t="str">
        <f ca="1">IFERROR(__xludf.DUMMYFUNCTION("""COMPUTED_VALUE"""),"5th Grade")</f>
        <v>5th Grade</v>
      </c>
      <c r="M67" s="8" t="str">
        <f ca="1">IFERROR(__xludf.DUMMYFUNCTION("""COMPUTED_VALUE"""),"Math")</f>
        <v>Math</v>
      </c>
      <c r="N67" s="8">
        <f ca="1">IFERROR(__xludf.DUMMYFUNCTION("""COMPUTED_VALUE"""),7)</f>
        <v>7</v>
      </c>
      <c r="O67" s="8" t="str">
        <f ca="1">IFERROR(__xludf.DUMMYFUNCTION("""COMPUTED_VALUE"""),"Proficient I")</f>
        <v>Proficient I</v>
      </c>
      <c r="P67" s="8">
        <f ca="1">IFERROR(__xludf.DUMMYFUNCTION("""COMPUTED_VALUE"""),1)</f>
        <v>1</v>
      </c>
      <c r="Q67" s="8">
        <f ca="1">IFERROR(__xludf.DUMMYFUNCTION("""COMPUTED_VALUE"""),1.5)</f>
        <v>1.5</v>
      </c>
      <c r="R67" s="8">
        <f ca="1">IFERROR(__xludf.DUMMYFUNCTION("""COMPUTED_VALUE"""),2.5)</f>
        <v>2.5</v>
      </c>
      <c r="S67" s="8">
        <f ca="1">IFERROR(__xludf.DUMMYFUNCTION("""COMPUTED_VALUE"""),2)</f>
        <v>2</v>
      </c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</row>
    <row r="68" spans="1:31" ht="13.15" x14ac:dyDescent="0.4">
      <c r="A68" s="8"/>
      <c r="B68" s="8"/>
      <c r="C68" s="8"/>
      <c r="D68" s="8"/>
      <c r="E68" s="8" t="str">
        <f ca="1">IFERROR(__xludf.DUMMYFUNCTION("""COMPUTED_VALUE"""),"SAM")</f>
        <v>SAM</v>
      </c>
      <c r="F68" s="8" t="str">
        <f ca="1">IFERROR(__xludf.DUMMYFUNCTION("""COMPUTED_VALUE"""),"Learning Coach")</f>
        <v>Learning Coach</v>
      </c>
      <c r="G68" s="8" t="str">
        <f ca="1">IFERROR(__xludf.DUMMYFUNCTION("""COMPUTED_VALUE"""),"Jaqueline Bonilla")</f>
        <v>Jaqueline Bonilla</v>
      </c>
      <c r="H68" s="8" t="str">
        <f ca="1">IFERROR(__xludf.DUMMYFUNCTION("""COMPUTED_VALUE"""),"Keena Olivas")</f>
        <v>Keena Olivas</v>
      </c>
      <c r="I68" s="9">
        <f ca="1">IFERROR(__xludf.DUMMYFUNCTION("""COMPUTED_VALUE"""),45356)</f>
        <v>45356</v>
      </c>
      <c r="J68" s="9">
        <f ca="1">IFERROR(__xludf.DUMMYFUNCTION("""COMPUTED_VALUE"""),45357)</f>
        <v>45357</v>
      </c>
      <c r="K68" s="8" t="str">
        <f ca="1">IFERROR(__xludf.DUMMYFUNCTION("""COMPUTED_VALUE"""),"AM")</f>
        <v>AM</v>
      </c>
      <c r="L68" s="11"/>
      <c r="M68" s="8"/>
      <c r="N68" s="8">
        <f ca="1">IFERROR(__xludf.DUMMYFUNCTION("""COMPUTED_VALUE"""),7)</f>
        <v>7</v>
      </c>
      <c r="O68" s="8" t="str">
        <f ca="1">IFERROR(__xludf.DUMMYFUNCTION("""COMPUTED_VALUE"""),"Proficient I")</f>
        <v>Proficient I</v>
      </c>
      <c r="P68" s="8">
        <f ca="1">IFERROR(__xludf.DUMMYFUNCTION("""COMPUTED_VALUE"""),1.5)</f>
        <v>1.5</v>
      </c>
      <c r="Q68" s="8">
        <f ca="1">IFERROR(__xludf.DUMMYFUNCTION("""COMPUTED_VALUE"""),3)</f>
        <v>3</v>
      </c>
      <c r="R68" s="8">
        <f ca="1">IFERROR(__xludf.DUMMYFUNCTION("""COMPUTED_VALUE"""),2.5)</f>
        <v>2.5</v>
      </c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</row>
    <row r="69" spans="1:31" ht="13.15" x14ac:dyDescent="0.4">
      <c r="A69" s="8"/>
      <c r="B69" s="8"/>
      <c r="C69" s="8"/>
      <c r="D69" s="8"/>
      <c r="E69" s="8" t="str">
        <f ca="1">IFERROR(__xludf.DUMMYFUNCTION("""COMPUTED_VALUE"""),"SAM")</f>
        <v>SAM</v>
      </c>
      <c r="F69" s="8" t="str">
        <f ca="1">IFERROR(__xludf.DUMMYFUNCTION("""COMPUTED_VALUE"""),"Core Subject With LSAE")</f>
        <v>Core Subject With LSAE</v>
      </c>
      <c r="G69" s="8" t="str">
        <f ca="1">IFERROR(__xludf.DUMMYFUNCTION("""COMPUTED_VALUE"""),"Helene Reznikov")</f>
        <v>Helene Reznikov</v>
      </c>
      <c r="H69" s="8" t="str">
        <f ca="1">IFERROR(__xludf.DUMMYFUNCTION("""COMPUTED_VALUE"""),"Keena Olivas")</f>
        <v>Keena Olivas</v>
      </c>
      <c r="I69" s="9">
        <f ca="1">IFERROR(__xludf.DUMMYFUNCTION("""COMPUTED_VALUE"""),45357)</f>
        <v>45357</v>
      </c>
      <c r="J69" s="9">
        <f ca="1">IFERROR(__xludf.DUMMYFUNCTION("""COMPUTED_VALUE"""),45358)</f>
        <v>45358</v>
      </c>
      <c r="K69" s="8" t="str">
        <f ca="1">IFERROR(__xludf.DUMMYFUNCTION("""COMPUTED_VALUE"""),"AM")</f>
        <v>AM</v>
      </c>
      <c r="L69" s="8" t="str">
        <f ca="1">IFERROR(__xludf.DUMMYFUNCTION("""COMPUTED_VALUE"""),"4th Grade")</f>
        <v>4th Grade</v>
      </c>
      <c r="M69" s="8" t="str">
        <f ca="1">IFERROR(__xludf.DUMMYFUNCTION("""COMPUTED_VALUE"""),"Math")</f>
        <v>Math</v>
      </c>
      <c r="N69" s="8">
        <f ca="1">IFERROR(__xludf.DUMMYFUNCTION("""COMPUTED_VALUE"""),7)</f>
        <v>7</v>
      </c>
      <c r="O69" s="8" t="str">
        <f ca="1">IFERROR(__xludf.DUMMYFUNCTION("""COMPUTED_VALUE"""),"Proficient I")</f>
        <v>Proficient I</v>
      </c>
      <c r="P69" s="8">
        <f ca="1">IFERROR(__xludf.DUMMYFUNCTION("""COMPUTED_VALUE"""),1)</f>
        <v>1</v>
      </c>
      <c r="Q69" s="8">
        <f ca="1">IFERROR(__xludf.DUMMYFUNCTION("""COMPUTED_VALUE"""),2)</f>
        <v>2</v>
      </c>
      <c r="R69" s="8">
        <f ca="1">IFERROR(__xludf.DUMMYFUNCTION("""COMPUTED_VALUE"""),2)</f>
        <v>2</v>
      </c>
      <c r="S69" s="8">
        <f ca="1">IFERROR(__xludf.DUMMYFUNCTION("""COMPUTED_VALUE"""),2)</f>
        <v>2</v>
      </c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</row>
    <row r="70" spans="1:31" ht="13.15" x14ac:dyDescent="0.4">
      <c r="A70" s="8"/>
      <c r="B70" s="8"/>
      <c r="C70" s="8"/>
      <c r="D70" s="8"/>
      <c r="E70" s="8" t="str">
        <f ca="1">IFERROR(__xludf.DUMMYFUNCTION("""COMPUTED_VALUE"""),"SAM")</f>
        <v>SAM</v>
      </c>
      <c r="F70" s="8" t="str">
        <f ca="1">IFERROR(__xludf.DUMMYFUNCTION("""COMPUTED_VALUE"""),"Core Subject No LSAE")</f>
        <v>Core Subject No LSAE</v>
      </c>
      <c r="G70" s="8" t="str">
        <f ca="1">IFERROR(__xludf.DUMMYFUNCTION("""COMPUTED_VALUE"""),"Rosalinda Happ")</f>
        <v>Rosalinda Happ</v>
      </c>
      <c r="H70" s="8" t="str">
        <f ca="1">IFERROR(__xludf.DUMMYFUNCTION("""COMPUTED_VALUE"""),"Keena Olivas")</f>
        <v>Keena Olivas</v>
      </c>
      <c r="I70" s="9">
        <f ca="1">IFERROR(__xludf.DUMMYFUNCTION("""COMPUTED_VALUE"""),45358)</f>
        <v>45358</v>
      </c>
      <c r="J70" s="9">
        <f ca="1">IFERROR(__xludf.DUMMYFUNCTION("""COMPUTED_VALUE"""),45358)</f>
        <v>45358</v>
      </c>
      <c r="K70" s="8" t="str">
        <f ca="1">IFERROR(__xludf.DUMMYFUNCTION("""COMPUTED_VALUE"""),"PM")</f>
        <v>PM</v>
      </c>
      <c r="L70" s="8" t="str">
        <f ca="1">IFERROR(__xludf.DUMMYFUNCTION("""COMPUTED_VALUE"""),"4th Grade")</f>
        <v>4th Grade</v>
      </c>
      <c r="M70" s="8" t="str">
        <f ca="1">IFERROR(__xludf.DUMMYFUNCTION("""COMPUTED_VALUE"""),"Science")</f>
        <v>Science</v>
      </c>
      <c r="N70" s="8">
        <f ca="1">IFERROR(__xludf.DUMMYFUNCTION("""COMPUTED_VALUE"""),6)</f>
        <v>6</v>
      </c>
      <c r="O70" s="8" t="str">
        <f ca="1">IFERROR(__xludf.DUMMYFUNCTION("""COMPUTED_VALUE"""),"Proficient I")</f>
        <v>Proficient I</v>
      </c>
      <c r="P70" s="8">
        <f ca="1">IFERROR(__xludf.DUMMYFUNCTION("""COMPUTED_VALUE"""),1)</f>
        <v>1</v>
      </c>
      <c r="Q70" s="8">
        <f ca="1">IFERROR(__xludf.DUMMYFUNCTION("""COMPUTED_VALUE"""),2.5)</f>
        <v>2.5</v>
      </c>
      <c r="R70" s="8">
        <f ca="1">IFERROR(__xludf.DUMMYFUNCTION("""COMPUTED_VALUE"""),2.5)</f>
        <v>2.5</v>
      </c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</row>
    <row r="71" spans="1:31" ht="13.15" x14ac:dyDescent="0.4">
      <c r="A71" s="8"/>
      <c r="B71" s="8"/>
      <c r="C71" s="8"/>
      <c r="D71" s="8"/>
      <c r="E71" s="8" t="str">
        <f ca="1">IFERROR(__xludf.DUMMYFUNCTION("""COMPUTED_VALUE"""),"SAM")</f>
        <v>SAM</v>
      </c>
      <c r="F71" s="8" t="str">
        <f ca="1">IFERROR(__xludf.DUMMYFUNCTION("""COMPUTED_VALUE"""),"Core Subject With LSAE")</f>
        <v>Core Subject With LSAE</v>
      </c>
      <c r="G71" s="8" t="str">
        <f ca="1">IFERROR(__xludf.DUMMYFUNCTION("""COMPUTED_VALUE"""),"Melissa Essien")</f>
        <v>Melissa Essien</v>
      </c>
      <c r="H71" s="8" t="str">
        <f ca="1">IFERROR(__xludf.DUMMYFUNCTION("""COMPUTED_VALUE"""),"Keena Olivas")</f>
        <v>Keena Olivas</v>
      </c>
      <c r="I71" s="9">
        <f ca="1">IFERROR(__xludf.DUMMYFUNCTION("""COMPUTED_VALUE"""),45358)</f>
        <v>45358</v>
      </c>
      <c r="J71" s="9">
        <f ca="1">IFERROR(__xludf.DUMMYFUNCTION("""COMPUTED_VALUE"""),45358)</f>
        <v>45358</v>
      </c>
      <c r="K71" s="8" t="str">
        <f ca="1">IFERROR(__xludf.DUMMYFUNCTION("""COMPUTED_VALUE"""),"AM")</f>
        <v>AM</v>
      </c>
      <c r="L71" s="8" t="str">
        <f ca="1">IFERROR(__xludf.DUMMYFUNCTION("""COMPUTED_VALUE"""),"5th Grade")</f>
        <v>5th Grade</v>
      </c>
      <c r="M71" s="8" t="str">
        <f ca="1">IFERROR(__xludf.DUMMYFUNCTION("""COMPUTED_VALUE"""),"ELA")</f>
        <v>ELA</v>
      </c>
      <c r="N71" s="8">
        <f ca="1">IFERROR(__xludf.DUMMYFUNCTION("""COMPUTED_VALUE"""),6.5)</f>
        <v>6.5</v>
      </c>
      <c r="O71" s="8" t="str">
        <f ca="1">IFERROR(__xludf.DUMMYFUNCTION("""COMPUTED_VALUE"""),"Proficient I")</f>
        <v>Proficient I</v>
      </c>
      <c r="P71" s="8">
        <f ca="1">IFERROR(__xludf.DUMMYFUNCTION("""COMPUTED_VALUE"""),1)</f>
        <v>1</v>
      </c>
      <c r="Q71" s="8">
        <f ca="1">IFERROR(__xludf.DUMMYFUNCTION("""COMPUTED_VALUE"""),1.5)</f>
        <v>1.5</v>
      </c>
      <c r="R71" s="8">
        <f ca="1">IFERROR(__xludf.DUMMYFUNCTION("""COMPUTED_VALUE"""),2)</f>
        <v>2</v>
      </c>
      <c r="S71" s="8">
        <f ca="1">IFERROR(__xludf.DUMMYFUNCTION("""COMPUTED_VALUE"""),2)</f>
        <v>2</v>
      </c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</row>
    <row r="72" spans="1:31" ht="13.15" x14ac:dyDescent="0.4">
      <c r="A72" s="8"/>
      <c r="B72" s="8"/>
      <c r="C72" s="8"/>
      <c r="D72" s="8"/>
      <c r="E72" s="8" t="str">
        <f ca="1">IFERROR(__xludf.DUMMYFUNCTION("""COMPUTED_VALUE"""),"SAM")</f>
        <v>SAM</v>
      </c>
      <c r="F72" s="8" t="str">
        <f ca="1">IFERROR(__xludf.DUMMYFUNCTION("""COMPUTED_VALUE"""),"Learning Coach")</f>
        <v>Learning Coach</v>
      </c>
      <c r="G72" s="8" t="str">
        <f ca="1">IFERROR(__xludf.DUMMYFUNCTION("""COMPUTED_VALUE"""),"Monica Nettles")</f>
        <v>Monica Nettles</v>
      </c>
      <c r="H72" s="8" t="str">
        <f ca="1">IFERROR(__xludf.DUMMYFUNCTION("""COMPUTED_VALUE"""),"Keena Olivas")</f>
        <v>Keena Olivas</v>
      </c>
      <c r="I72" s="9">
        <f ca="1">IFERROR(__xludf.DUMMYFUNCTION("""COMPUTED_VALUE"""),45358)</f>
        <v>45358</v>
      </c>
      <c r="J72" s="9"/>
      <c r="K72" s="8" t="str">
        <f ca="1">IFERROR(__xludf.DUMMYFUNCTION("""COMPUTED_VALUE"""),"PM")</f>
        <v>PM</v>
      </c>
      <c r="L72" s="8"/>
      <c r="M72" s="8"/>
      <c r="N72" s="8">
        <f ca="1">IFERROR(__xludf.DUMMYFUNCTION("""COMPUTED_VALUE"""),6.5)</f>
        <v>6.5</v>
      </c>
      <c r="O72" s="8" t="str">
        <f ca="1">IFERROR(__xludf.DUMMYFUNCTION("""COMPUTED_VALUE"""),"Proficient I")</f>
        <v>Proficient I</v>
      </c>
      <c r="P72" s="8">
        <f ca="1">IFERROR(__xludf.DUMMYFUNCTION("""COMPUTED_VALUE"""),1.5)</f>
        <v>1.5</v>
      </c>
      <c r="Q72" s="8">
        <f ca="1">IFERROR(__xludf.DUMMYFUNCTION("""COMPUTED_VALUE"""),3)</f>
        <v>3</v>
      </c>
      <c r="R72" s="8">
        <f ca="1">IFERROR(__xludf.DUMMYFUNCTION("""COMPUTED_VALUE"""),2)</f>
        <v>2</v>
      </c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</row>
    <row r="73" spans="1:31" ht="13.15" x14ac:dyDescent="0.4">
      <c r="A73" s="8"/>
      <c r="B73" s="8"/>
      <c r="C73" s="8"/>
      <c r="D73" s="8"/>
      <c r="E73" s="8" t="str">
        <f ca="1">IFERROR(__xludf.DUMMYFUNCTION("""COMPUTED_VALUE"""),"SAM")</f>
        <v>SAM</v>
      </c>
      <c r="F73" s="8" t="str">
        <f ca="1">IFERROR(__xludf.DUMMYFUNCTION("""COMPUTED_VALUE"""),"Core Subject With LSAE")</f>
        <v>Core Subject With LSAE</v>
      </c>
      <c r="G73" s="8" t="str">
        <f ca="1">IFERROR(__xludf.DUMMYFUNCTION("""COMPUTED_VALUE"""),"Amanda Cooper")</f>
        <v>Amanda Cooper</v>
      </c>
      <c r="H73" s="8" t="str">
        <f ca="1">IFERROR(__xludf.DUMMYFUNCTION("""COMPUTED_VALUE"""),"Keena Olivas")</f>
        <v>Keena Olivas</v>
      </c>
      <c r="I73" s="9">
        <f ca="1">IFERROR(__xludf.DUMMYFUNCTION("""COMPUTED_VALUE"""),45359)</f>
        <v>45359</v>
      </c>
      <c r="J73" s="9">
        <f ca="1">IFERROR(__xludf.DUMMYFUNCTION("""COMPUTED_VALUE"""),45359)</f>
        <v>45359</v>
      </c>
      <c r="K73" s="8" t="str">
        <f ca="1">IFERROR(__xludf.DUMMYFUNCTION("""COMPUTED_VALUE"""),"AM")</f>
        <v>AM</v>
      </c>
      <c r="L73" s="8" t="str">
        <f ca="1">IFERROR(__xludf.DUMMYFUNCTION("""COMPUTED_VALUE"""),"4th Grade")</f>
        <v>4th Grade</v>
      </c>
      <c r="M73" s="8" t="str">
        <f ca="1">IFERROR(__xludf.DUMMYFUNCTION("""COMPUTED_VALUE"""),"Science")</f>
        <v>Science</v>
      </c>
      <c r="N73" s="8">
        <f ca="1">IFERROR(__xludf.DUMMYFUNCTION("""COMPUTED_VALUE"""),8)</f>
        <v>8</v>
      </c>
      <c r="O73" s="8" t="str">
        <f ca="1">IFERROR(__xludf.DUMMYFUNCTION("""COMPUTED_VALUE"""),"Proficient II")</f>
        <v>Proficient II</v>
      </c>
      <c r="P73" s="8">
        <f ca="1">IFERROR(__xludf.DUMMYFUNCTION("""COMPUTED_VALUE"""),1)</f>
        <v>1</v>
      </c>
      <c r="Q73" s="8">
        <f ca="1">IFERROR(__xludf.DUMMYFUNCTION("""COMPUTED_VALUE"""),2.5)</f>
        <v>2.5</v>
      </c>
      <c r="R73" s="8">
        <f ca="1">IFERROR(__xludf.DUMMYFUNCTION("""COMPUTED_VALUE"""),2.5)</f>
        <v>2.5</v>
      </c>
      <c r="S73" s="8">
        <f ca="1">IFERROR(__xludf.DUMMYFUNCTION("""COMPUTED_VALUE"""),2)</f>
        <v>2</v>
      </c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</row>
    <row r="74" spans="1:31" ht="13.15" x14ac:dyDescent="0.4">
      <c r="A74" s="8"/>
      <c r="B74" s="8"/>
      <c r="C74" s="8"/>
      <c r="D74" s="8"/>
      <c r="E74" s="8" t="str">
        <f ca="1">IFERROR(__xludf.DUMMYFUNCTION("""COMPUTED_VALUE"""),"SAM")</f>
        <v>SAM</v>
      </c>
      <c r="F74" s="8" t="str">
        <f ca="1">IFERROR(__xludf.DUMMYFUNCTION("""COMPUTED_VALUE"""),"Learning Coach")</f>
        <v>Learning Coach</v>
      </c>
      <c r="G74" s="8" t="str">
        <f ca="1">IFERROR(__xludf.DUMMYFUNCTION("""COMPUTED_VALUE"""),"Christopher Allcorn")</f>
        <v>Christopher Allcorn</v>
      </c>
      <c r="H74" s="8" t="str">
        <f ca="1">IFERROR(__xludf.DUMMYFUNCTION("""COMPUTED_VALUE"""),"Keena Olivas")</f>
        <v>Keena Olivas</v>
      </c>
      <c r="I74" s="9">
        <f ca="1">IFERROR(__xludf.DUMMYFUNCTION("""COMPUTED_VALUE"""),45359)</f>
        <v>45359</v>
      </c>
      <c r="J74" s="9">
        <f ca="1">IFERROR(__xludf.DUMMYFUNCTION("""COMPUTED_VALUE"""),45359)</f>
        <v>45359</v>
      </c>
      <c r="K74" s="8" t="str">
        <f ca="1">IFERROR(__xludf.DUMMYFUNCTION("""COMPUTED_VALUE"""),"AM")</f>
        <v>AM</v>
      </c>
      <c r="L74" s="8"/>
      <c r="M74" s="8"/>
      <c r="N74" s="8">
        <f ca="1">IFERROR(__xludf.DUMMYFUNCTION("""COMPUTED_VALUE"""),7)</f>
        <v>7</v>
      </c>
      <c r="O74" s="8" t="str">
        <f ca="1">IFERROR(__xludf.DUMMYFUNCTION("""COMPUTED_VALUE"""),"Proficient I")</f>
        <v>Proficient I</v>
      </c>
      <c r="P74" s="8">
        <f ca="1">IFERROR(__xludf.DUMMYFUNCTION("""COMPUTED_VALUE"""),2)</f>
        <v>2</v>
      </c>
      <c r="Q74" s="8">
        <f ca="1">IFERROR(__xludf.DUMMYFUNCTION("""COMPUTED_VALUE"""),3)</f>
        <v>3</v>
      </c>
      <c r="R74" s="8">
        <f ca="1">IFERROR(__xludf.DUMMYFUNCTION("""COMPUTED_VALUE"""),2)</f>
        <v>2</v>
      </c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</row>
    <row r="75" spans="1:31" ht="13.15" x14ac:dyDescent="0.4">
      <c r="A75" s="8"/>
      <c r="B75" s="8"/>
      <c r="C75" s="8"/>
      <c r="D75" s="8"/>
      <c r="E75" s="8" t="str">
        <f ca="1">IFERROR(__xludf.DUMMYFUNCTION("""COMPUTED_VALUE"""),"SAM")</f>
        <v>SAM</v>
      </c>
      <c r="F75" s="8" t="str">
        <f ca="1">IFERROR(__xludf.DUMMYFUNCTION("""COMPUTED_VALUE"""),"Core Subject With LSAE")</f>
        <v>Core Subject With LSAE</v>
      </c>
      <c r="G75" s="8" t="str">
        <f ca="1">IFERROR(__xludf.DUMMYFUNCTION("""COMPUTED_VALUE"""),"Kelcie McCain")</f>
        <v>Kelcie McCain</v>
      </c>
      <c r="H75" s="8" t="str">
        <f ca="1">IFERROR(__xludf.DUMMYFUNCTION("""COMPUTED_VALUE"""),"Myrna Hinojosa")</f>
        <v>Myrna Hinojosa</v>
      </c>
      <c r="I75" s="9">
        <f ca="1">IFERROR(__xludf.DUMMYFUNCTION("""COMPUTED_VALUE"""),45355)</f>
        <v>45355</v>
      </c>
      <c r="J75" s="9">
        <f ca="1">IFERROR(__xludf.DUMMYFUNCTION("""COMPUTED_VALUE"""),45355)</f>
        <v>45355</v>
      </c>
      <c r="K75" s="8" t="str">
        <f ca="1">IFERROR(__xludf.DUMMYFUNCTION("""COMPUTED_VALUE"""),"PM")</f>
        <v>PM</v>
      </c>
      <c r="L75" s="11" t="str">
        <f ca="1">IFERROR(__xludf.DUMMYFUNCTION("""COMPUTED_VALUE"""),"3rd Grade")</f>
        <v>3rd Grade</v>
      </c>
      <c r="M75" s="8" t="str">
        <f ca="1">IFERROR(__xludf.DUMMYFUNCTION("""COMPUTED_VALUE"""),"Science")</f>
        <v>Science</v>
      </c>
      <c r="N75" s="8">
        <f ca="1">IFERROR(__xludf.DUMMYFUNCTION("""COMPUTED_VALUE"""),5.5)</f>
        <v>5.5</v>
      </c>
      <c r="O75" s="8" t="str">
        <f ca="1">IFERROR(__xludf.DUMMYFUNCTION("""COMPUTED_VALUE"""),"Progressing")</f>
        <v>Progressing</v>
      </c>
      <c r="P75" s="8">
        <f ca="1">IFERROR(__xludf.DUMMYFUNCTION("""COMPUTED_VALUE"""),1)</f>
        <v>1</v>
      </c>
      <c r="Q75" s="8">
        <f ca="1">IFERROR(__xludf.DUMMYFUNCTION("""COMPUTED_VALUE"""),2)</f>
        <v>2</v>
      </c>
      <c r="R75" s="8">
        <f ca="1">IFERROR(__xludf.DUMMYFUNCTION("""COMPUTED_VALUE"""),2.5)</f>
        <v>2.5</v>
      </c>
      <c r="S75" s="8">
        <f ca="1">IFERROR(__xludf.DUMMYFUNCTION("""COMPUTED_VALUE"""),0)</f>
        <v>0</v>
      </c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</row>
    <row r="76" spans="1:31" ht="13.15" x14ac:dyDescent="0.4">
      <c r="A76" s="8"/>
      <c r="B76" s="8"/>
      <c r="C76" s="8"/>
      <c r="D76" s="8"/>
      <c r="E76" s="8" t="str">
        <f ca="1">IFERROR(__xludf.DUMMYFUNCTION("""COMPUTED_VALUE"""),"SAM")</f>
        <v>SAM</v>
      </c>
      <c r="F76" s="8" t="str">
        <f ca="1">IFERROR(__xludf.DUMMYFUNCTION("""COMPUTED_VALUE"""),"Core Subject No LSAE")</f>
        <v>Core Subject No LSAE</v>
      </c>
      <c r="G76" s="8" t="str">
        <f ca="1">IFERROR(__xludf.DUMMYFUNCTION("""COMPUTED_VALUE"""),"Malakhi Macareno")</f>
        <v>Malakhi Macareno</v>
      </c>
      <c r="H76" s="8" t="str">
        <f ca="1">IFERROR(__xludf.DUMMYFUNCTION("""COMPUTED_VALUE"""),"Myrna Hinojosa")</f>
        <v>Myrna Hinojosa</v>
      </c>
      <c r="I76" s="9">
        <f ca="1">IFERROR(__xludf.DUMMYFUNCTION("""COMPUTED_VALUE"""),45356)</f>
        <v>45356</v>
      </c>
      <c r="J76" s="9"/>
      <c r="K76" s="8" t="str">
        <f ca="1">IFERROR(__xludf.DUMMYFUNCTION("""COMPUTED_VALUE"""),"AM")</f>
        <v>AM</v>
      </c>
      <c r="L76" s="11" t="str">
        <f ca="1">IFERROR(__xludf.DUMMYFUNCTION("""COMPUTED_VALUE"""),"2nd Grade")</f>
        <v>2nd Grade</v>
      </c>
      <c r="M76" s="8" t="str">
        <f ca="1">IFERROR(__xludf.DUMMYFUNCTION("""COMPUTED_VALUE"""),"Math")</f>
        <v>Math</v>
      </c>
      <c r="N76" s="8">
        <f ca="1">IFERROR(__xludf.DUMMYFUNCTION("""COMPUTED_VALUE"""),7)</f>
        <v>7</v>
      </c>
      <c r="O76" s="8" t="str">
        <f ca="1">IFERROR(__xludf.DUMMYFUNCTION("""COMPUTED_VALUE"""),"Proficient I")</f>
        <v>Proficient I</v>
      </c>
      <c r="P76" s="8">
        <f ca="1">IFERROR(__xludf.DUMMYFUNCTION("""COMPUTED_VALUE"""),1.5)</f>
        <v>1.5</v>
      </c>
      <c r="Q76" s="8">
        <f ca="1">IFERROR(__xludf.DUMMYFUNCTION("""COMPUTED_VALUE"""),3)</f>
        <v>3</v>
      </c>
      <c r="R76" s="8">
        <f ca="1">IFERROR(__xludf.DUMMYFUNCTION("""COMPUTED_VALUE"""),2.5)</f>
        <v>2.5</v>
      </c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</row>
    <row r="77" spans="1:31" ht="13.15" x14ac:dyDescent="0.4">
      <c r="A77" s="8"/>
      <c r="B77" s="8"/>
      <c r="C77" s="8"/>
      <c r="D77" s="8"/>
      <c r="E77" s="8" t="str">
        <f ca="1">IFERROR(__xludf.DUMMYFUNCTION("""COMPUTED_VALUE"""),"SAM")</f>
        <v>SAM</v>
      </c>
      <c r="F77" s="8" t="str">
        <f ca="1">IFERROR(__xludf.DUMMYFUNCTION("""COMPUTED_VALUE"""),"K-1")</f>
        <v>K-1</v>
      </c>
      <c r="G77" s="8" t="str">
        <f ca="1">IFERROR(__xludf.DUMMYFUNCTION("""COMPUTED_VALUE"""),"Ashley Jones")</f>
        <v>Ashley Jones</v>
      </c>
      <c r="H77" s="8" t="str">
        <f ca="1">IFERROR(__xludf.DUMMYFUNCTION("""COMPUTED_VALUE"""),"Myrna Hinojosa")</f>
        <v>Myrna Hinojosa</v>
      </c>
      <c r="I77" s="9">
        <f ca="1">IFERROR(__xludf.DUMMYFUNCTION("""COMPUTED_VALUE"""),45356)</f>
        <v>45356</v>
      </c>
      <c r="J77" s="9">
        <f ca="1">IFERROR(__xludf.DUMMYFUNCTION("""COMPUTED_VALUE"""),45356)</f>
        <v>45356</v>
      </c>
      <c r="K77" s="8" t="str">
        <f ca="1">IFERROR(__xludf.DUMMYFUNCTION("""COMPUTED_VALUE"""),"AM")</f>
        <v>AM</v>
      </c>
      <c r="L77" s="8" t="str">
        <f ca="1">IFERROR(__xludf.DUMMYFUNCTION("""COMPUTED_VALUE"""),"Kindergarten")</f>
        <v>Kindergarten</v>
      </c>
      <c r="M77" s="8" t="str">
        <f ca="1">IFERROR(__xludf.DUMMYFUNCTION("""COMPUTED_VALUE"""),"Math")</f>
        <v>Math</v>
      </c>
      <c r="N77" s="8">
        <f ca="1">IFERROR(__xludf.DUMMYFUNCTION("""COMPUTED_VALUE"""),8)</f>
        <v>8</v>
      </c>
      <c r="O77" s="8" t="str">
        <f ca="1">IFERROR(__xludf.DUMMYFUNCTION("""COMPUTED_VALUE"""),"Proficient II")</f>
        <v>Proficient II</v>
      </c>
      <c r="P77" s="8">
        <f ca="1">IFERROR(__xludf.DUMMYFUNCTION("""COMPUTED_VALUE"""),1)</f>
        <v>1</v>
      </c>
      <c r="Q77" s="8">
        <f ca="1">IFERROR(__xludf.DUMMYFUNCTION("""COMPUTED_VALUE"""),2.5)</f>
        <v>2.5</v>
      </c>
      <c r="R77" s="8">
        <f ca="1">IFERROR(__xludf.DUMMYFUNCTION("""COMPUTED_VALUE"""),3.5)</f>
        <v>3.5</v>
      </c>
      <c r="S77" s="8">
        <f ca="1">IFERROR(__xludf.DUMMYFUNCTION("""COMPUTED_VALUE"""),1)</f>
        <v>1</v>
      </c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</row>
    <row r="78" spans="1:31" ht="13.15" x14ac:dyDescent="0.4">
      <c r="A78" s="8"/>
      <c r="B78" s="8"/>
      <c r="C78" s="8"/>
      <c r="D78" s="8"/>
      <c r="E78" s="8" t="str">
        <f ca="1">IFERROR(__xludf.DUMMYFUNCTION("""COMPUTED_VALUE"""),"SAM")</f>
        <v>SAM</v>
      </c>
      <c r="F78" s="8" t="str">
        <f ca="1">IFERROR(__xludf.DUMMYFUNCTION("""COMPUTED_VALUE"""),"K-1")</f>
        <v>K-1</v>
      </c>
      <c r="G78" s="8" t="str">
        <f ca="1">IFERROR(__xludf.DUMMYFUNCTION("""COMPUTED_VALUE"""),"Dana Ntim")</f>
        <v>Dana Ntim</v>
      </c>
      <c r="H78" s="8" t="str">
        <f ca="1">IFERROR(__xludf.DUMMYFUNCTION("""COMPUTED_VALUE"""),"Myrna Hinojosa")</f>
        <v>Myrna Hinojosa</v>
      </c>
      <c r="I78" s="9">
        <f ca="1">IFERROR(__xludf.DUMMYFUNCTION("""COMPUTED_VALUE"""),45356)</f>
        <v>45356</v>
      </c>
      <c r="J78" s="9">
        <f ca="1">IFERROR(__xludf.DUMMYFUNCTION("""COMPUTED_VALUE"""),45358)</f>
        <v>45358</v>
      </c>
      <c r="K78" s="8" t="str">
        <f ca="1">IFERROR(__xludf.DUMMYFUNCTION("""COMPUTED_VALUE"""),"AM")</f>
        <v>AM</v>
      </c>
      <c r="L78" s="8" t="str">
        <f ca="1">IFERROR(__xludf.DUMMYFUNCTION("""COMPUTED_VALUE"""),"1st Grade")</f>
        <v>1st Grade</v>
      </c>
      <c r="M78" s="8" t="str">
        <f ca="1">IFERROR(__xludf.DUMMYFUNCTION("""COMPUTED_VALUE"""),"Math")</f>
        <v>Math</v>
      </c>
      <c r="N78" s="8">
        <f ca="1">IFERROR(__xludf.DUMMYFUNCTION("""COMPUTED_VALUE"""),7)</f>
        <v>7</v>
      </c>
      <c r="O78" s="8" t="str">
        <f ca="1">IFERROR(__xludf.DUMMYFUNCTION("""COMPUTED_VALUE"""),"Proficient I")</f>
        <v>Proficient I</v>
      </c>
      <c r="P78" s="8">
        <f ca="1">IFERROR(__xludf.DUMMYFUNCTION("""COMPUTED_VALUE"""),1)</f>
        <v>1</v>
      </c>
      <c r="Q78" s="8">
        <f ca="1">IFERROR(__xludf.DUMMYFUNCTION("""COMPUTED_VALUE"""),2)</f>
        <v>2</v>
      </c>
      <c r="R78" s="8">
        <f ca="1">IFERROR(__xludf.DUMMYFUNCTION("""COMPUTED_VALUE"""),3)</f>
        <v>3</v>
      </c>
      <c r="S78" s="8">
        <f ca="1">IFERROR(__xludf.DUMMYFUNCTION("""COMPUTED_VALUE"""),1)</f>
        <v>1</v>
      </c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</row>
    <row r="79" spans="1:31" ht="13.15" x14ac:dyDescent="0.4">
      <c r="A79" s="8"/>
      <c r="B79" s="8"/>
      <c r="C79" s="8"/>
      <c r="D79" s="8"/>
      <c r="E79" s="8" t="str">
        <f ca="1">IFERROR(__xludf.DUMMYFUNCTION("""COMPUTED_VALUE"""),"SAM")</f>
        <v>SAM</v>
      </c>
      <c r="F79" s="8" t="str">
        <f ca="1">IFERROR(__xludf.DUMMYFUNCTION("""COMPUTED_VALUE"""),"K-1")</f>
        <v>K-1</v>
      </c>
      <c r="G79" s="8" t="str">
        <f ca="1">IFERROR(__xludf.DUMMYFUNCTION("""COMPUTED_VALUE"""),"Megan Bailey")</f>
        <v>Megan Bailey</v>
      </c>
      <c r="H79" s="8" t="str">
        <f ca="1">IFERROR(__xludf.DUMMYFUNCTION("""COMPUTED_VALUE"""),"Myrna Hinojosa")</f>
        <v>Myrna Hinojosa</v>
      </c>
      <c r="I79" s="9">
        <f ca="1">IFERROR(__xludf.DUMMYFUNCTION("""COMPUTED_VALUE"""),45357)</f>
        <v>45357</v>
      </c>
      <c r="J79" s="9">
        <f ca="1">IFERROR(__xludf.DUMMYFUNCTION("""COMPUTED_VALUE"""),45358)</f>
        <v>45358</v>
      </c>
      <c r="K79" s="8" t="str">
        <f ca="1">IFERROR(__xludf.DUMMYFUNCTION("""COMPUTED_VALUE"""),"AM")</f>
        <v>AM</v>
      </c>
      <c r="L79" s="8" t="str">
        <f ca="1">IFERROR(__xludf.DUMMYFUNCTION("""COMPUTED_VALUE"""),"1st Grade")</f>
        <v>1st Grade</v>
      </c>
      <c r="M79" s="8" t="str">
        <f ca="1">IFERROR(__xludf.DUMMYFUNCTION("""COMPUTED_VALUE"""),"Math")</f>
        <v>Math</v>
      </c>
      <c r="N79" s="8">
        <f ca="1">IFERROR(__xludf.DUMMYFUNCTION("""COMPUTED_VALUE"""),7.5)</f>
        <v>7.5</v>
      </c>
      <c r="O79" s="8" t="str">
        <f ca="1">IFERROR(__xludf.DUMMYFUNCTION("""COMPUTED_VALUE"""),"Proficient I")</f>
        <v>Proficient I</v>
      </c>
      <c r="P79" s="8">
        <f ca="1">IFERROR(__xludf.DUMMYFUNCTION("""COMPUTED_VALUE"""),1)</f>
        <v>1</v>
      </c>
      <c r="Q79" s="8">
        <f ca="1">IFERROR(__xludf.DUMMYFUNCTION("""COMPUTED_VALUE"""),2.5)</f>
        <v>2.5</v>
      </c>
      <c r="R79" s="8">
        <f ca="1">IFERROR(__xludf.DUMMYFUNCTION("""COMPUTED_VALUE"""),3)</f>
        <v>3</v>
      </c>
      <c r="S79" s="8">
        <f ca="1">IFERROR(__xludf.DUMMYFUNCTION("""COMPUTED_VALUE"""),1)</f>
        <v>1</v>
      </c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</row>
    <row r="80" spans="1:31" ht="13.15" x14ac:dyDescent="0.4">
      <c r="A80" s="8"/>
      <c r="B80" s="8"/>
      <c r="C80" s="8"/>
      <c r="D80" s="8"/>
      <c r="E80" s="8" t="str">
        <f ca="1">IFERROR(__xludf.DUMMYFUNCTION("""COMPUTED_VALUE"""),"SAM")</f>
        <v>SAM</v>
      </c>
      <c r="F80" s="8" t="str">
        <f ca="1">IFERROR(__xludf.DUMMYFUNCTION("""COMPUTED_VALUE"""),"K-1")</f>
        <v>K-1</v>
      </c>
      <c r="G80" s="8" t="str">
        <f ca="1">IFERROR(__xludf.DUMMYFUNCTION("""COMPUTED_VALUE"""),"Priscilla Rodriguez")</f>
        <v>Priscilla Rodriguez</v>
      </c>
      <c r="H80" s="8" t="str">
        <f ca="1">IFERROR(__xludf.DUMMYFUNCTION("""COMPUTED_VALUE"""),"Myrna Hinojosa")</f>
        <v>Myrna Hinojosa</v>
      </c>
      <c r="I80" s="9">
        <f ca="1">IFERROR(__xludf.DUMMYFUNCTION("""COMPUTED_VALUE"""),45357)</f>
        <v>45357</v>
      </c>
      <c r="J80" s="9"/>
      <c r="K80" s="8" t="str">
        <f ca="1">IFERROR(__xludf.DUMMYFUNCTION("""COMPUTED_VALUE"""),"AM")</f>
        <v>AM</v>
      </c>
      <c r="L80" s="8" t="str">
        <f ca="1">IFERROR(__xludf.DUMMYFUNCTION("""COMPUTED_VALUE"""),"1st Grade")</f>
        <v>1st Grade</v>
      </c>
      <c r="M80" s="8" t="str">
        <f ca="1">IFERROR(__xludf.DUMMYFUNCTION("""COMPUTED_VALUE"""),"Math")</f>
        <v>Math</v>
      </c>
      <c r="N80" s="8">
        <f ca="1">IFERROR(__xludf.DUMMYFUNCTION("""COMPUTED_VALUE"""),7)</f>
        <v>7</v>
      </c>
      <c r="O80" s="8" t="str">
        <f ca="1">IFERROR(__xludf.DUMMYFUNCTION("""COMPUTED_VALUE"""),"Proficient I")</f>
        <v>Proficient I</v>
      </c>
      <c r="P80" s="8">
        <f ca="1">IFERROR(__xludf.DUMMYFUNCTION("""COMPUTED_VALUE"""),1)</f>
        <v>1</v>
      </c>
      <c r="Q80" s="8">
        <f ca="1">IFERROR(__xludf.DUMMYFUNCTION("""COMPUTED_VALUE"""),2)</f>
        <v>2</v>
      </c>
      <c r="R80" s="8">
        <f ca="1">IFERROR(__xludf.DUMMYFUNCTION("""COMPUTED_VALUE"""),3)</f>
        <v>3</v>
      </c>
      <c r="S80" s="8">
        <f ca="1">IFERROR(__xludf.DUMMYFUNCTION("""COMPUTED_VALUE"""),1)</f>
        <v>1</v>
      </c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</row>
    <row r="81" spans="1:31" ht="13.15" x14ac:dyDescent="0.4">
      <c r="A81" s="8"/>
      <c r="B81" s="8"/>
      <c r="C81" s="8"/>
      <c r="D81" s="8"/>
      <c r="E81" s="8" t="str">
        <f ca="1">IFERROR(__xludf.DUMMYFUNCTION("""COMPUTED_VALUE"""),"SAM")</f>
        <v>SAM</v>
      </c>
      <c r="F81" s="8" t="str">
        <f ca="1">IFERROR(__xludf.DUMMYFUNCTION("""COMPUTED_VALUE"""),"Core Subject No LSAE")</f>
        <v>Core Subject No LSAE</v>
      </c>
      <c r="G81" s="8" t="str">
        <f ca="1">IFERROR(__xludf.DUMMYFUNCTION("""COMPUTED_VALUE"""),"Kelly Moore")</f>
        <v>Kelly Moore</v>
      </c>
      <c r="H81" s="8" t="str">
        <f ca="1">IFERROR(__xludf.DUMMYFUNCTION("""COMPUTED_VALUE"""),"Myrna Hinojosa")</f>
        <v>Myrna Hinojosa</v>
      </c>
      <c r="I81" s="9">
        <f ca="1">IFERROR(__xludf.DUMMYFUNCTION("""COMPUTED_VALUE"""),45358)</f>
        <v>45358</v>
      </c>
      <c r="J81" s="9">
        <f ca="1">IFERROR(__xludf.DUMMYFUNCTION("""COMPUTED_VALUE"""),45358)</f>
        <v>45358</v>
      </c>
      <c r="K81" s="8" t="str">
        <f ca="1">IFERROR(__xludf.DUMMYFUNCTION("""COMPUTED_VALUE"""),"PM")</f>
        <v>PM</v>
      </c>
      <c r="L81" s="8" t="str">
        <f ca="1">IFERROR(__xludf.DUMMYFUNCTION("""COMPUTED_VALUE"""),"2nd Grade")</f>
        <v>2nd Grade</v>
      </c>
      <c r="M81" s="8" t="str">
        <f ca="1">IFERROR(__xludf.DUMMYFUNCTION("""COMPUTED_VALUE"""),"ELA")</f>
        <v>ELA</v>
      </c>
      <c r="N81" s="8">
        <f ca="1">IFERROR(__xludf.DUMMYFUNCTION("""COMPUTED_VALUE"""),7.5)</f>
        <v>7.5</v>
      </c>
      <c r="O81" s="8" t="str">
        <f ca="1">IFERROR(__xludf.DUMMYFUNCTION("""COMPUTED_VALUE"""),"Proficient I")</f>
        <v>Proficient I</v>
      </c>
      <c r="P81" s="8">
        <f ca="1">IFERROR(__xludf.DUMMYFUNCTION("""COMPUTED_VALUE"""),2)</f>
        <v>2</v>
      </c>
      <c r="Q81" s="8">
        <f ca="1">IFERROR(__xludf.DUMMYFUNCTION("""COMPUTED_VALUE"""),3)</f>
        <v>3</v>
      </c>
      <c r="R81" s="8">
        <f ca="1">IFERROR(__xludf.DUMMYFUNCTION("""COMPUTED_VALUE"""),2.5)</f>
        <v>2.5</v>
      </c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</row>
    <row r="82" spans="1:31" ht="13.15" x14ac:dyDescent="0.4">
      <c r="A82" s="8"/>
      <c r="B82" s="8"/>
      <c r="C82" s="8"/>
      <c r="D82" s="8"/>
      <c r="E82" s="8" t="str">
        <f ca="1">IFERROR(__xludf.DUMMYFUNCTION("""COMPUTED_VALUE"""),"SAM")</f>
        <v>SAM</v>
      </c>
      <c r="F82" s="8" t="str">
        <f ca="1">IFERROR(__xludf.DUMMYFUNCTION("""COMPUTED_VALUE"""),"ELL/SPED")</f>
        <v>ELL/SPED</v>
      </c>
      <c r="G82" s="8" t="str">
        <f ca="1">IFERROR(__xludf.DUMMYFUNCTION("""COMPUTED_VALUE"""),"Erin Hicks")</f>
        <v>Erin Hicks</v>
      </c>
      <c r="H82" s="8" t="str">
        <f ca="1">IFERROR(__xludf.DUMMYFUNCTION("""COMPUTED_VALUE"""),"Myrna Hinojosa")</f>
        <v>Myrna Hinojosa</v>
      </c>
      <c r="I82" s="9">
        <f ca="1">IFERROR(__xludf.DUMMYFUNCTION("""COMPUTED_VALUE"""),45358)</f>
        <v>45358</v>
      </c>
      <c r="J82" s="9">
        <f ca="1">IFERROR(__xludf.DUMMYFUNCTION("""COMPUTED_VALUE"""),45358)</f>
        <v>45358</v>
      </c>
      <c r="K82" s="8" t="str">
        <f ca="1">IFERROR(__xludf.DUMMYFUNCTION("""COMPUTED_VALUE"""),"PM")</f>
        <v>PM</v>
      </c>
      <c r="L82" s="8" t="str">
        <f ca="1">IFERROR(__xludf.DUMMYFUNCTION("""COMPUTED_VALUE"""),"5th Grade")</f>
        <v>5th Grade</v>
      </c>
      <c r="M82" s="8"/>
      <c r="N82" s="8">
        <f ca="1">IFERROR(__xludf.DUMMYFUNCTION("""COMPUTED_VALUE"""),7)</f>
        <v>7</v>
      </c>
      <c r="O82" s="8" t="str">
        <f ca="1">IFERROR(__xludf.DUMMYFUNCTION("""COMPUTED_VALUE"""),"Proficient II")</f>
        <v>Proficient II</v>
      </c>
      <c r="P82" s="8">
        <f ca="1">IFERROR(__xludf.DUMMYFUNCTION("""COMPUTED_VALUE"""),2)</f>
        <v>2</v>
      </c>
      <c r="Q82" s="8">
        <f ca="1">IFERROR(__xludf.DUMMYFUNCTION("""COMPUTED_VALUE"""),4)</f>
        <v>4</v>
      </c>
      <c r="R82" s="8">
        <f ca="1">IFERROR(__xludf.DUMMYFUNCTION("""COMPUTED_VALUE"""),1)</f>
        <v>1</v>
      </c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</row>
    <row r="83" spans="1:31" ht="13.15" x14ac:dyDescent="0.4">
      <c r="A83" s="8"/>
      <c r="B83" s="8"/>
      <c r="C83" s="8"/>
      <c r="D83" s="8"/>
      <c r="E83" s="8" t="str">
        <f ca="1">IFERROR(__xludf.DUMMYFUNCTION("""COMPUTED_VALUE"""),"SAM")</f>
        <v>SAM</v>
      </c>
      <c r="F83" s="8" t="str">
        <f ca="1">IFERROR(__xludf.DUMMYFUNCTION("""COMPUTED_VALUE"""),"K-1")</f>
        <v>K-1</v>
      </c>
      <c r="G83" s="8" t="str">
        <f ca="1">IFERROR(__xludf.DUMMYFUNCTION("""COMPUTED_VALUE"""),"Calli Hinton")</f>
        <v>Calli Hinton</v>
      </c>
      <c r="H83" s="8" t="str">
        <f ca="1">IFERROR(__xludf.DUMMYFUNCTION("""COMPUTED_VALUE"""),"Myrna Hinojosa")</f>
        <v>Myrna Hinojosa</v>
      </c>
      <c r="I83" s="9">
        <f ca="1">IFERROR(__xludf.DUMMYFUNCTION("""COMPUTED_VALUE"""),45358)</f>
        <v>45358</v>
      </c>
      <c r="J83" s="9">
        <f ca="1">IFERROR(__xludf.DUMMYFUNCTION("""COMPUTED_VALUE"""),45358)</f>
        <v>45358</v>
      </c>
      <c r="K83" s="8" t="str">
        <f ca="1">IFERROR(__xludf.DUMMYFUNCTION("""COMPUTED_VALUE"""),"AM")</f>
        <v>AM</v>
      </c>
      <c r="L83" s="8" t="str">
        <f ca="1">IFERROR(__xludf.DUMMYFUNCTION("""COMPUTED_VALUE"""),"Kindergarten")</f>
        <v>Kindergarten</v>
      </c>
      <c r="M83" s="8" t="str">
        <f ca="1">IFERROR(__xludf.DUMMYFUNCTION("""COMPUTED_VALUE"""),"ELA")</f>
        <v>ELA</v>
      </c>
      <c r="N83" s="8">
        <f ca="1">IFERROR(__xludf.DUMMYFUNCTION("""COMPUTED_VALUE"""),7.5)</f>
        <v>7.5</v>
      </c>
      <c r="O83" s="8" t="str">
        <f ca="1">IFERROR(__xludf.DUMMYFUNCTION("""COMPUTED_VALUE"""),"Proficient I")</f>
        <v>Proficient I</v>
      </c>
      <c r="P83" s="8">
        <f ca="1">IFERROR(__xludf.DUMMYFUNCTION("""COMPUTED_VALUE"""),1)</f>
        <v>1</v>
      </c>
      <c r="Q83" s="8">
        <f ca="1">IFERROR(__xludf.DUMMYFUNCTION("""COMPUTED_VALUE"""),2)</f>
        <v>2</v>
      </c>
      <c r="R83" s="8">
        <f ca="1">IFERROR(__xludf.DUMMYFUNCTION("""COMPUTED_VALUE"""),3)</f>
        <v>3</v>
      </c>
      <c r="S83" s="8">
        <f ca="1">IFERROR(__xludf.DUMMYFUNCTION("""COMPUTED_VALUE"""),1.5)</f>
        <v>1.5</v>
      </c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</row>
    <row r="84" spans="1:31" ht="13.15" x14ac:dyDescent="0.4">
      <c r="A84" s="8"/>
      <c r="B84" s="8"/>
      <c r="C84" s="8"/>
      <c r="D84" s="8"/>
      <c r="E84" s="8" t="str">
        <f ca="1">IFERROR(__xludf.DUMMYFUNCTION("""COMPUTED_VALUE"""),"SAM")</f>
        <v>SAM</v>
      </c>
      <c r="F84" s="8" t="str">
        <f ca="1">IFERROR(__xludf.DUMMYFUNCTION("""COMPUTED_VALUE"""),"Learning Coach")</f>
        <v>Learning Coach</v>
      </c>
      <c r="G84" s="8" t="str">
        <f ca="1">IFERROR(__xludf.DUMMYFUNCTION("""COMPUTED_VALUE"""),"Monica Nettles")</f>
        <v>Monica Nettles</v>
      </c>
      <c r="H84" s="8" t="str">
        <f ca="1">IFERROR(__xludf.DUMMYFUNCTION("""COMPUTED_VALUE"""),"Myrna Hinojosa")</f>
        <v>Myrna Hinojosa</v>
      </c>
      <c r="I84" s="9">
        <f ca="1">IFERROR(__xludf.DUMMYFUNCTION("""COMPUTED_VALUE"""),45359)</f>
        <v>45359</v>
      </c>
      <c r="J84" s="9"/>
      <c r="K84" s="8" t="str">
        <f ca="1">IFERROR(__xludf.DUMMYFUNCTION("""COMPUTED_VALUE"""),"AM")</f>
        <v>AM</v>
      </c>
      <c r="L84" s="8"/>
      <c r="M84" s="8"/>
      <c r="N84" s="8">
        <f ca="1">IFERROR(__xludf.DUMMYFUNCTION("""COMPUTED_VALUE"""),8)</f>
        <v>8</v>
      </c>
      <c r="O84" s="8" t="str">
        <f ca="1">IFERROR(__xludf.DUMMYFUNCTION("""COMPUTED_VALUE"""),"Proficient II")</f>
        <v>Proficient II</v>
      </c>
      <c r="P84" s="8">
        <f ca="1">IFERROR(__xludf.DUMMYFUNCTION("""COMPUTED_VALUE"""),2)</f>
        <v>2</v>
      </c>
      <c r="Q84" s="8">
        <f ca="1">IFERROR(__xludf.DUMMYFUNCTION("""COMPUTED_VALUE"""),4)</f>
        <v>4</v>
      </c>
      <c r="R84" s="8">
        <f ca="1">IFERROR(__xludf.DUMMYFUNCTION("""COMPUTED_VALUE"""),2)</f>
        <v>2</v>
      </c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</row>
    <row r="85" spans="1:31" ht="13.15" x14ac:dyDescent="0.4">
      <c r="A85" s="8"/>
      <c r="B85" s="8"/>
      <c r="C85" s="8"/>
      <c r="D85" s="8"/>
      <c r="E85" s="8" t="str">
        <f ca="1">IFERROR(__xludf.DUMMYFUNCTION("""COMPUTED_VALUE"""),"SAM")</f>
        <v>SAM</v>
      </c>
      <c r="F85" s="8" t="str">
        <f ca="1">IFERROR(__xludf.DUMMYFUNCTION("""COMPUTED_VALUE"""),"Core Subject With LSAE")</f>
        <v>Core Subject With LSAE</v>
      </c>
      <c r="G85" s="8" t="str">
        <f ca="1">IFERROR(__xludf.DUMMYFUNCTION("""COMPUTED_VALUE"""),"Taylor Hall")</f>
        <v>Taylor Hall</v>
      </c>
      <c r="H85" s="8" t="str">
        <f ca="1">IFERROR(__xludf.DUMMYFUNCTION("""COMPUTED_VALUE"""),"Welton Blaylock")</f>
        <v>Welton Blaylock</v>
      </c>
      <c r="I85" s="9">
        <f ca="1">IFERROR(__xludf.DUMMYFUNCTION("""COMPUTED_VALUE"""),45355)</f>
        <v>45355</v>
      </c>
      <c r="J85" s="9"/>
      <c r="K85" s="8" t="str">
        <f ca="1">IFERROR(__xludf.DUMMYFUNCTION("""COMPUTED_VALUE"""),"AM")</f>
        <v>AM</v>
      </c>
      <c r="L85" s="8" t="str">
        <f ca="1">IFERROR(__xludf.DUMMYFUNCTION("""COMPUTED_VALUE"""),"3rd Grade")</f>
        <v>3rd Grade</v>
      </c>
      <c r="M85" s="8" t="str">
        <f ca="1">IFERROR(__xludf.DUMMYFUNCTION("""COMPUTED_VALUE"""),"ELA")</f>
        <v>ELA</v>
      </c>
      <c r="N85" s="8">
        <f ca="1">IFERROR(__xludf.DUMMYFUNCTION("""COMPUTED_VALUE"""),7.5)</f>
        <v>7.5</v>
      </c>
      <c r="O85" s="8" t="str">
        <f ca="1">IFERROR(__xludf.DUMMYFUNCTION("""COMPUTED_VALUE"""),"Proficient I")</f>
        <v>Proficient I</v>
      </c>
      <c r="P85" s="8">
        <f ca="1">IFERROR(__xludf.DUMMYFUNCTION("""COMPUTED_VALUE"""),1)</f>
        <v>1</v>
      </c>
      <c r="Q85" s="8">
        <f ca="1">IFERROR(__xludf.DUMMYFUNCTION("""COMPUTED_VALUE"""),2.5)</f>
        <v>2.5</v>
      </c>
      <c r="R85" s="8">
        <f ca="1">IFERROR(__xludf.DUMMYFUNCTION("""COMPUTED_VALUE"""),2.5)</f>
        <v>2.5</v>
      </c>
      <c r="S85" s="8">
        <f ca="1">IFERROR(__xludf.DUMMYFUNCTION("""COMPUTED_VALUE"""),1.5)</f>
        <v>1.5</v>
      </c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</row>
    <row r="86" spans="1:31" ht="13.15" x14ac:dyDescent="0.4">
      <c r="A86" s="8"/>
      <c r="B86" s="8"/>
      <c r="C86" s="8"/>
      <c r="D86" s="8"/>
      <c r="E86" s="8" t="str">
        <f ca="1">IFERROR(__xludf.DUMMYFUNCTION("""COMPUTED_VALUE"""),"SAM")</f>
        <v>SAM</v>
      </c>
      <c r="F86" s="8" t="str">
        <f ca="1">IFERROR(__xludf.DUMMYFUNCTION("""COMPUTED_VALUE"""),"Core Subject With LSAE")</f>
        <v>Core Subject With LSAE</v>
      </c>
      <c r="G86" s="8" t="str">
        <f ca="1">IFERROR(__xludf.DUMMYFUNCTION("""COMPUTED_VALUE"""),"Amanda Cooper")</f>
        <v>Amanda Cooper</v>
      </c>
      <c r="H86" s="8" t="str">
        <f ca="1">IFERROR(__xludf.DUMMYFUNCTION("""COMPUTED_VALUE"""),"Welton Blaylock")</f>
        <v>Welton Blaylock</v>
      </c>
      <c r="I86" s="9">
        <f ca="1">IFERROR(__xludf.DUMMYFUNCTION("""COMPUTED_VALUE"""),45355)</f>
        <v>45355</v>
      </c>
      <c r="J86" s="9">
        <f ca="1">IFERROR(__xludf.DUMMYFUNCTION("""COMPUTED_VALUE"""),45355)</f>
        <v>45355</v>
      </c>
      <c r="K86" s="8" t="str">
        <f ca="1">IFERROR(__xludf.DUMMYFUNCTION("""COMPUTED_VALUE"""),"AM")</f>
        <v>AM</v>
      </c>
      <c r="L86" s="8" t="str">
        <f ca="1">IFERROR(__xludf.DUMMYFUNCTION("""COMPUTED_VALUE"""),"4th Grade")</f>
        <v>4th Grade</v>
      </c>
      <c r="M86" s="8" t="str">
        <f ca="1">IFERROR(__xludf.DUMMYFUNCTION("""COMPUTED_VALUE"""),"Science")</f>
        <v>Science</v>
      </c>
      <c r="N86" s="8">
        <f ca="1">IFERROR(__xludf.DUMMYFUNCTION("""COMPUTED_VALUE"""),8)</f>
        <v>8</v>
      </c>
      <c r="O86" s="8" t="str">
        <f ca="1">IFERROR(__xludf.DUMMYFUNCTION("""COMPUTED_VALUE"""),"Proficient II")</f>
        <v>Proficient II</v>
      </c>
      <c r="P86" s="8">
        <f ca="1">IFERROR(__xludf.DUMMYFUNCTION("""COMPUTED_VALUE"""),1)</f>
        <v>1</v>
      </c>
      <c r="Q86" s="8">
        <f ca="1">IFERROR(__xludf.DUMMYFUNCTION("""COMPUTED_VALUE"""),2.5)</f>
        <v>2.5</v>
      </c>
      <c r="R86" s="8">
        <f ca="1">IFERROR(__xludf.DUMMYFUNCTION("""COMPUTED_VALUE"""),3)</f>
        <v>3</v>
      </c>
      <c r="S86" s="8">
        <f ca="1">IFERROR(__xludf.DUMMYFUNCTION("""COMPUTED_VALUE"""),1.5)</f>
        <v>1.5</v>
      </c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</row>
    <row r="87" spans="1:31" ht="13.15" x14ac:dyDescent="0.4">
      <c r="A87" s="8"/>
      <c r="B87" s="8"/>
      <c r="C87" s="8"/>
      <c r="D87" s="8"/>
      <c r="E87" s="8" t="str">
        <f ca="1">IFERROR(__xludf.DUMMYFUNCTION("""COMPUTED_VALUE"""),"SAM")</f>
        <v>SAM</v>
      </c>
      <c r="F87" s="8" t="str">
        <f ca="1">IFERROR(__xludf.DUMMYFUNCTION("""COMPUTED_VALUE"""),"Core Subject With LSAE")</f>
        <v>Core Subject With LSAE</v>
      </c>
      <c r="G87" s="8" t="str">
        <f ca="1">IFERROR(__xludf.DUMMYFUNCTION("""COMPUTED_VALUE"""),"Cristina Flores")</f>
        <v>Cristina Flores</v>
      </c>
      <c r="H87" s="8" t="str">
        <f ca="1">IFERROR(__xludf.DUMMYFUNCTION("""COMPUTED_VALUE"""),"Welton Blaylock")</f>
        <v>Welton Blaylock</v>
      </c>
      <c r="I87" s="9">
        <f ca="1">IFERROR(__xludf.DUMMYFUNCTION("""COMPUTED_VALUE"""),45355)</f>
        <v>45355</v>
      </c>
      <c r="J87" s="9">
        <f ca="1">IFERROR(__xludf.DUMMYFUNCTION("""COMPUTED_VALUE"""),45355)</f>
        <v>45355</v>
      </c>
      <c r="K87" s="8" t="str">
        <f ca="1">IFERROR(__xludf.DUMMYFUNCTION("""COMPUTED_VALUE"""),"PM")</f>
        <v>PM</v>
      </c>
      <c r="L87" s="8" t="str">
        <f ca="1">IFERROR(__xludf.DUMMYFUNCTION("""COMPUTED_VALUE"""),"5th Grade")</f>
        <v>5th Grade</v>
      </c>
      <c r="M87" s="8" t="str">
        <f ca="1">IFERROR(__xludf.DUMMYFUNCTION("""COMPUTED_VALUE"""),"Math")</f>
        <v>Math</v>
      </c>
      <c r="N87" s="8">
        <f ca="1">IFERROR(__xludf.DUMMYFUNCTION("""COMPUTED_VALUE"""),7.5)</f>
        <v>7.5</v>
      </c>
      <c r="O87" s="8" t="str">
        <f ca="1">IFERROR(__xludf.DUMMYFUNCTION("""COMPUTED_VALUE"""),"Proficient I")</f>
        <v>Proficient I</v>
      </c>
      <c r="P87" s="8">
        <f ca="1">IFERROR(__xludf.DUMMYFUNCTION("""COMPUTED_VALUE"""),1)</f>
        <v>1</v>
      </c>
      <c r="Q87" s="8">
        <f ca="1">IFERROR(__xludf.DUMMYFUNCTION("""COMPUTED_VALUE"""),2)</f>
        <v>2</v>
      </c>
      <c r="R87" s="8">
        <f ca="1">IFERROR(__xludf.DUMMYFUNCTION("""COMPUTED_VALUE"""),3)</f>
        <v>3</v>
      </c>
      <c r="S87" s="8">
        <f ca="1">IFERROR(__xludf.DUMMYFUNCTION("""COMPUTED_VALUE"""),1.5)</f>
        <v>1.5</v>
      </c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</row>
    <row r="88" spans="1:31" ht="13.15" x14ac:dyDescent="0.4">
      <c r="A88" s="8"/>
      <c r="B88" s="8"/>
      <c r="C88" s="8"/>
      <c r="D88" s="8"/>
      <c r="E88" s="8" t="str">
        <f ca="1">IFERROR(__xludf.DUMMYFUNCTION("""COMPUTED_VALUE"""),"SAM")</f>
        <v>SAM</v>
      </c>
      <c r="F88" s="8" t="str">
        <f ca="1">IFERROR(__xludf.DUMMYFUNCTION("""COMPUTED_VALUE"""),"Learning Coach")</f>
        <v>Learning Coach</v>
      </c>
      <c r="G88" s="8" t="str">
        <f ca="1">IFERROR(__xludf.DUMMYFUNCTION("""COMPUTED_VALUE"""),"Jaqueline Bonilla")</f>
        <v>Jaqueline Bonilla</v>
      </c>
      <c r="H88" s="8" t="str">
        <f ca="1">IFERROR(__xludf.DUMMYFUNCTION("""COMPUTED_VALUE"""),"Welton Blaylock")</f>
        <v>Welton Blaylock</v>
      </c>
      <c r="I88" s="9">
        <f ca="1">IFERROR(__xludf.DUMMYFUNCTION("""COMPUTED_VALUE"""),45355)</f>
        <v>45355</v>
      </c>
      <c r="J88" s="9">
        <f ca="1">IFERROR(__xludf.DUMMYFUNCTION("""COMPUTED_VALUE"""),45356)</f>
        <v>45356</v>
      </c>
      <c r="K88" s="8" t="str">
        <f ca="1">IFERROR(__xludf.DUMMYFUNCTION("""COMPUTED_VALUE"""),"PM")</f>
        <v>PM</v>
      </c>
      <c r="L88" s="8"/>
      <c r="M88" s="8"/>
      <c r="N88" s="8">
        <f ca="1">IFERROR(__xludf.DUMMYFUNCTION("""COMPUTED_VALUE"""),7.5)</f>
        <v>7.5</v>
      </c>
      <c r="O88" s="8" t="str">
        <f ca="1">IFERROR(__xludf.DUMMYFUNCTION("""COMPUTED_VALUE"""),"Proficient I")</f>
        <v>Proficient I</v>
      </c>
      <c r="P88" s="8">
        <f ca="1">IFERROR(__xludf.DUMMYFUNCTION("""COMPUTED_VALUE"""),2)</f>
        <v>2</v>
      </c>
      <c r="Q88" s="8">
        <f ca="1">IFERROR(__xludf.DUMMYFUNCTION("""COMPUTED_VALUE"""),3.5)</f>
        <v>3.5</v>
      </c>
      <c r="R88" s="8">
        <f ca="1">IFERROR(__xludf.DUMMYFUNCTION("""COMPUTED_VALUE"""),2)</f>
        <v>2</v>
      </c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</row>
    <row r="89" spans="1:31" ht="13.15" x14ac:dyDescent="0.4">
      <c r="A89" s="8"/>
      <c r="B89" s="8"/>
      <c r="C89" s="8"/>
      <c r="D89" s="8"/>
      <c r="E89" s="8" t="str">
        <f ca="1">IFERROR(__xludf.DUMMYFUNCTION("""COMPUTED_VALUE"""),"SAM")</f>
        <v>SAM</v>
      </c>
      <c r="F89" s="8" t="str">
        <f ca="1">IFERROR(__xludf.DUMMYFUNCTION("""COMPUTED_VALUE"""),"Core Subject With LSAE")</f>
        <v>Core Subject With LSAE</v>
      </c>
      <c r="G89" s="8" t="str">
        <f ca="1">IFERROR(__xludf.DUMMYFUNCTION("""COMPUTED_VALUE"""),"Melissa Essien")</f>
        <v>Melissa Essien</v>
      </c>
      <c r="H89" s="8" t="str">
        <f ca="1">IFERROR(__xludf.DUMMYFUNCTION("""COMPUTED_VALUE"""),"Welton Blaylock")</f>
        <v>Welton Blaylock</v>
      </c>
      <c r="I89" s="9">
        <f ca="1">IFERROR(__xludf.DUMMYFUNCTION("""COMPUTED_VALUE"""),45356)</f>
        <v>45356</v>
      </c>
      <c r="J89" s="9">
        <f ca="1">IFERROR(__xludf.DUMMYFUNCTION("""COMPUTED_VALUE"""),45356)</f>
        <v>45356</v>
      </c>
      <c r="K89" s="8" t="str">
        <f ca="1">IFERROR(__xludf.DUMMYFUNCTION("""COMPUTED_VALUE"""),"AM")</f>
        <v>AM</v>
      </c>
      <c r="L89" s="8" t="str">
        <f ca="1">IFERROR(__xludf.DUMMYFUNCTION("""COMPUTED_VALUE"""),"5th Grade")</f>
        <v>5th Grade</v>
      </c>
      <c r="M89" s="8" t="str">
        <f ca="1">IFERROR(__xludf.DUMMYFUNCTION("""COMPUTED_VALUE"""),"ELA")</f>
        <v>ELA</v>
      </c>
      <c r="N89" s="8">
        <f ca="1">IFERROR(__xludf.DUMMYFUNCTION("""COMPUTED_VALUE"""),8)</f>
        <v>8</v>
      </c>
      <c r="O89" s="8" t="str">
        <f ca="1">IFERROR(__xludf.DUMMYFUNCTION("""COMPUTED_VALUE"""),"Proficient II")</f>
        <v>Proficient II</v>
      </c>
      <c r="P89" s="8">
        <f ca="1">IFERROR(__xludf.DUMMYFUNCTION("""COMPUTED_VALUE"""),1)</f>
        <v>1</v>
      </c>
      <c r="Q89" s="8">
        <f ca="1">IFERROR(__xludf.DUMMYFUNCTION("""COMPUTED_VALUE"""),2.5)</f>
        <v>2.5</v>
      </c>
      <c r="R89" s="8">
        <f ca="1">IFERROR(__xludf.DUMMYFUNCTION("""COMPUTED_VALUE"""),3)</f>
        <v>3</v>
      </c>
      <c r="S89" s="8">
        <f ca="1">IFERROR(__xludf.DUMMYFUNCTION("""COMPUTED_VALUE"""),1.5)</f>
        <v>1.5</v>
      </c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</row>
    <row r="90" spans="1:31" ht="13.15" x14ac:dyDescent="0.4">
      <c r="A90" s="8"/>
      <c r="B90" s="8"/>
      <c r="C90" s="8"/>
      <c r="D90" s="8"/>
      <c r="E90" s="8" t="str">
        <f ca="1">IFERROR(__xludf.DUMMYFUNCTION("""COMPUTED_VALUE"""),"SAM")</f>
        <v>SAM</v>
      </c>
      <c r="F90" s="8" t="str">
        <f ca="1">IFERROR(__xludf.DUMMYFUNCTION("""COMPUTED_VALUE"""),"Core Subject With LSAE")</f>
        <v>Core Subject With LSAE</v>
      </c>
      <c r="G90" s="8" t="str">
        <f ca="1">IFERROR(__xludf.DUMMYFUNCTION("""COMPUTED_VALUE"""),"Elva Aguliar")</f>
        <v>Elva Aguliar</v>
      </c>
      <c r="H90" s="8" t="str">
        <f ca="1">IFERROR(__xludf.DUMMYFUNCTION("""COMPUTED_VALUE"""),"Welton Blaylock")</f>
        <v>Welton Blaylock</v>
      </c>
      <c r="I90" s="9">
        <f ca="1">IFERROR(__xludf.DUMMYFUNCTION("""COMPUTED_VALUE"""),45356)</f>
        <v>45356</v>
      </c>
      <c r="J90" s="9">
        <f ca="1">IFERROR(__xludf.DUMMYFUNCTION("""COMPUTED_VALUE"""),45357)</f>
        <v>45357</v>
      </c>
      <c r="K90" s="8" t="str">
        <f ca="1">IFERROR(__xludf.DUMMYFUNCTION("""COMPUTED_VALUE"""),"AM")</f>
        <v>AM</v>
      </c>
      <c r="L90" s="11" t="str">
        <f ca="1">IFERROR(__xludf.DUMMYFUNCTION("""COMPUTED_VALUE"""),"6th Grade")</f>
        <v>6th Grade</v>
      </c>
      <c r="M90" s="8" t="str">
        <f ca="1">IFERROR(__xludf.DUMMYFUNCTION("""COMPUTED_VALUE"""),"ELA")</f>
        <v>ELA</v>
      </c>
      <c r="N90" s="8">
        <f ca="1">IFERROR(__xludf.DUMMYFUNCTION("""COMPUTED_VALUE"""),8)</f>
        <v>8</v>
      </c>
      <c r="O90" s="8" t="str">
        <f ca="1">IFERROR(__xludf.DUMMYFUNCTION("""COMPUTED_VALUE"""),"Proficient II")</f>
        <v>Proficient II</v>
      </c>
      <c r="P90" s="8">
        <f ca="1">IFERROR(__xludf.DUMMYFUNCTION("""COMPUTED_VALUE"""),1)</f>
        <v>1</v>
      </c>
      <c r="Q90" s="8">
        <f ca="1">IFERROR(__xludf.DUMMYFUNCTION("""COMPUTED_VALUE"""),2.5)</f>
        <v>2.5</v>
      </c>
      <c r="R90" s="8">
        <f ca="1">IFERROR(__xludf.DUMMYFUNCTION("""COMPUTED_VALUE"""),3)</f>
        <v>3</v>
      </c>
      <c r="S90" s="8">
        <f ca="1">IFERROR(__xludf.DUMMYFUNCTION("""COMPUTED_VALUE"""),1.5)</f>
        <v>1.5</v>
      </c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</row>
    <row r="91" spans="1:31" ht="13.15" x14ac:dyDescent="0.4">
      <c r="A91" s="8"/>
      <c r="B91" s="8"/>
      <c r="C91" s="8"/>
      <c r="D91" s="8"/>
      <c r="E91" s="8" t="str">
        <f ca="1">IFERROR(__xludf.DUMMYFUNCTION("""COMPUTED_VALUE"""),"SAM")</f>
        <v>SAM</v>
      </c>
      <c r="F91" s="8" t="str">
        <f ca="1">IFERROR(__xludf.DUMMYFUNCTION("""COMPUTED_VALUE"""),"Core Subject No LSAE")</f>
        <v>Core Subject No LSAE</v>
      </c>
      <c r="G91" s="8" t="str">
        <f ca="1">IFERROR(__xludf.DUMMYFUNCTION("""COMPUTED_VALUE"""),"Malakhi Macareno")</f>
        <v>Malakhi Macareno</v>
      </c>
      <c r="H91" s="8" t="str">
        <f ca="1">IFERROR(__xludf.DUMMYFUNCTION("""COMPUTED_VALUE"""),"Welton Blaylock")</f>
        <v>Welton Blaylock</v>
      </c>
      <c r="I91" s="9">
        <f ca="1">IFERROR(__xludf.DUMMYFUNCTION("""COMPUTED_VALUE"""),45357)</f>
        <v>45357</v>
      </c>
      <c r="J91" s="9">
        <f ca="1">IFERROR(__xludf.DUMMYFUNCTION("""COMPUTED_VALUE"""),45357)</f>
        <v>45357</v>
      </c>
      <c r="K91" s="8" t="str">
        <f ca="1">IFERROR(__xludf.DUMMYFUNCTION("""COMPUTED_VALUE"""),"AM")</f>
        <v>AM</v>
      </c>
      <c r="L91" s="8" t="str">
        <f ca="1">IFERROR(__xludf.DUMMYFUNCTION("""COMPUTED_VALUE"""),"2nd Grade")</f>
        <v>2nd Grade</v>
      </c>
      <c r="M91" s="8" t="str">
        <f ca="1">IFERROR(__xludf.DUMMYFUNCTION("""COMPUTED_VALUE"""),"Math")</f>
        <v>Math</v>
      </c>
      <c r="N91" s="8">
        <f ca="1">IFERROR(__xludf.DUMMYFUNCTION("""COMPUTED_VALUE"""),7)</f>
        <v>7</v>
      </c>
      <c r="O91" s="8" t="str">
        <f ca="1">IFERROR(__xludf.DUMMYFUNCTION("""COMPUTED_VALUE"""),"Proficient I")</f>
        <v>Proficient I</v>
      </c>
      <c r="P91" s="8">
        <f ca="1">IFERROR(__xludf.DUMMYFUNCTION("""COMPUTED_VALUE"""),1.5)</f>
        <v>1.5</v>
      </c>
      <c r="Q91" s="8">
        <f ca="1">IFERROR(__xludf.DUMMYFUNCTION("""COMPUTED_VALUE"""),3)</f>
        <v>3</v>
      </c>
      <c r="R91" s="8">
        <f ca="1">IFERROR(__xludf.DUMMYFUNCTION("""COMPUTED_VALUE"""),2.5)</f>
        <v>2.5</v>
      </c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</row>
    <row r="92" spans="1:31" ht="13.15" x14ac:dyDescent="0.4">
      <c r="A92" s="8"/>
      <c r="B92" s="8"/>
      <c r="C92" s="8"/>
      <c r="D92" s="8"/>
      <c r="E92" s="8" t="str">
        <f ca="1">IFERROR(__xludf.DUMMYFUNCTION("""COMPUTED_VALUE"""),"SAM")</f>
        <v>SAM</v>
      </c>
      <c r="F92" s="8" t="str">
        <f ca="1">IFERROR(__xludf.DUMMYFUNCTION("""COMPUTED_VALUE"""),"Learning Coach -- Sub")</f>
        <v>Learning Coach -- Sub</v>
      </c>
      <c r="G92" s="8" t="str">
        <f ca="1">IFERROR(__xludf.DUMMYFUNCTION("""COMPUTED_VALUE"""),"Monica Nettles")</f>
        <v>Monica Nettles</v>
      </c>
      <c r="H92" s="8" t="str">
        <f ca="1">IFERROR(__xludf.DUMMYFUNCTION("""COMPUTED_VALUE"""),"Welton Blaylock")</f>
        <v>Welton Blaylock</v>
      </c>
      <c r="I92" s="9">
        <f ca="1">IFERROR(__xludf.DUMMYFUNCTION("""COMPUTED_VALUE"""),45357)</f>
        <v>45357</v>
      </c>
      <c r="J92" s="9">
        <f ca="1">IFERROR(__xludf.DUMMYFUNCTION("""COMPUTED_VALUE"""),45358)</f>
        <v>45358</v>
      </c>
      <c r="K92" s="8" t="str">
        <f ca="1">IFERROR(__xludf.DUMMYFUNCTION("""COMPUTED_VALUE"""),"PM")</f>
        <v>PM</v>
      </c>
      <c r="L92" s="8" t="str">
        <f ca="1">IFERROR(__xludf.DUMMYFUNCTION("""COMPUTED_VALUE"""),"3rd Grade")</f>
        <v>3rd Grade</v>
      </c>
      <c r="M92" s="8" t="str">
        <f ca="1">IFERROR(__xludf.DUMMYFUNCTION("""COMPUTED_VALUE"""),"Math")</f>
        <v>Math</v>
      </c>
      <c r="N92" s="8">
        <f ca="1">IFERROR(__xludf.DUMMYFUNCTION("""COMPUTED_VALUE"""),8)</f>
        <v>8</v>
      </c>
      <c r="O92" s="8" t="str">
        <f ca="1">IFERROR(__xludf.DUMMYFUNCTION("""COMPUTED_VALUE"""),"Proficient II")</f>
        <v>Proficient II</v>
      </c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</row>
    <row r="93" spans="1:31" ht="13.15" x14ac:dyDescent="0.4">
      <c r="A93" s="8"/>
      <c r="B93" s="8"/>
      <c r="C93" s="8"/>
      <c r="D93" s="8"/>
      <c r="E93" s="8" t="str">
        <f ca="1">IFERROR(__xludf.DUMMYFUNCTION("""COMPUTED_VALUE"""),"SAM")</f>
        <v>SAM</v>
      </c>
      <c r="F93" s="8" t="str">
        <f ca="1">IFERROR(__xludf.DUMMYFUNCTION("""COMPUTED_VALUE"""),"Learning Coach -- Sub")</f>
        <v>Learning Coach -- Sub</v>
      </c>
      <c r="G93" s="8" t="str">
        <f ca="1">IFERROR(__xludf.DUMMYFUNCTION("""COMPUTED_VALUE"""),"Helene Reznikov")</f>
        <v>Helene Reznikov</v>
      </c>
      <c r="H93" s="8" t="str">
        <f ca="1">IFERROR(__xludf.DUMMYFUNCTION("""COMPUTED_VALUE"""),"Welton Blaylock")</f>
        <v>Welton Blaylock</v>
      </c>
      <c r="I93" s="9">
        <f ca="1">IFERROR(__xludf.DUMMYFUNCTION("""COMPUTED_VALUE"""),45357)</f>
        <v>45357</v>
      </c>
      <c r="J93" s="9">
        <f ca="1">IFERROR(__xludf.DUMMYFUNCTION("""COMPUTED_VALUE"""),45357)</f>
        <v>45357</v>
      </c>
      <c r="K93" s="8" t="str">
        <f ca="1">IFERROR(__xludf.DUMMYFUNCTION("""COMPUTED_VALUE"""),"AM")</f>
        <v>AM</v>
      </c>
      <c r="L93" s="8" t="str">
        <f ca="1">IFERROR(__xludf.DUMMYFUNCTION("""COMPUTED_VALUE"""),"4th Grade")</f>
        <v>4th Grade</v>
      </c>
      <c r="M93" s="8" t="str">
        <f ca="1">IFERROR(__xludf.DUMMYFUNCTION("""COMPUTED_VALUE"""),"Math")</f>
        <v>Math</v>
      </c>
      <c r="N93" s="8">
        <f ca="1">IFERROR(__xludf.DUMMYFUNCTION("""COMPUTED_VALUE"""),8)</f>
        <v>8</v>
      </c>
      <c r="O93" s="8" t="str">
        <f ca="1">IFERROR(__xludf.DUMMYFUNCTION("""COMPUTED_VALUE"""),"Proficient II")</f>
        <v>Proficient II</v>
      </c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</row>
    <row r="94" spans="1:31" ht="13.15" x14ac:dyDescent="0.4">
      <c r="A94" s="8"/>
      <c r="B94" s="8"/>
      <c r="C94" s="8"/>
      <c r="D94" s="8"/>
      <c r="E94" s="8" t="str">
        <f ca="1">IFERROR(__xludf.DUMMYFUNCTION("""COMPUTED_VALUE"""),"SAM")</f>
        <v>SAM</v>
      </c>
      <c r="F94" s="8" t="str">
        <f ca="1">IFERROR(__xludf.DUMMYFUNCTION("""COMPUTED_VALUE"""),"Core Subject With LSAE")</f>
        <v>Core Subject With LSAE</v>
      </c>
      <c r="G94" s="8" t="str">
        <f ca="1">IFERROR(__xludf.DUMMYFUNCTION("""COMPUTED_VALUE"""),"Kelcie McCain")</f>
        <v>Kelcie McCain</v>
      </c>
      <c r="H94" s="8" t="str">
        <f ca="1">IFERROR(__xludf.DUMMYFUNCTION("""COMPUTED_VALUE"""),"Welton Blaylock")</f>
        <v>Welton Blaylock</v>
      </c>
      <c r="I94" s="9">
        <f ca="1">IFERROR(__xludf.DUMMYFUNCTION("""COMPUTED_VALUE"""),45358)</f>
        <v>45358</v>
      </c>
      <c r="J94" s="9">
        <f ca="1">IFERROR(__xludf.DUMMYFUNCTION("""COMPUTED_VALUE"""),45358)</f>
        <v>45358</v>
      </c>
      <c r="K94" s="8" t="str">
        <f ca="1">IFERROR(__xludf.DUMMYFUNCTION("""COMPUTED_VALUE"""),"AM")</f>
        <v>AM</v>
      </c>
      <c r="L94" s="8" t="str">
        <f ca="1">IFERROR(__xludf.DUMMYFUNCTION("""COMPUTED_VALUE"""),"3rd Grade")</f>
        <v>3rd Grade</v>
      </c>
      <c r="M94" s="8" t="str">
        <f ca="1">IFERROR(__xludf.DUMMYFUNCTION("""COMPUTED_VALUE"""),"Science")</f>
        <v>Science</v>
      </c>
      <c r="N94" s="8">
        <f ca="1">IFERROR(__xludf.DUMMYFUNCTION("""COMPUTED_VALUE"""),5)</f>
        <v>5</v>
      </c>
      <c r="O94" s="8" t="str">
        <f ca="1">IFERROR(__xludf.DUMMYFUNCTION("""COMPUTED_VALUE"""),"Progressing")</f>
        <v>Progressing</v>
      </c>
      <c r="P94" s="8">
        <f ca="1">IFERROR(__xludf.DUMMYFUNCTION("""COMPUTED_VALUE"""),0.5)</f>
        <v>0.5</v>
      </c>
      <c r="Q94" s="8">
        <f ca="1">IFERROR(__xludf.DUMMYFUNCTION("""COMPUTED_VALUE"""),1.5)</f>
        <v>1.5</v>
      </c>
      <c r="R94" s="8">
        <f ca="1">IFERROR(__xludf.DUMMYFUNCTION("""COMPUTED_VALUE"""),2.5)</f>
        <v>2.5</v>
      </c>
      <c r="S94" s="8">
        <f ca="1">IFERROR(__xludf.DUMMYFUNCTION("""COMPUTED_VALUE"""),0.5)</f>
        <v>0.5</v>
      </c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</row>
    <row r="95" spans="1:31" ht="13.15" x14ac:dyDescent="0.4">
      <c r="A95" s="8"/>
      <c r="B95" s="8"/>
      <c r="C95" s="8"/>
      <c r="D95" s="8"/>
      <c r="E95" s="8" t="str">
        <f ca="1">IFERROR(__xludf.DUMMYFUNCTION("""COMPUTED_VALUE"""),"LAMAR")</f>
        <v>LAMAR</v>
      </c>
      <c r="F95" s="8" t="str">
        <f ca="1">IFERROR(__xludf.DUMMYFUNCTION("""COMPUTED_VALUE"""),"Core Subject No LSAE")</f>
        <v>Core Subject No LSAE</v>
      </c>
      <c r="G95" s="8" t="str">
        <f ca="1">IFERROR(__xludf.DUMMYFUNCTION("""COMPUTED_VALUE"""),"Tasha Whitaker")</f>
        <v>Tasha Whitaker</v>
      </c>
      <c r="H95" s="8" t="str">
        <f ca="1">IFERROR(__xludf.DUMMYFUNCTION("""COMPUTED_VALUE"""),"Elizabeth Williams")</f>
        <v>Elizabeth Williams</v>
      </c>
      <c r="I95" s="9">
        <f ca="1">IFERROR(__xludf.DUMMYFUNCTION("""COMPUTED_VALUE"""),45355)</f>
        <v>45355</v>
      </c>
      <c r="J95" s="9">
        <f ca="1">IFERROR(__xludf.DUMMYFUNCTION("""COMPUTED_VALUE"""),45355)</f>
        <v>45355</v>
      </c>
      <c r="K95" s="8" t="str">
        <f ca="1">IFERROR(__xludf.DUMMYFUNCTION("""COMPUTED_VALUE"""),"AM")</f>
        <v>AM</v>
      </c>
      <c r="L95" s="8" t="str">
        <f ca="1">IFERROR(__xludf.DUMMYFUNCTION("""COMPUTED_VALUE"""),"2nd Grade")</f>
        <v>2nd Grade</v>
      </c>
      <c r="M95" s="8" t="str">
        <f ca="1">IFERROR(__xludf.DUMMYFUNCTION("""COMPUTED_VALUE"""),"ELA")</f>
        <v>ELA</v>
      </c>
      <c r="N95" s="8">
        <f ca="1">IFERROR(__xludf.DUMMYFUNCTION("""COMPUTED_VALUE"""),6)</f>
        <v>6</v>
      </c>
      <c r="O95" s="8" t="str">
        <f ca="1">IFERROR(__xludf.DUMMYFUNCTION("""COMPUTED_VALUE"""),"Proficient I")</f>
        <v>Proficient I</v>
      </c>
      <c r="P95" s="8">
        <f ca="1">IFERROR(__xludf.DUMMYFUNCTION("""COMPUTED_VALUE"""),2)</f>
        <v>2</v>
      </c>
      <c r="Q95" s="8">
        <f ca="1">IFERROR(__xludf.DUMMYFUNCTION("""COMPUTED_VALUE"""),2)</f>
        <v>2</v>
      </c>
      <c r="R95" s="8">
        <f ca="1">IFERROR(__xludf.DUMMYFUNCTION("""COMPUTED_VALUE"""),2)</f>
        <v>2</v>
      </c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</row>
    <row r="96" spans="1:31" ht="13.15" x14ac:dyDescent="0.4">
      <c r="A96" s="8"/>
      <c r="B96" s="8"/>
      <c r="C96" s="8"/>
      <c r="D96" s="8"/>
      <c r="E96" s="8" t="str">
        <f ca="1">IFERROR(__xludf.DUMMYFUNCTION("""COMPUTED_VALUE"""),"LAMAR")</f>
        <v>LAMAR</v>
      </c>
      <c r="F96" s="8" t="str">
        <f ca="1">IFERROR(__xludf.DUMMYFUNCTION("""COMPUTED_VALUE"""),"Core Subject No LSAE")</f>
        <v>Core Subject No LSAE</v>
      </c>
      <c r="G96" s="8" t="str">
        <f ca="1">IFERROR(__xludf.DUMMYFUNCTION("""COMPUTED_VALUE"""),"Rebeca Ponce")</f>
        <v>Rebeca Ponce</v>
      </c>
      <c r="H96" s="8" t="str">
        <f ca="1">IFERROR(__xludf.DUMMYFUNCTION("""COMPUTED_VALUE"""),"Elizabeth Williams")</f>
        <v>Elizabeth Williams</v>
      </c>
      <c r="I96" s="9">
        <f ca="1">IFERROR(__xludf.DUMMYFUNCTION("""COMPUTED_VALUE"""),45355)</f>
        <v>45355</v>
      </c>
      <c r="J96" s="9">
        <f ca="1">IFERROR(__xludf.DUMMYFUNCTION("""COMPUTED_VALUE"""),45356)</f>
        <v>45356</v>
      </c>
      <c r="K96" s="8" t="str">
        <f ca="1">IFERROR(__xludf.DUMMYFUNCTION("""COMPUTED_VALUE"""),"PM")</f>
        <v>PM</v>
      </c>
      <c r="L96" s="8" t="str">
        <f ca="1">IFERROR(__xludf.DUMMYFUNCTION("""COMPUTED_VALUE"""),"4th Grade")</f>
        <v>4th Grade</v>
      </c>
      <c r="M96" s="8" t="str">
        <f ca="1">IFERROR(__xludf.DUMMYFUNCTION("""COMPUTED_VALUE"""),"Art of Thinking")</f>
        <v>Art of Thinking</v>
      </c>
      <c r="N96" s="8">
        <f ca="1">IFERROR(__xludf.DUMMYFUNCTION("""COMPUTED_VALUE"""),5.5)</f>
        <v>5.5</v>
      </c>
      <c r="O96" s="8" t="str">
        <f ca="1">IFERROR(__xludf.DUMMYFUNCTION("""COMPUTED_VALUE"""),"Progressing")</f>
        <v>Progressing</v>
      </c>
      <c r="P96" s="8">
        <f ca="1">IFERROR(__xludf.DUMMYFUNCTION("""COMPUTED_VALUE"""),1.5)</f>
        <v>1.5</v>
      </c>
      <c r="Q96" s="8">
        <f ca="1">IFERROR(__xludf.DUMMYFUNCTION("""COMPUTED_VALUE"""),2)</f>
        <v>2</v>
      </c>
      <c r="R96" s="8">
        <f ca="1">IFERROR(__xludf.DUMMYFUNCTION("""COMPUTED_VALUE"""),2)</f>
        <v>2</v>
      </c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</row>
    <row r="97" spans="1:31" ht="13.15" x14ac:dyDescent="0.4">
      <c r="A97" s="8"/>
      <c r="B97" s="8"/>
      <c r="C97" s="8"/>
      <c r="D97" s="8"/>
      <c r="E97" s="8" t="str">
        <f ca="1">IFERROR(__xludf.DUMMYFUNCTION("""COMPUTED_VALUE"""),"LAMAR")</f>
        <v>LAMAR</v>
      </c>
      <c r="F97" s="8" t="str">
        <f ca="1">IFERROR(__xludf.DUMMYFUNCTION("""COMPUTED_VALUE"""),"Core Subject With LSAE")</f>
        <v>Core Subject With LSAE</v>
      </c>
      <c r="G97" s="8" t="str">
        <f ca="1">IFERROR(__xludf.DUMMYFUNCTION("""COMPUTED_VALUE"""),"Kennedi Allen")</f>
        <v>Kennedi Allen</v>
      </c>
      <c r="H97" s="8" t="str">
        <f ca="1">IFERROR(__xludf.DUMMYFUNCTION("""COMPUTED_VALUE"""),"Elizabeth Williams")</f>
        <v>Elizabeth Williams</v>
      </c>
      <c r="I97" s="9">
        <f ca="1">IFERROR(__xludf.DUMMYFUNCTION("""COMPUTED_VALUE"""),45355)</f>
        <v>45355</v>
      </c>
      <c r="J97" s="9">
        <f ca="1">IFERROR(__xludf.DUMMYFUNCTION("""COMPUTED_VALUE"""),45355)</f>
        <v>45355</v>
      </c>
      <c r="K97" s="8" t="str">
        <f ca="1">IFERROR(__xludf.DUMMYFUNCTION("""COMPUTED_VALUE"""),"AM")</f>
        <v>AM</v>
      </c>
      <c r="L97" s="8" t="str">
        <f ca="1">IFERROR(__xludf.DUMMYFUNCTION("""COMPUTED_VALUE"""),"3rd Grade")</f>
        <v>3rd Grade</v>
      </c>
      <c r="M97" s="8" t="str">
        <f ca="1">IFERROR(__xludf.DUMMYFUNCTION("""COMPUTED_VALUE"""),"Science")</f>
        <v>Science</v>
      </c>
      <c r="N97" s="8">
        <f ca="1">IFERROR(__xludf.DUMMYFUNCTION("""COMPUTED_VALUE"""),6)</f>
        <v>6</v>
      </c>
      <c r="O97" s="8" t="str">
        <f ca="1">IFERROR(__xludf.DUMMYFUNCTION("""COMPUTED_VALUE"""),"Proficient I")</f>
        <v>Proficient I</v>
      </c>
      <c r="P97" s="8">
        <f ca="1">IFERROR(__xludf.DUMMYFUNCTION("""COMPUTED_VALUE"""),1)</f>
        <v>1</v>
      </c>
      <c r="Q97" s="8">
        <f ca="1">IFERROR(__xludf.DUMMYFUNCTION("""COMPUTED_VALUE"""),2)</f>
        <v>2</v>
      </c>
      <c r="R97" s="8">
        <f ca="1">IFERROR(__xludf.DUMMYFUNCTION("""COMPUTED_VALUE"""),2)</f>
        <v>2</v>
      </c>
      <c r="S97" s="8">
        <f ca="1">IFERROR(__xludf.DUMMYFUNCTION("""COMPUTED_VALUE"""),1)</f>
        <v>1</v>
      </c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</row>
    <row r="98" spans="1:31" ht="13.15" x14ac:dyDescent="0.4">
      <c r="A98" s="8"/>
      <c r="B98" s="8"/>
      <c r="C98" s="8"/>
      <c r="D98" s="8"/>
      <c r="E98" s="8" t="str">
        <f ca="1">IFERROR(__xludf.DUMMYFUNCTION("""COMPUTED_VALUE"""),"LAMAR")</f>
        <v>LAMAR</v>
      </c>
      <c r="F98" s="8" t="str">
        <f ca="1">IFERROR(__xludf.DUMMYFUNCTION("""COMPUTED_VALUE"""),"Core Subject No LSAE")</f>
        <v>Core Subject No LSAE</v>
      </c>
      <c r="G98" s="8" t="str">
        <f ca="1">IFERROR(__xludf.DUMMYFUNCTION("""COMPUTED_VALUE"""),"Ivy Hicks")</f>
        <v>Ivy Hicks</v>
      </c>
      <c r="H98" s="8" t="str">
        <f ca="1">IFERROR(__xludf.DUMMYFUNCTION("""COMPUTED_VALUE"""),"Elizabeth Williams")</f>
        <v>Elizabeth Williams</v>
      </c>
      <c r="I98" s="9">
        <f ca="1">IFERROR(__xludf.DUMMYFUNCTION("""COMPUTED_VALUE"""),45356)</f>
        <v>45356</v>
      </c>
      <c r="J98" s="9"/>
      <c r="K98" s="8" t="str">
        <f ca="1">IFERROR(__xludf.DUMMYFUNCTION("""COMPUTED_VALUE"""),"PM")</f>
        <v>PM</v>
      </c>
      <c r="L98" s="8" t="str">
        <f ca="1">IFERROR(__xludf.DUMMYFUNCTION("""COMPUTED_VALUE"""),"6th Grade")</f>
        <v>6th Grade</v>
      </c>
      <c r="M98" s="8" t="str">
        <f ca="1">IFERROR(__xludf.DUMMYFUNCTION("""COMPUTED_VALUE"""),"ELA")</f>
        <v>ELA</v>
      </c>
      <c r="N98" s="8">
        <f ca="1">IFERROR(__xludf.DUMMYFUNCTION("""COMPUTED_VALUE"""),5)</f>
        <v>5</v>
      </c>
      <c r="O98" s="8" t="str">
        <f ca="1">IFERROR(__xludf.DUMMYFUNCTION("""COMPUTED_VALUE"""),"Progressing")</f>
        <v>Progressing</v>
      </c>
      <c r="P98" s="8">
        <f ca="1">IFERROR(__xludf.DUMMYFUNCTION("""COMPUTED_VALUE"""),1.5)</f>
        <v>1.5</v>
      </c>
      <c r="Q98" s="8">
        <f ca="1">IFERROR(__xludf.DUMMYFUNCTION("""COMPUTED_VALUE"""),2)</f>
        <v>2</v>
      </c>
      <c r="R98" s="8">
        <f ca="1">IFERROR(__xludf.DUMMYFUNCTION("""COMPUTED_VALUE"""),1.5)</f>
        <v>1.5</v>
      </c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</row>
    <row r="99" spans="1:31" ht="13.15" x14ac:dyDescent="0.4">
      <c r="A99" s="8"/>
      <c r="B99" s="8"/>
      <c r="C99" s="8"/>
      <c r="D99" s="8"/>
      <c r="E99" s="8" t="str">
        <f ca="1">IFERROR(__xludf.DUMMYFUNCTION("""COMPUTED_VALUE"""),"LAMAR")</f>
        <v>LAMAR</v>
      </c>
      <c r="F99" s="8" t="str">
        <f ca="1">IFERROR(__xludf.DUMMYFUNCTION("""COMPUTED_VALUE"""),"Core Subject With LSAE")</f>
        <v>Core Subject With LSAE</v>
      </c>
      <c r="G99" s="8" t="str">
        <f ca="1">IFERROR(__xludf.DUMMYFUNCTION("""COMPUTED_VALUE"""),"Meg Green")</f>
        <v>Meg Green</v>
      </c>
      <c r="H99" s="8" t="str">
        <f ca="1">IFERROR(__xludf.DUMMYFUNCTION("""COMPUTED_VALUE"""),"Elizabeth Williams")</f>
        <v>Elizabeth Williams</v>
      </c>
      <c r="I99" s="9">
        <f ca="1">IFERROR(__xludf.DUMMYFUNCTION("""COMPUTED_VALUE"""),45357)</f>
        <v>45357</v>
      </c>
      <c r="J99" s="9">
        <f ca="1">IFERROR(__xludf.DUMMYFUNCTION("""COMPUTED_VALUE"""),45358)</f>
        <v>45358</v>
      </c>
      <c r="K99" s="8" t="str">
        <f ca="1">IFERROR(__xludf.DUMMYFUNCTION("""COMPUTED_VALUE"""),"PM")</f>
        <v>PM</v>
      </c>
      <c r="L99" s="8" t="str">
        <f ca="1">IFERROR(__xludf.DUMMYFUNCTION("""COMPUTED_VALUE"""),"4th Grade")</f>
        <v>4th Grade</v>
      </c>
      <c r="M99" s="8" t="str">
        <f ca="1">IFERROR(__xludf.DUMMYFUNCTION("""COMPUTED_VALUE"""),"ELA")</f>
        <v>ELA</v>
      </c>
      <c r="N99" s="8">
        <f ca="1">IFERROR(__xludf.DUMMYFUNCTION("""COMPUTED_VALUE"""),7)</f>
        <v>7</v>
      </c>
      <c r="O99" s="8" t="str">
        <f ca="1">IFERROR(__xludf.DUMMYFUNCTION("""COMPUTED_VALUE"""),"Proficient I")</f>
        <v>Proficient I</v>
      </c>
      <c r="P99" s="8">
        <f ca="1">IFERROR(__xludf.DUMMYFUNCTION("""COMPUTED_VALUE"""),1)</f>
        <v>1</v>
      </c>
      <c r="Q99" s="8">
        <f ca="1">IFERROR(__xludf.DUMMYFUNCTION("""COMPUTED_VALUE"""),2.5)</f>
        <v>2.5</v>
      </c>
      <c r="R99" s="8">
        <f ca="1">IFERROR(__xludf.DUMMYFUNCTION("""COMPUTED_VALUE"""),2)</f>
        <v>2</v>
      </c>
      <c r="S99" s="8">
        <f ca="1">IFERROR(__xludf.DUMMYFUNCTION("""COMPUTED_VALUE"""),1.5)</f>
        <v>1.5</v>
      </c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</row>
    <row r="100" spans="1:31" ht="13.15" x14ac:dyDescent="0.4">
      <c r="A100" s="8"/>
      <c r="B100" s="8"/>
      <c r="C100" s="8"/>
      <c r="D100" s="8"/>
      <c r="E100" s="8" t="str">
        <f ca="1">IFERROR(__xludf.DUMMYFUNCTION("""COMPUTED_VALUE"""),"LAMAR")</f>
        <v>LAMAR</v>
      </c>
      <c r="F100" s="8" t="str">
        <f ca="1">IFERROR(__xludf.DUMMYFUNCTION("""COMPUTED_VALUE"""),"Core Subject With LSAE")</f>
        <v>Core Subject With LSAE</v>
      </c>
      <c r="G100" s="8" t="str">
        <f ca="1">IFERROR(__xludf.DUMMYFUNCTION("""COMPUTED_VALUE"""),"Unique Lister")</f>
        <v>Unique Lister</v>
      </c>
      <c r="H100" s="8" t="str">
        <f ca="1">IFERROR(__xludf.DUMMYFUNCTION("""COMPUTED_VALUE"""),"Elizabeth Williams")</f>
        <v>Elizabeth Williams</v>
      </c>
      <c r="I100" s="9">
        <f ca="1">IFERROR(__xludf.DUMMYFUNCTION("""COMPUTED_VALUE"""),45357)</f>
        <v>45357</v>
      </c>
      <c r="J100" s="9">
        <f ca="1">IFERROR(__xludf.DUMMYFUNCTION("""COMPUTED_VALUE"""),45357)</f>
        <v>45357</v>
      </c>
      <c r="K100" s="8" t="str">
        <f ca="1">IFERROR(__xludf.DUMMYFUNCTION("""COMPUTED_VALUE"""),"AM")</f>
        <v>AM</v>
      </c>
      <c r="L100" s="8" t="str">
        <f ca="1">IFERROR(__xludf.DUMMYFUNCTION("""COMPUTED_VALUE"""),"6th Grade")</f>
        <v>6th Grade</v>
      </c>
      <c r="M100" s="8" t="str">
        <f ca="1">IFERROR(__xludf.DUMMYFUNCTION("""COMPUTED_VALUE"""),"Science")</f>
        <v>Science</v>
      </c>
      <c r="N100" s="8">
        <f ca="1">IFERROR(__xludf.DUMMYFUNCTION("""COMPUTED_VALUE"""),7.5)</f>
        <v>7.5</v>
      </c>
      <c r="O100" s="8" t="str">
        <f ca="1">IFERROR(__xludf.DUMMYFUNCTION("""COMPUTED_VALUE"""),"Proficient I")</f>
        <v>Proficient I</v>
      </c>
      <c r="P100" s="8">
        <f ca="1">IFERROR(__xludf.DUMMYFUNCTION("""COMPUTED_VALUE"""),1)</f>
        <v>1</v>
      </c>
      <c r="Q100" s="8">
        <f ca="1">IFERROR(__xludf.DUMMYFUNCTION("""COMPUTED_VALUE"""),2.5)</f>
        <v>2.5</v>
      </c>
      <c r="R100" s="8">
        <f ca="1">IFERROR(__xludf.DUMMYFUNCTION("""COMPUTED_VALUE"""),2.5)</f>
        <v>2.5</v>
      </c>
      <c r="S100" s="8">
        <f ca="1">IFERROR(__xludf.DUMMYFUNCTION("""COMPUTED_VALUE"""),1.5)</f>
        <v>1.5</v>
      </c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</row>
    <row r="101" spans="1:31" ht="13.15" x14ac:dyDescent="0.4">
      <c r="A101" s="8"/>
      <c r="B101" s="8"/>
      <c r="C101" s="8"/>
      <c r="D101" s="8"/>
      <c r="E101" s="8" t="str">
        <f ca="1">IFERROR(__xludf.DUMMYFUNCTION("""COMPUTED_VALUE"""),"LAMAR")</f>
        <v>LAMAR</v>
      </c>
      <c r="F101" s="8" t="str">
        <f ca="1">IFERROR(__xludf.DUMMYFUNCTION("""COMPUTED_VALUE"""),"Core Subject With LSAE")</f>
        <v>Core Subject With LSAE</v>
      </c>
      <c r="G101" s="8" t="str">
        <f ca="1">IFERROR(__xludf.DUMMYFUNCTION("""COMPUTED_VALUE"""),"Jasmine McMiller")</f>
        <v>Jasmine McMiller</v>
      </c>
      <c r="H101" s="8" t="str">
        <f ca="1">IFERROR(__xludf.DUMMYFUNCTION("""COMPUTED_VALUE"""),"Elizabeth Williams")</f>
        <v>Elizabeth Williams</v>
      </c>
      <c r="I101" s="9">
        <f ca="1">IFERROR(__xludf.DUMMYFUNCTION("""COMPUTED_VALUE"""),45357)</f>
        <v>45357</v>
      </c>
      <c r="J101" s="9"/>
      <c r="K101" s="8" t="str">
        <f ca="1">IFERROR(__xludf.DUMMYFUNCTION("""COMPUTED_VALUE"""),"AM")</f>
        <v>AM</v>
      </c>
      <c r="L101" s="8" t="str">
        <f ca="1">IFERROR(__xludf.DUMMYFUNCTION("""COMPUTED_VALUE"""),"5th Grade")</f>
        <v>5th Grade</v>
      </c>
      <c r="M101" s="8" t="str">
        <f ca="1">IFERROR(__xludf.DUMMYFUNCTION("""COMPUTED_VALUE"""),"ELA")</f>
        <v>ELA</v>
      </c>
      <c r="N101" s="8">
        <f ca="1">IFERROR(__xludf.DUMMYFUNCTION("""COMPUTED_VALUE"""),5.5)</f>
        <v>5.5</v>
      </c>
      <c r="O101" s="8" t="str">
        <f ca="1">IFERROR(__xludf.DUMMYFUNCTION("""COMPUTED_VALUE"""),"Progressing")</f>
        <v>Progressing</v>
      </c>
      <c r="P101" s="8">
        <f ca="1">IFERROR(__xludf.DUMMYFUNCTION("""COMPUTED_VALUE"""),1)</f>
        <v>1</v>
      </c>
      <c r="Q101" s="8">
        <f ca="1">IFERROR(__xludf.DUMMYFUNCTION("""COMPUTED_VALUE"""),1.5)</f>
        <v>1.5</v>
      </c>
      <c r="R101" s="8">
        <f ca="1">IFERROR(__xludf.DUMMYFUNCTION("""COMPUTED_VALUE"""),1.5)</f>
        <v>1.5</v>
      </c>
      <c r="S101" s="8">
        <f ca="1">IFERROR(__xludf.DUMMYFUNCTION("""COMPUTED_VALUE"""),1.5)</f>
        <v>1.5</v>
      </c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</row>
    <row r="102" spans="1:31" ht="13.15" x14ac:dyDescent="0.4">
      <c r="A102" s="8"/>
      <c r="B102" s="8"/>
      <c r="C102" s="8"/>
      <c r="D102" s="8"/>
      <c r="E102" s="8" t="str">
        <f ca="1">IFERROR(__xludf.DUMMYFUNCTION("""COMPUTED_VALUE"""),"LAMAR")</f>
        <v>LAMAR</v>
      </c>
      <c r="F102" s="8" t="str">
        <f ca="1">IFERROR(__xludf.DUMMYFUNCTION("""COMPUTED_VALUE"""),"Core Subject With LSAE")</f>
        <v>Core Subject With LSAE</v>
      </c>
      <c r="G102" s="8" t="str">
        <f ca="1">IFERROR(__xludf.DUMMYFUNCTION("""COMPUTED_VALUE"""),"Danielle Miller")</f>
        <v>Danielle Miller</v>
      </c>
      <c r="H102" s="8" t="str">
        <f ca="1">IFERROR(__xludf.DUMMYFUNCTION("""COMPUTED_VALUE"""),"Elizabeth Williams")</f>
        <v>Elizabeth Williams</v>
      </c>
      <c r="I102" s="9">
        <f ca="1">IFERROR(__xludf.DUMMYFUNCTION("""COMPUTED_VALUE"""),45357)</f>
        <v>45357</v>
      </c>
      <c r="J102" s="9">
        <f ca="1">IFERROR(__xludf.DUMMYFUNCTION("""COMPUTED_VALUE"""),45358)</f>
        <v>45358</v>
      </c>
      <c r="K102" s="8" t="str">
        <f ca="1">IFERROR(__xludf.DUMMYFUNCTION("""COMPUTED_VALUE"""),"PM")</f>
        <v>PM</v>
      </c>
      <c r="L102" s="8" t="str">
        <f ca="1">IFERROR(__xludf.DUMMYFUNCTION("""COMPUTED_VALUE"""),"6th Grade")</f>
        <v>6th Grade</v>
      </c>
      <c r="M102" s="8" t="str">
        <f ca="1">IFERROR(__xludf.DUMMYFUNCTION("""COMPUTED_VALUE"""),"ELA")</f>
        <v>ELA</v>
      </c>
      <c r="N102" s="8">
        <f ca="1">IFERROR(__xludf.DUMMYFUNCTION("""COMPUTED_VALUE"""),7)</f>
        <v>7</v>
      </c>
      <c r="O102" s="8" t="str">
        <f ca="1">IFERROR(__xludf.DUMMYFUNCTION("""COMPUTED_VALUE"""),"Proficient I")</f>
        <v>Proficient I</v>
      </c>
      <c r="P102" s="8">
        <f ca="1">IFERROR(__xludf.DUMMYFUNCTION("""COMPUTED_VALUE"""),1)</f>
        <v>1</v>
      </c>
      <c r="Q102" s="8">
        <f ca="1">IFERROR(__xludf.DUMMYFUNCTION("""COMPUTED_VALUE"""),2.5)</f>
        <v>2.5</v>
      </c>
      <c r="R102" s="8">
        <f ca="1">IFERROR(__xludf.DUMMYFUNCTION("""COMPUTED_VALUE"""),2)</f>
        <v>2</v>
      </c>
      <c r="S102" s="8">
        <f ca="1">IFERROR(__xludf.DUMMYFUNCTION("""COMPUTED_VALUE"""),1.5)</f>
        <v>1.5</v>
      </c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</row>
    <row r="103" spans="1:31" ht="13.15" x14ac:dyDescent="0.4">
      <c r="A103" s="8"/>
      <c r="B103" s="8"/>
      <c r="C103" s="8"/>
      <c r="D103" s="8"/>
      <c r="E103" s="8" t="str">
        <f ca="1">IFERROR(__xludf.DUMMYFUNCTION("""COMPUTED_VALUE"""),"LAMAR")</f>
        <v>LAMAR</v>
      </c>
      <c r="F103" s="8" t="str">
        <f ca="1">IFERROR(__xludf.DUMMYFUNCTION("""COMPUTED_VALUE"""),"Core Subject With LSAE")</f>
        <v>Core Subject With LSAE</v>
      </c>
      <c r="G103" s="8" t="str">
        <f ca="1">IFERROR(__xludf.DUMMYFUNCTION("""COMPUTED_VALUE"""),"Zarick Cervantes")</f>
        <v>Zarick Cervantes</v>
      </c>
      <c r="H103" s="8" t="str">
        <f ca="1">IFERROR(__xludf.DUMMYFUNCTION("""COMPUTED_VALUE"""),"Elizabeth Williams")</f>
        <v>Elizabeth Williams</v>
      </c>
      <c r="I103" s="9">
        <f ca="1">IFERROR(__xludf.DUMMYFUNCTION("""COMPUTED_VALUE"""),45358)</f>
        <v>45358</v>
      </c>
      <c r="J103" s="9">
        <f ca="1">IFERROR(__xludf.DUMMYFUNCTION("""COMPUTED_VALUE"""),45359)</f>
        <v>45359</v>
      </c>
      <c r="K103" s="8" t="str">
        <f ca="1">IFERROR(__xludf.DUMMYFUNCTION("""COMPUTED_VALUE"""),"PM")</f>
        <v>PM</v>
      </c>
      <c r="L103" s="8" t="str">
        <f ca="1">IFERROR(__xludf.DUMMYFUNCTION("""COMPUTED_VALUE"""),"4th Grade")</f>
        <v>4th Grade</v>
      </c>
      <c r="M103" s="8" t="str">
        <f ca="1">IFERROR(__xludf.DUMMYFUNCTION("""COMPUTED_VALUE"""),"Math")</f>
        <v>Math</v>
      </c>
      <c r="N103" s="8">
        <f ca="1">IFERROR(__xludf.DUMMYFUNCTION("""COMPUTED_VALUE"""),6.5)</f>
        <v>6.5</v>
      </c>
      <c r="O103" s="8" t="str">
        <f ca="1">IFERROR(__xludf.DUMMYFUNCTION("""COMPUTED_VALUE"""),"Proficient I")</f>
        <v>Proficient I</v>
      </c>
      <c r="P103" s="8">
        <f ca="1">IFERROR(__xludf.DUMMYFUNCTION("""COMPUTED_VALUE"""),0.5)</f>
        <v>0.5</v>
      </c>
      <c r="Q103" s="8">
        <f ca="1">IFERROR(__xludf.DUMMYFUNCTION("""COMPUTED_VALUE"""),2.5)</f>
        <v>2.5</v>
      </c>
      <c r="R103" s="8">
        <f ca="1">IFERROR(__xludf.DUMMYFUNCTION("""COMPUTED_VALUE"""),2)</f>
        <v>2</v>
      </c>
      <c r="S103" s="8">
        <f ca="1">IFERROR(__xludf.DUMMYFUNCTION("""COMPUTED_VALUE"""),1.5)</f>
        <v>1.5</v>
      </c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</row>
    <row r="104" spans="1:31" ht="13.15" x14ac:dyDescent="0.4">
      <c r="A104" s="8"/>
      <c r="B104" s="8"/>
      <c r="C104" s="8"/>
      <c r="D104" s="8"/>
      <c r="E104" s="8" t="str">
        <f ca="1">IFERROR(__xludf.DUMMYFUNCTION("""COMPUTED_VALUE"""),"LAMAR")</f>
        <v>LAMAR</v>
      </c>
      <c r="F104" s="8" t="str">
        <f ca="1">IFERROR(__xludf.DUMMYFUNCTION("""COMPUTED_VALUE"""),"Core Subject With LSAE")</f>
        <v>Core Subject With LSAE</v>
      </c>
      <c r="G104" s="8" t="str">
        <f ca="1">IFERROR(__xludf.DUMMYFUNCTION("""COMPUTED_VALUE"""),"Jeffery Williams")</f>
        <v>Jeffery Williams</v>
      </c>
      <c r="H104" s="8" t="str">
        <f ca="1">IFERROR(__xludf.DUMMYFUNCTION("""COMPUTED_VALUE"""),"Elizabeth Williams")</f>
        <v>Elizabeth Williams</v>
      </c>
      <c r="I104" s="9">
        <f ca="1">IFERROR(__xludf.DUMMYFUNCTION("""COMPUTED_VALUE"""),45358)</f>
        <v>45358</v>
      </c>
      <c r="J104" s="9">
        <f ca="1">IFERROR(__xludf.DUMMYFUNCTION("""COMPUTED_VALUE"""),45359)</f>
        <v>45359</v>
      </c>
      <c r="K104" s="8" t="str">
        <f ca="1">IFERROR(__xludf.DUMMYFUNCTION("""COMPUTED_VALUE"""),"AM")</f>
        <v>AM</v>
      </c>
      <c r="L104" s="8" t="str">
        <f ca="1">IFERROR(__xludf.DUMMYFUNCTION("""COMPUTED_VALUE"""),"4th Grade")</f>
        <v>4th Grade</v>
      </c>
      <c r="M104" s="8" t="str">
        <f ca="1">IFERROR(__xludf.DUMMYFUNCTION("""COMPUTED_VALUE"""),"Science")</f>
        <v>Science</v>
      </c>
      <c r="N104" s="8">
        <f ca="1">IFERROR(__xludf.DUMMYFUNCTION("""COMPUTED_VALUE"""),6.5)</f>
        <v>6.5</v>
      </c>
      <c r="O104" s="8" t="str">
        <f ca="1">IFERROR(__xludf.DUMMYFUNCTION("""COMPUTED_VALUE"""),"Proficient I")</f>
        <v>Proficient I</v>
      </c>
      <c r="P104" s="8">
        <f ca="1">IFERROR(__xludf.DUMMYFUNCTION("""COMPUTED_VALUE"""),1)</f>
        <v>1</v>
      </c>
      <c r="Q104" s="8">
        <f ca="1">IFERROR(__xludf.DUMMYFUNCTION("""COMPUTED_VALUE"""),2)</f>
        <v>2</v>
      </c>
      <c r="R104" s="8">
        <f ca="1">IFERROR(__xludf.DUMMYFUNCTION("""COMPUTED_VALUE"""),2)</f>
        <v>2</v>
      </c>
      <c r="S104" s="8">
        <f ca="1">IFERROR(__xludf.DUMMYFUNCTION("""COMPUTED_VALUE"""),1.5)</f>
        <v>1.5</v>
      </c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</row>
    <row r="105" spans="1:31" ht="13.15" x14ac:dyDescent="0.4">
      <c r="A105" s="8"/>
      <c r="B105" s="8"/>
      <c r="C105" s="8"/>
      <c r="D105" s="8"/>
      <c r="E105" s="8" t="str">
        <f ca="1">IFERROR(__xludf.DUMMYFUNCTION("""COMPUTED_VALUE"""),"LAMAR")</f>
        <v>LAMAR</v>
      </c>
      <c r="F105" s="8" t="str">
        <f ca="1">IFERROR(__xludf.DUMMYFUNCTION("""COMPUTED_VALUE"""),"Core Subject No LSAE")</f>
        <v>Core Subject No LSAE</v>
      </c>
      <c r="G105" s="8" t="str">
        <f ca="1">IFERROR(__xludf.DUMMYFUNCTION("""COMPUTED_VALUE"""),"Taylor Anderson")</f>
        <v>Taylor Anderson</v>
      </c>
      <c r="H105" s="8" t="str">
        <f ca="1">IFERROR(__xludf.DUMMYFUNCTION("""COMPUTED_VALUE"""),"Shameka Johnson")</f>
        <v>Shameka Johnson</v>
      </c>
      <c r="I105" s="9">
        <f ca="1">IFERROR(__xludf.DUMMYFUNCTION("""COMPUTED_VALUE"""),45355)</f>
        <v>45355</v>
      </c>
      <c r="J105" s="9"/>
      <c r="K105" s="8" t="str">
        <f ca="1">IFERROR(__xludf.DUMMYFUNCTION("""COMPUTED_VALUE"""),"AM")</f>
        <v>AM</v>
      </c>
      <c r="L105" s="8" t="str">
        <f ca="1">IFERROR(__xludf.DUMMYFUNCTION("""COMPUTED_VALUE"""),"2nd Grade")</f>
        <v>2nd Grade</v>
      </c>
      <c r="M105" s="8" t="str">
        <f ca="1">IFERROR(__xludf.DUMMYFUNCTION("""COMPUTED_VALUE"""),"Science")</f>
        <v>Science</v>
      </c>
      <c r="N105" s="8">
        <f ca="1">IFERROR(__xludf.DUMMYFUNCTION("""COMPUTED_VALUE"""),6.5)</f>
        <v>6.5</v>
      </c>
      <c r="O105" s="8" t="str">
        <f ca="1">IFERROR(__xludf.DUMMYFUNCTION("""COMPUTED_VALUE"""),"Proficient I")</f>
        <v>Proficient I</v>
      </c>
      <c r="P105" s="8">
        <f ca="1">IFERROR(__xludf.DUMMYFUNCTION("""COMPUTED_VALUE"""),2)</f>
        <v>2</v>
      </c>
      <c r="Q105" s="8">
        <f ca="1">IFERROR(__xludf.DUMMYFUNCTION("""COMPUTED_VALUE"""),2.5)</f>
        <v>2.5</v>
      </c>
      <c r="R105" s="8">
        <f ca="1">IFERROR(__xludf.DUMMYFUNCTION("""COMPUTED_VALUE"""),2)</f>
        <v>2</v>
      </c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</row>
    <row r="106" spans="1:31" ht="13.15" x14ac:dyDescent="0.4">
      <c r="A106" s="8"/>
      <c r="B106" s="8"/>
      <c r="C106" s="8"/>
      <c r="D106" s="8"/>
      <c r="E106" s="8" t="str">
        <f ca="1">IFERROR(__xludf.DUMMYFUNCTION("""COMPUTED_VALUE"""),"LAMAR")</f>
        <v>LAMAR</v>
      </c>
      <c r="F106" s="8" t="str">
        <f ca="1">IFERROR(__xludf.DUMMYFUNCTION("""COMPUTED_VALUE"""),"Core Subject With LSAE")</f>
        <v>Core Subject With LSAE</v>
      </c>
      <c r="G106" s="8" t="str">
        <f ca="1">IFERROR(__xludf.DUMMYFUNCTION("""COMPUTED_VALUE"""),"Rebekah Cervantes")</f>
        <v>Rebekah Cervantes</v>
      </c>
      <c r="H106" s="8" t="str">
        <f ca="1">IFERROR(__xludf.DUMMYFUNCTION("""COMPUTED_VALUE"""),"Shameka Johnson")</f>
        <v>Shameka Johnson</v>
      </c>
      <c r="I106" s="9">
        <f ca="1">IFERROR(__xludf.DUMMYFUNCTION("""COMPUTED_VALUE"""),45355)</f>
        <v>45355</v>
      </c>
      <c r="J106" s="9">
        <f ca="1">IFERROR(__xludf.DUMMYFUNCTION("""COMPUTED_VALUE"""),45355)</f>
        <v>45355</v>
      </c>
      <c r="K106" s="8" t="str">
        <f ca="1">IFERROR(__xludf.DUMMYFUNCTION("""COMPUTED_VALUE"""),"AM")</f>
        <v>AM</v>
      </c>
      <c r="L106" s="8" t="str">
        <f ca="1">IFERROR(__xludf.DUMMYFUNCTION("""COMPUTED_VALUE"""),"3rd Grade")</f>
        <v>3rd Grade</v>
      </c>
      <c r="M106" s="8" t="str">
        <f ca="1">IFERROR(__xludf.DUMMYFUNCTION("""COMPUTED_VALUE"""),"Science")</f>
        <v>Science</v>
      </c>
      <c r="N106" s="8">
        <f ca="1">IFERROR(__xludf.DUMMYFUNCTION("""COMPUTED_VALUE"""),6)</f>
        <v>6</v>
      </c>
      <c r="O106" s="8" t="str">
        <f ca="1">IFERROR(__xludf.DUMMYFUNCTION("""COMPUTED_VALUE"""),"Proficient I")</f>
        <v>Proficient I</v>
      </c>
      <c r="P106" s="8">
        <f ca="1">IFERROR(__xludf.DUMMYFUNCTION("""COMPUTED_VALUE"""),1)</f>
        <v>1</v>
      </c>
      <c r="Q106" s="8">
        <f ca="1">IFERROR(__xludf.DUMMYFUNCTION("""COMPUTED_VALUE"""),2)</f>
        <v>2</v>
      </c>
      <c r="R106" s="8">
        <f ca="1">IFERROR(__xludf.DUMMYFUNCTION("""COMPUTED_VALUE"""),1.5)</f>
        <v>1.5</v>
      </c>
      <c r="S106" s="8">
        <f ca="1">IFERROR(__xludf.DUMMYFUNCTION("""COMPUTED_VALUE"""),1.5)</f>
        <v>1.5</v>
      </c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</row>
    <row r="107" spans="1:31" ht="13.15" x14ac:dyDescent="0.4">
      <c r="A107" s="8"/>
      <c r="B107" s="8"/>
      <c r="C107" s="8"/>
      <c r="D107" s="8"/>
      <c r="E107" s="8" t="str">
        <f ca="1">IFERROR(__xludf.DUMMYFUNCTION("""COMPUTED_VALUE"""),"LAMAR")</f>
        <v>LAMAR</v>
      </c>
      <c r="F107" s="8" t="str">
        <f ca="1">IFERROR(__xludf.DUMMYFUNCTION("""COMPUTED_VALUE"""),"Core Subject With LSAE")</f>
        <v>Core Subject With LSAE</v>
      </c>
      <c r="G107" s="8" t="str">
        <f ca="1">IFERROR(__xludf.DUMMYFUNCTION("""COMPUTED_VALUE"""),"Ashley McCann")</f>
        <v>Ashley McCann</v>
      </c>
      <c r="H107" s="8" t="str">
        <f ca="1">IFERROR(__xludf.DUMMYFUNCTION("""COMPUTED_VALUE"""),"Shameka Johnson")</f>
        <v>Shameka Johnson</v>
      </c>
      <c r="I107" s="9">
        <f ca="1">IFERROR(__xludf.DUMMYFUNCTION("""COMPUTED_VALUE"""),45356)</f>
        <v>45356</v>
      </c>
      <c r="J107" s="9"/>
      <c r="K107" s="8" t="str">
        <f ca="1">IFERROR(__xludf.DUMMYFUNCTION("""COMPUTED_VALUE"""),"AM")</f>
        <v>AM</v>
      </c>
      <c r="L107" s="8" t="str">
        <f ca="1">IFERROR(__xludf.DUMMYFUNCTION("""COMPUTED_VALUE"""),"5th Grade")</f>
        <v>5th Grade</v>
      </c>
      <c r="M107" s="8" t="str">
        <f ca="1">IFERROR(__xludf.DUMMYFUNCTION("""COMPUTED_VALUE"""),"Science")</f>
        <v>Science</v>
      </c>
      <c r="N107" s="8">
        <f ca="1">IFERROR(__xludf.DUMMYFUNCTION("""COMPUTED_VALUE"""),7)</f>
        <v>7</v>
      </c>
      <c r="O107" s="8" t="str">
        <f ca="1">IFERROR(__xludf.DUMMYFUNCTION("""COMPUTED_VALUE"""),"Proficient I")</f>
        <v>Proficient I</v>
      </c>
      <c r="P107" s="8">
        <f ca="1">IFERROR(__xludf.DUMMYFUNCTION("""COMPUTED_VALUE"""),1)</f>
        <v>1</v>
      </c>
      <c r="Q107" s="8">
        <f ca="1">IFERROR(__xludf.DUMMYFUNCTION("""COMPUTED_VALUE"""),2.5)</f>
        <v>2.5</v>
      </c>
      <c r="R107" s="8">
        <f ca="1">IFERROR(__xludf.DUMMYFUNCTION("""COMPUTED_VALUE"""),2)</f>
        <v>2</v>
      </c>
      <c r="S107" s="8">
        <f ca="1">IFERROR(__xludf.DUMMYFUNCTION("""COMPUTED_VALUE"""),1.5)</f>
        <v>1.5</v>
      </c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</row>
    <row r="108" spans="1:31" ht="13.15" x14ac:dyDescent="0.4">
      <c r="A108" s="8"/>
      <c r="B108" s="8"/>
      <c r="C108" s="8"/>
      <c r="D108" s="8"/>
      <c r="E108" s="8" t="str">
        <f ca="1">IFERROR(__xludf.DUMMYFUNCTION("""COMPUTED_VALUE"""),"LAMAR")</f>
        <v>LAMAR</v>
      </c>
      <c r="F108" s="8" t="str">
        <f ca="1">IFERROR(__xludf.DUMMYFUNCTION("""COMPUTED_VALUE"""),"Core Subject No LSAE")</f>
        <v>Core Subject No LSAE</v>
      </c>
      <c r="G108" s="8" t="str">
        <f ca="1">IFERROR(__xludf.DUMMYFUNCTION("""COMPUTED_VALUE"""),"Ron Santos")</f>
        <v>Ron Santos</v>
      </c>
      <c r="H108" s="8" t="str">
        <f ca="1">IFERROR(__xludf.DUMMYFUNCTION("""COMPUTED_VALUE"""),"Shameka Johnson")</f>
        <v>Shameka Johnson</v>
      </c>
      <c r="I108" s="9">
        <f ca="1">IFERROR(__xludf.DUMMYFUNCTION("""COMPUTED_VALUE"""),45357)</f>
        <v>45357</v>
      </c>
      <c r="J108" s="9">
        <f ca="1">IFERROR(__xludf.DUMMYFUNCTION("""COMPUTED_VALUE"""),45358)</f>
        <v>45358</v>
      </c>
      <c r="K108" s="8" t="str">
        <f ca="1">IFERROR(__xludf.DUMMYFUNCTION("""COMPUTED_VALUE"""),"AM")</f>
        <v>AM</v>
      </c>
      <c r="L108" s="8" t="str">
        <f ca="1">IFERROR(__xludf.DUMMYFUNCTION("""COMPUTED_VALUE"""),"2nd Grade")</f>
        <v>2nd Grade</v>
      </c>
      <c r="M108" s="8" t="str">
        <f ca="1">IFERROR(__xludf.DUMMYFUNCTION("""COMPUTED_VALUE"""),"Math")</f>
        <v>Math</v>
      </c>
      <c r="N108" s="8">
        <f ca="1">IFERROR(__xludf.DUMMYFUNCTION("""COMPUTED_VALUE"""),6)</f>
        <v>6</v>
      </c>
      <c r="O108" s="8" t="str">
        <f ca="1">IFERROR(__xludf.DUMMYFUNCTION("""COMPUTED_VALUE"""),"Proficient I")</f>
        <v>Proficient I</v>
      </c>
      <c r="P108" s="8">
        <f ca="1">IFERROR(__xludf.DUMMYFUNCTION("""COMPUTED_VALUE"""),2)</f>
        <v>2</v>
      </c>
      <c r="Q108" s="8">
        <f ca="1">IFERROR(__xludf.DUMMYFUNCTION("""COMPUTED_VALUE"""),2)</f>
        <v>2</v>
      </c>
      <c r="R108" s="8">
        <f ca="1">IFERROR(__xludf.DUMMYFUNCTION("""COMPUTED_VALUE"""),2)</f>
        <v>2</v>
      </c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</row>
    <row r="109" spans="1:31" ht="13.15" x14ac:dyDescent="0.4">
      <c r="A109" s="8"/>
      <c r="B109" s="8"/>
      <c r="C109" s="8"/>
      <c r="D109" s="8"/>
      <c r="E109" s="8" t="str">
        <f ca="1">IFERROR(__xludf.DUMMYFUNCTION("""COMPUTED_VALUE"""),"LAMAR")</f>
        <v>LAMAR</v>
      </c>
      <c r="F109" s="8" t="str">
        <f ca="1">IFERROR(__xludf.DUMMYFUNCTION("""COMPUTED_VALUE"""),"Core Subject With LSAE")</f>
        <v>Core Subject With LSAE</v>
      </c>
      <c r="G109" s="8" t="str">
        <f ca="1">IFERROR(__xludf.DUMMYFUNCTION("""COMPUTED_VALUE"""),"Haley Kitzman")</f>
        <v>Haley Kitzman</v>
      </c>
      <c r="H109" s="8" t="str">
        <f ca="1">IFERROR(__xludf.DUMMYFUNCTION("""COMPUTED_VALUE"""),"Shameka Johnson")</f>
        <v>Shameka Johnson</v>
      </c>
      <c r="I109" s="9">
        <f ca="1">IFERROR(__xludf.DUMMYFUNCTION("""COMPUTED_VALUE"""),45357)</f>
        <v>45357</v>
      </c>
      <c r="J109" s="9">
        <f ca="1">IFERROR(__xludf.DUMMYFUNCTION("""COMPUTED_VALUE"""),45357)</f>
        <v>45357</v>
      </c>
      <c r="K109" s="8" t="str">
        <f ca="1">IFERROR(__xludf.DUMMYFUNCTION("""COMPUTED_VALUE"""),"AM")</f>
        <v>AM</v>
      </c>
      <c r="L109" s="11" t="str">
        <f ca="1">IFERROR(__xludf.DUMMYFUNCTION("""COMPUTED_VALUE"""),"3rd Grade")</f>
        <v>3rd Grade</v>
      </c>
      <c r="M109" s="8" t="str">
        <f ca="1">IFERROR(__xludf.DUMMYFUNCTION("""COMPUTED_VALUE"""),"ELA")</f>
        <v>ELA</v>
      </c>
      <c r="N109" s="8">
        <f ca="1">IFERROR(__xludf.DUMMYFUNCTION("""COMPUTED_VALUE"""),7.5)</f>
        <v>7.5</v>
      </c>
      <c r="O109" s="8" t="str">
        <f ca="1">IFERROR(__xludf.DUMMYFUNCTION("""COMPUTED_VALUE"""),"Proficient I")</f>
        <v>Proficient I</v>
      </c>
      <c r="P109" s="8">
        <f ca="1">IFERROR(__xludf.DUMMYFUNCTION("""COMPUTED_VALUE"""),1)</f>
        <v>1</v>
      </c>
      <c r="Q109" s="8">
        <f ca="1">IFERROR(__xludf.DUMMYFUNCTION("""COMPUTED_VALUE"""),2.5)</f>
        <v>2.5</v>
      </c>
      <c r="R109" s="8">
        <f ca="1">IFERROR(__xludf.DUMMYFUNCTION("""COMPUTED_VALUE"""),2.5)</f>
        <v>2.5</v>
      </c>
      <c r="S109" s="8">
        <f ca="1">IFERROR(__xludf.DUMMYFUNCTION("""COMPUTED_VALUE"""),1.5)</f>
        <v>1.5</v>
      </c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</row>
    <row r="110" spans="1:31" ht="13.15" x14ac:dyDescent="0.4">
      <c r="A110" s="8"/>
      <c r="B110" s="8"/>
      <c r="C110" s="8"/>
      <c r="D110" s="8"/>
      <c r="E110" s="8" t="str">
        <f ca="1">IFERROR(__xludf.DUMMYFUNCTION("""COMPUTED_VALUE"""),"LAMAR")</f>
        <v>LAMAR</v>
      </c>
      <c r="F110" s="8" t="str">
        <f ca="1">IFERROR(__xludf.DUMMYFUNCTION("""COMPUTED_VALUE"""),"Core Subject No LSAE")</f>
        <v>Core Subject No LSAE</v>
      </c>
      <c r="G110" s="8" t="str">
        <f ca="1">IFERROR(__xludf.DUMMYFUNCTION("""COMPUTED_VALUE"""),"Sumayah Saadoon")</f>
        <v>Sumayah Saadoon</v>
      </c>
      <c r="H110" s="8" t="str">
        <f ca="1">IFERROR(__xludf.DUMMYFUNCTION("""COMPUTED_VALUE"""),"Shameka Johnson")</f>
        <v>Shameka Johnson</v>
      </c>
      <c r="I110" s="9">
        <f ca="1">IFERROR(__xludf.DUMMYFUNCTION("""COMPUTED_VALUE"""),45358)</f>
        <v>45358</v>
      </c>
      <c r="J110" s="9">
        <f ca="1">IFERROR(__xludf.DUMMYFUNCTION("""COMPUTED_VALUE"""),45358)</f>
        <v>45358</v>
      </c>
      <c r="K110" s="8" t="str">
        <f ca="1">IFERROR(__xludf.DUMMYFUNCTION("""COMPUTED_VALUE"""),"PM")</f>
        <v>PM</v>
      </c>
      <c r="L110" s="8" t="str">
        <f ca="1">IFERROR(__xludf.DUMMYFUNCTION("""COMPUTED_VALUE"""),"4th Grade")</f>
        <v>4th Grade</v>
      </c>
      <c r="M110" s="8" t="str">
        <f ca="1">IFERROR(__xludf.DUMMYFUNCTION("""COMPUTED_VALUE"""),"ELA")</f>
        <v>ELA</v>
      </c>
      <c r="N110" s="8">
        <f ca="1">IFERROR(__xludf.DUMMYFUNCTION("""COMPUTED_VALUE"""),5.5)</f>
        <v>5.5</v>
      </c>
      <c r="O110" s="8" t="str">
        <f ca="1">IFERROR(__xludf.DUMMYFUNCTION("""COMPUTED_VALUE"""),"Progressing")</f>
        <v>Progressing</v>
      </c>
      <c r="P110" s="8">
        <f ca="1">IFERROR(__xludf.DUMMYFUNCTION("""COMPUTED_VALUE"""),2)</f>
        <v>2</v>
      </c>
      <c r="Q110" s="8">
        <f ca="1">IFERROR(__xludf.DUMMYFUNCTION("""COMPUTED_VALUE"""),2)</f>
        <v>2</v>
      </c>
      <c r="R110" s="8">
        <f ca="1">IFERROR(__xludf.DUMMYFUNCTION("""COMPUTED_VALUE"""),1.5)</f>
        <v>1.5</v>
      </c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</row>
    <row r="111" spans="1:31" ht="13.15" x14ac:dyDescent="0.4">
      <c r="A111" s="8"/>
      <c r="B111" s="8"/>
      <c r="C111" s="8"/>
      <c r="D111" s="8"/>
      <c r="E111" s="8" t="str">
        <f ca="1">IFERROR(__xludf.DUMMYFUNCTION("""COMPUTED_VALUE"""),"LAMAR")</f>
        <v>LAMAR</v>
      </c>
      <c r="F111" s="8" t="str">
        <f ca="1">IFERROR(__xludf.DUMMYFUNCTION("""COMPUTED_VALUE"""),"Core Subject No LSAE")</f>
        <v>Core Subject No LSAE</v>
      </c>
      <c r="G111" s="8" t="str">
        <f ca="1">IFERROR(__xludf.DUMMYFUNCTION("""COMPUTED_VALUE"""),"Cashena Mathis")</f>
        <v>Cashena Mathis</v>
      </c>
      <c r="H111" s="8" t="str">
        <f ca="1">IFERROR(__xludf.DUMMYFUNCTION("""COMPUTED_VALUE"""),"Shameka Johnson")</f>
        <v>Shameka Johnson</v>
      </c>
      <c r="I111" s="9">
        <f ca="1">IFERROR(__xludf.DUMMYFUNCTION("""COMPUTED_VALUE"""),45358)</f>
        <v>45358</v>
      </c>
      <c r="J111" s="9">
        <f ca="1">IFERROR(__xludf.DUMMYFUNCTION("""COMPUTED_VALUE"""),45358)</f>
        <v>45358</v>
      </c>
      <c r="K111" s="8" t="str">
        <f ca="1">IFERROR(__xludf.DUMMYFUNCTION("""COMPUTED_VALUE"""),"PM")</f>
        <v>PM</v>
      </c>
      <c r="L111" s="11" t="str">
        <f ca="1">IFERROR(__xludf.DUMMYFUNCTION("""COMPUTED_VALUE"""),"6th Grade")</f>
        <v>6th Grade</v>
      </c>
      <c r="M111" s="8" t="str">
        <f ca="1">IFERROR(__xludf.DUMMYFUNCTION("""COMPUTED_VALUE"""),"Art of Thinking")</f>
        <v>Art of Thinking</v>
      </c>
      <c r="N111" s="8">
        <f ca="1">IFERROR(__xludf.DUMMYFUNCTION("""COMPUTED_VALUE"""),7)</f>
        <v>7</v>
      </c>
      <c r="O111" s="8" t="str">
        <f ca="1">IFERROR(__xludf.DUMMYFUNCTION("""COMPUTED_VALUE"""),"Proficient I")</f>
        <v>Proficient I</v>
      </c>
      <c r="P111" s="8">
        <f ca="1">IFERROR(__xludf.DUMMYFUNCTION("""COMPUTED_VALUE"""),2)</f>
        <v>2</v>
      </c>
      <c r="Q111" s="8">
        <f ca="1">IFERROR(__xludf.DUMMYFUNCTION("""COMPUTED_VALUE"""),2)</f>
        <v>2</v>
      </c>
      <c r="R111" s="8">
        <f ca="1">IFERROR(__xludf.DUMMYFUNCTION("""COMPUTED_VALUE"""),3)</f>
        <v>3</v>
      </c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</row>
    <row r="112" spans="1:31" ht="13.15" x14ac:dyDescent="0.4">
      <c r="A112" s="8"/>
      <c r="B112" s="8"/>
      <c r="C112" s="8"/>
      <c r="D112" s="8"/>
      <c r="E112" s="8" t="str">
        <f ca="1">IFERROR(__xludf.DUMMYFUNCTION("""COMPUTED_VALUE"""),"LAMAR")</f>
        <v>LAMAR</v>
      </c>
      <c r="F112" s="8" t="str">
        <f ca="1">IFERROR(__xludf.DUMMYFUNCTION("""COMPUTED_VALUE"""),"Core Subject With LSAE")</f>
        <v>Core Subject With LSAE</v>
      </c>
      <c r="G112" s="8" t="str">
        <f ca="1">IFERROR(__xludf.DUMMYFUNCTION("""COMPUTED_VALUE"""),"Arthur Wilson")</f>
        <v>Arthur Wilson</v>
      </c>
      <c r="H112" s="8" t="str">
        <f ca="1">IFERROR(__xludf.DUMMYFUNCTION("""COMPUTED_VALUE"""),"Shameka Johnson")</f>
        <v>Shameka Johnson</v>
      </c>
      <c r="I112" s="9">
        <f ca="1">IFERROR(__xludf.DUMMYFUNCTION("""COMPUTED_VALUE"""),45358)</f>
        <v>45358</v>
      </c>
      <c r="J112" s="9">
        <f ca="1">IFERROR(__xludf.DUMMYFUNCTION("""COMPUTED_VALUE"""),45358)</f>
        <v>45358</v>
      </c>
      <c r="K112" s="8" t="str">
        <f ca="1">IFERROR(__xludf.DUMMYFUNCTION("""COMPUTED_VALUE"""),"AM")</f>
        <v>AM</v>
      </c>
      <c r="L112" s="8" t="str">
        <f ca="1">IFERROR(__xludf.DUMMYFUNCTION("""COMPUTED_VALUE"""),"6th Grade")</f>
        <v>6th Grade</v>
      </c>
      <c r="M112" s="8" t="str">
        <f ca="1">IFERROR(__xludf.DUMMYFUNCTION("""COMPUTED_VALUE"""),"Math")</f>
        <v>Math</v>
      </c>
      <c r="N112" s="8">
        <f ca="1">IFERROR(__xludf.DUMMYFUNCTION("""COMPUTED_VALUE"""),6)</f>
        <v>6</v>
      </c>
      <c r="O112" s="8" t="str">
        <f ca="1">IFERROR(__xludf.DUMMYFUNCTION("""COMPUTED_VALUE"""),"Proficient I")</f>
        <v>Proficient I</v>
      </c>
      <c r="P112" s="8">
        <f ca="1">IFERROR(__xludf.DUMMYFUNCTION("""COMPUTED_VALUE"""),1)</f>
        <v>1</v>
      </c>
      <c r="Q112" s="8">
        <f ca="1">IFERROR(__xludf.DUMMYFUNCTION("""COMPUTED_VALUE"""),1.5)</f>
        <v>1.5</v>
      </c>
      <c r="R112" s="8">
        <f ca="1">IFERROR(__xludf.DUMMYFUNCTION("""COMPUTED_VALUE"""),2)</f>
        <v>2</v>
      </c>
      <c r="S112" s="8">
        <f ca="1">IFERROR(__xludf.DUMMYFUNCTION("""COMPUTED_VALUE"""),1.5)</f>
        <v>1.5</v>
      </c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</row>
    <row r="113" spans="1:31" ht="13.15" x14ac:dyDescent="0.4">
      <c r="A113" s="8"/>
      <c r="B113" s="8"/>
      <c r="C113" s="8"/>
      <c r="D113" s="8"/>
      <c r="E113" s="8" t="str">
        <f ca="1">IFERROR(__xludf.DUMMYFUNCTION("""COMPUTED_VALUE"""),"LAMAR")</f>
        <v>LAMAR</v>
      </c>
      <c r="F113" s="8" t="str">
        <f ca="1">IFERROR(__xludf.DUMMYFUNCTION("""COMPUTED_VALUE"""),"K-1")</f>
        <v>K-1</v>
      </c>
      <c r="G113" s="8" t="str">
        <f ca="1">IFERROR(__xludf.DUMMYFUNCTION("""COMPUTED_VALUE"""),"Kari Maldonado")</f>
        <v>Kari Maldonado</v>
      </c>
      <c r="H113" s="8" t="str">
        <f ca="1">IFERROR(__xludf.DUMMYFUNCTION("""COMPUTED_VALUE"""),"Shameka Johnson")</f>
        <v>Shameka Johnson</v>
      </c>
      <c r="I113" s="9">
        <f ca="1">IFERROR(__xludf.DUMMYFUNCTION("""COMPUTED_VALUE"""),45358)</f>
        <v>45358</v>
      </c>
      <c r="J113" s="9">
        <f ca="1">IFERROR(__xludf.DUMMYFUNCTION("""COMPUTED_VALUE"""),45358)</f>
        <v>45358</v>
      </c>
      <c r="K113" s="8" t="str">
        <f ca="1">IFERROR(__xludf.DUMMYFUNCTION("""COMPUTED_VALUE"""),"AM")</f>
        <v>AM</v>
      </c>
      <c r="L113" s="8" t="str">
        <f ca="1">IFERROR(__xludf.DUMMYFUNCTION("""COMPUTED_VALUE"""),"Kindergarten")</f>
        <v>Kindergarten</v>
      </c>
      <c r="M113" s="8" t="str">
        <f ca="1">IFERROR(__xludf.DUMMYFUNCTION("""COMPUTED_VALUE"""),"ELA")</f>
        <v>ELA</v>
      </c>
      <c r="N113" s="8">
        <f ca="1">IFERROR(__xludf.DUMMYFUNCTION("""COMPUTED_VALUE"""),7)</f>
        <v>7</v>
      </c>
      <c r="O113" s="8" t="str">
        <f ca="1">IFERROR(__xludf.DUMMYFUNCTION("""COMPUTED_VALUE"""),"Proficient I")</f>
        <v>Proficient I</v>
      </c>
      <c r="P113" s="8">
        <f ca="1">IFERROR(__xludf.DUMMYFUNCTION("""COMPUTED_VALUE"""),1)</f>
        <v>1</v>
      </c>
      <c r="Q113" s="8">
        <f ca="1">IFERROR(__xludf.DUMMYFUNCTION("""COMPUTED_VALUE"""),2.5)</f>
        <v>2.5</v>
      </c>
      <c r="R113" s="8">
        <f ca="1">IFERROR(__xludf.DUMMYFUNCTION("""COMPUTED_VALUE"""),2)</f>
        <v>2</v>
      </c>
      <c r="S113" s="8">
        <f ca="1">IFERROR(__xludf.DUMMYFUNCTION("""COMPUTED_VALUE"""),1.5)</f>
        <v>1.5</v>
      </c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</row>
    <row r="114" spans="1:31" ht="13.15" x14ac:dyDescent="0.4">
      <c r="A114" s="8"/>
      <c r="B114" s="8"/>
      <c r="C114" s="8"/>
      <c r="D114" s="8"/>
      <c r="E114" s="8" t="str">
        <f ca="1">IFERROR(__xludf.DUMMYFUNCTION("""COMPUTED_VALUE"""),"LAMAR")</f>
        <v>LAMAR</v>
      </c>
      <c r="F114" s="8" t="str">
        <f ca="1">IFERROR(__xludf.DUMMYFUNCTION("""COMPUTED_VALUE"""),"K-1")</f>
        <v>K-1</v>
      </c>
      <c r="G114" s="8" t="str">
        <f ca="1">IFERROR(__xludf.DUMMYFUNCTION("""COMPUTED_VALUE"""),"Devet Brown")</f>
        <v>Devet Brown</v>
      </c>
      <c r="H114" s="8" t="str">
        <f ca="1">IFERROR(__xludf.DUMMYFUNCTION("""COMPUTED_VALUE"""),"Shameka Johnson")</f>
        <v>Shameka Johnson</v>
      </c>
      <c r="I114" s="9">
        <f ca="1">IFERROR(__xludf.DUMMYFUNCTION("""COMPUTED_VALUE"""),45358)</f>
        <v>45358</v>
      </c>
      <c r="J114" s="9">
        <f ca="1">IFERROR(__xludf.DUMMYFUNCTION("""COMPUTED_VALUE"""),45358)</f>
        <v>45358</v>
      </c>
      <c r="K114" s="8" t="str">
        <f ca="1">IFERROR(__xludf.DUMMYFUNCTION("""COMPUTED_VALUE"""),"AM")</f>
        <v>AM</v>
      </c>
      <c r="L114" s="8" t="str">
        <f ca="1">IFERROR(__xludf.DUMMYFUNCTION("""COMPUTED_VALUE"""),"Kindergarten")</f>
        <v>Kindergarten</v>
      </c>
      <c r="M114" s="8" t="str">
        <f ca="1">IFERROR(__xludf.DUMMYFUNCTION("""COMPUTED_VALUE"""),"ELA")</f>
        <v>ELA</v>
      </c>
      <c r="N114" s="8">
        <f ca="1">IFERROR(__xludf.DUMMYFUNCTION("""COMPUTED_VALUE"""),5.5)</f>
        <v>5.5</v>
      </c>
      <c r="O114" s="8" t="str">
        <f ca="1">IFERROR(__xludf.DUMMYFUNCTION("""COMPUTED_VALUE"""),"Progressing")</f>
        <v>Progressing</v>
      </c>
      <c r="P114" s="8">
        <f ca="1">IFERROR(__xludf.DUMMYFUNCTION("""COMPUTED_VALUE"""),1)</f>
        <v>1</v>
      </c>
      <c r="Q114" s="8">
        <f ca="1">IFERROR(__xludf.DUMMYFUNCTION("""COMPUTED_VALUE"""),2)</f>
        <v>2</v>
      </c>
      <c r="R114" s="8">
        <f ca="1">IFERROR(__xludf.DUMMYFUNCTION("""COMPUTED_VALUE"""),1.5)</f>
        <v>1.5</v>
      </c>
      <c r="S114" s="8">
        <f ca="1">IFERROR(__xludf.DUMMYFUNCTION("""COMPUTED_VALUE"""),1)</f>
        <v>1</v>
      </c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</row>
    <row r="115" spans="1:31" ht="13.15" x14ac:dyDescent="0.4">
      <c r="A115" s="8"/>
      <c r="B115" s="8"/>
      <c r="C115" s="8"/>
      <c r="D115" s="8"/>
      <c r="E115" s="8" t="str">
        <f ca="1">IFERROR(__xludf.DUMMYFUNCTION("""COMPUTED_VALUE"""),"LAMAR")</f>
        <v>LAMAR</v>
      </c>
      <c r="F115" s="8" t="str">
        <f ca="1">IFERROR(__xludf.DUMMYFUNCTION("""COMPUTED_VALUE"""),"K-1")</f>
        <v>K-1</v>
      </c>
      <c r="G115" s="8" t="str">
        <f ca="1">IFERROR(__xludf.DUMMYFUNCTION("""COMPUTED_VALUE"""),"Jessica Garcia")</f>
        <v>Jessica Garcia</v>
      </c>
      <c r="H115" s="8" t="str">
        <f ca="1">IFERROR(__xludf.DUMMYFUNCTION("""COMPUTED_VALUE"""),"Shameka Johnson")</f>
        <v>Shameka Johnson</v>
      </c>
      <c r="I115" s="9">
        <f ca="1">IFERROR(__xludf.DUMMYFUNCTION("""COMPUTED_VALUE"""),45358)</f>
        <v>45358</v>
      </c>
      <c r="J115" s="9">
        <f ca="1">IFERROR(__xludf.DUMMYFUNCTION("""COMPUTED_VALUE"""),45359)</f>
        <v>45359</v>
      </c>
      <c r="K115" s="8" t="str">
        <f ca="1">IFERROR(__xludf.DUMMYFUNCTION("""COMPUTED_VALUE"""),"AM")</f>
        <v>AM</v>
      </c>
      <c r="L115" s="8" t="str">
        <f ca="1">IFERROR(__xludf.DUMMYFUNCTION("""COMPUTED_VALUE"""),"1st Grade")</f>
        <v>1st Grade</v>
      </c>
      <c r="M115" s="8" t="str">
        <f ca="1">IFERROR(__xludf.DUMMYFUNCTION("""COMPUTED_VALUE"""),"ELA")</f>
        <v>ELA</v>
      </c>
      <c r="N115" s="8">
        <f ca="1">IFERROR(__xludf.DUMMYFUNCTION("""COMPUTED_VALUE"""),5.5)</f>
        <v>5.5</v>
      </c>
      <c r="O115" s="8" t="str">
        <f ca="1">IFERROR(__xludf.DUMMYFUNCTION("""COMPUTED_VALUE"""),"Progressing")</f>
        <v>Progressing</v>
      </c>
      <c r="P115" s="8">
        <f ca="1">IFERROR(__xludf.DUMMYFUNCTION("""COMPUTED_VALUE"""),1)</f>
        <v>1</v>
      </c>
      <c r="Q115" s="8">
        <f ca="1">IFERROR(__xludf.DUMMYFUNCTION("""COMPUTED_VALUE"""),2)</f>
        <v>2</v>
      </c>
      <c r="R115" s="8">
        <f ca="1">IFERROR(__xludf.DUMMYFUNCTION("""COMPUTED_VALUE"""),1.5)</f>
        <v>1.5</v>
      </c>
      <c r="S115" s="8">
        <f ca="1">IFERROR(__xludf.DUMMYFUNCTION("""COMPUTED_VALUE"""),1)</f>
        <v>1</v>
      </c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</row>
    <row r="116" spans="1:31" ht="13.15" x14ac:dyDescent="0.4">
      <c r="A116" s="8"/>
      <c r="B116" s="8"/>
      <c r="C116" s="8"/>
      <c r="D116" s="8"/>
      <c r="E116" s="8" t="str">
        <f ca="1">IFERROR(__xludf.DUMMYFUNCTION("""COMPUTED_VALUE"""),"LAMAR")</f>
        <v>LAMAR</v>
      </c>
      <c r="F116" s="8" t="str">
        <f ca="1">IFERROR(__xludf.DUMMYFUNCTION("""COMPUTED_VALUE"""),"K-1")</f>
        <v>K-1</v>
      </c>
      <c r="G116" s="8" t="str">
        <f ca="1">IFERROR(__xludf.DUMMYFUNCTION("""COMPUTED_VALUE"""),"Ashley Anaya")</f>
        <v>Ashley Anaya</v>
      </c>
      <c r="H116" s="8" t="str">
        <f ca="1">IFERROR(__xludf.DUMMYFUNCTION("""COMPUTED_VALUE"""),"Shameka Johnson")</f>
        <v>Shameka Johnson</v>
      </c>
      <c r="I116" s="9">
        <f ca="1">IFERROR(__xludf.DUMMYFUNCTION("""COMPUTED_VALUE"""),45358)</f>
        <v>45358</v>
      </c>
      <c r="J116" s="9"/>
      <c r="K116" s="8" t="str">
        <f ca="1">IFERROR(__xludf.DUMMYFUNCTION("""COMPUTED_VALUE"""),"AM")</f>
        <v>AM</v>
      </c>
      <c r="L116" s="8" t="str">
        <f ca="1">IFERROR(__xludf.DUMMYFUNCTION("""COMPUTED_VALUE"""),"1st Grade")</f>
        <v>1st Grade</v>
      </c>
      <c r="M116" s="8" t="str">
        <f ca="1">IFERROR(__xludf.DUMMYFUNCTION("""COMPUTED_VALUE"""),"ELA")</f>
        <v>ELA</v>
      </c>
      <c r="N116" s="8">
        <f ca="1">IFERROR(__xludf.DUMMYFUNCTION("""COMPUTED_VALUE"""),6.5)</f>
        <v>6.5</v>
      </c>
      <c r="O116" s="8" t="str">
        <f ca="1">IFERROR(__xludf.DUMMYFUNCTION("""COMPUTED_VALUE"""),"Proficient I")</f>
        <v>Proficient I</v>
      </c>
      <c r="P116" s="8">
        <f ca="1">IFERROR(__xludf.DUMMYFUNCTION("""COMPUTED_VALUE"""),1)</f>
        <v>1</v>
      </c>
      <c r="Q116" s="8">
        <f ca="1">IFERROR(__xludf.DUMMYFUNCTION("""COMPUTED_VALUE"""),2)</f>
        <v>2</v>
      </c>
      <c r="R116" s="8">
        <f ca="1">IFERROR(__xludf.DUMMYFUNCTION("""COMPUTED_VALUE"""),2)</f>
        <v>2</v>
      </c>
      <c r="S116" s="8">
        <f ca="1">IFERROR(__xludf.DUMMYFUNCTION("""COMPUTED_VALUE"""),1.5)</f>
        <v>1.5</v>
      </c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</row>
    <row r="117" spans="1:31" ht="13.15" x14ac:dyDescent="0.4">
      <c r="A117" s="8"/>
      <c r="B117" s="8"/>
      <c r="C117" s="8"/>
      <c r="D117" s="8"/>
      <c r="E117" s="8" t="str">
        <f ca="1">IFERROR(__xludf.DUMMYFUNCTION("""COMPUTED_VALUE"""),"ECTOR")</f>
        <v>ECTOR</v>
      </c>
      <c r="F117" s="8" t="str">
        <f ca="1">IFERROR(__xludf.DUMMYFUNCTION("""COMPUTED_VALUE"""),"Electives")</f>
        <v>Electives</v>
      </c>
      <c r="G117" s="8" t="str">
        <f ca="1">IFERROR(__xludf.DUMMYFUNCTION("""COMPUTED_VALUE"""),"Kelli Greenwood")</f>
        <v>Kelli Greenwood</v>
      </c>
      <c r="H117" s="8" t="str">
        <f ca="1">IFERROR(__xludf.DUMMYFUNCTION("""COMPUTED_VALUE"""),"Jose Porras")</f>
        <v>Jose Porras</v>
      </c>
      <c r="I117" s="9">
        <f ca="1">IFERROR(__xludf.DUMMYFUNCTION("""COMPUTED_VALUE"""),45355)</f>
        <v>45355</v>
      </c>
      <c r="J117" s="9">
        <f ca="1">IFERROR(__xludf.DUMMYFUNCTION("""COMPUTED_VALUE"""),45355)</f>
        <v>45355</v>
      </c>
      <c r="K117" s="8" t="str">
        <f ca="1">IFERROR(__xludf.DUMMYFUNCTION("""COMPUTED_VALUE"""),"AM")</f>
        <v>AM</v>
      </c>
      <c r="L117" s="8" t="str">
        <f ca="1">IFERROR(__xludf.DUMMYFUNCTION("""COMPUTED_VALUE"""),"7th Grade")</f>
        <v>7th Grade</v>
      </c>
      <c r="M117" s="8" t="str">
        <f ca="1">IFERROR(__xludf.DUMMYFUNCTION("""COMPUTED_VALUE"""),"P.E.")</f>
        <v>P.E.</v>
      </c>
      <c r="N117" s="8">
        <f ca="1">IFERROR(__xludf.DUMMYFUNCTION("""COMPUTED_VALUE"""),9)</f>
        <v>9</v>
      </c>
      <c r="O117" s="8" t="str">
        <f ca="1">IFERROR(__xludf.DUMMYFUNCTION("""COMPUTED_VALUE"""),"Proficient II")</f>
        <v>Proficient II</v>
      </c>
      <c r="P117" s="8">
        <f ca="1">IFERROR(__xludf.DUMMYFUNCTION("""COMPUTED_VALUE"""),2)</f>
        <v>2</v>
      </c>
      <c r="Q117" s="8">
        <f ca="1">IFERROR(__xludf.DUMMYFUNCTION("""COMPUTED_VALUE"""),4.5)</f>
        <v>4.5</v>
      </c>
      <c r="R117" s="8">
        <f ca="1">IFERROR(__xludf.DUMMYFUNCTION("""COMPUTED_VALUE"""),2.5)</f>
        <v>2.5</v>
      </c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</row>
    <row r="118" spans="1:31" ht="13.15" x14ac:dyDescent="0.4">
      <c r="A118" s="8"/>
      <c r="B118" s="8"/>
      <c r="C118" s="8"/>
      <c r="D118" s="8"/>
      <c r="E118" s="8" t="str">
        <f ca="1">IFERROR(__xludf.DUMMYFUNCTION("""COMPUTED_VALUE"""),"ECTOR")</f>
        <v>ECTOR</v>
      </c>
      <c r="F118" s="8" t="str">
        <f ca="1">IFERROR(__xludf.DUMMYFUNCTION("""COMPUTED_VALUE"""),"Electives")</f>
        <v>Electives</v>
      </c>
      <c r="G118" s="8" t="str">
        <f ca="1">IFERROR(__xludf.DUMMYFUNCTION("""COMPUTED_VALUE"""),"Marcos Aguilar")</f>
        <v>Marcos Aguilar</v>
      </c>
      <c r="H118" s="8" t="str">
        <f ca="1">IFERROR(__xludf.DUMMYFUNCTION("""COMPUTED_VALUE"""),"Jose Porras")</f>
        <v>Jose Porras</v>
      </c>
      <c r="I118" s="9">
        <f ca="1">IFERROR(__xludf.DUMMYFUNCTION("""COMPUTED_VALUE"""),45355)</f>
        <v>45355</v>
      </c>
      <c r="J118" s="9">
        <f ca="1">IFERROR(__xludf.DUMMYFUNCTION("""COMPUTED_VALUE"""),45355)</f>
        <v>45355</v>
      </c>
      <c r="K118" s="8" t="str">
        <f ca="1">IFERROR(__xludf.DUMMYFUNCTION("""COMPUTED_VALUE"""),"AM")</f>
        <v>AM</v>
      </c>
      <c r="L118" s="8" t="str">
        <f ca="1">IFERROR(__xludf.DUMMYFUNCTION("""COMPUTED_VALUE"""),"7th Grade")</f>
        <v>7th Grade</v>
      </c>
      <c r="M118" s="8" t="str">
        <f ca="1">IFERROR(__xludf.DUMMYFUNCTION("""COMPUTED_VALUE"""),"P.E.")</f>
        <v>P.E.</v>
      </c>
      <c r="N118" s="8">
        <f ca="1">IFERROR(__xludf.DUMMYFUNCTION("""COMPUTED_VALUE"""),5.5)</f>
        <v>5.5</v>
      </c>
      <c r="O118" s="8" t="str">
        <f ca="1">IFERROR(__xludf.DUMMYFUNCTION("""COMPUTED_VALUE"""),"Progressing")</f>
        <v>Progressing</v>
      </c>
      <c r="P118" s="8">
        <f ca="1">IFERROR(__xludf.DUMMYFUNCTION("""COMPUTED_VALUE"""),2)</f>
        <v>2</v>
      </c>
      <c r="Q118" s="8">
        <f ca="1">IFERROR(__xludf.DUMMYFUNCTION("""COMPUTED_VALUE"""),3)</f>
        <v>3</v>
      </c>
      <c r="R118" s="8">
        <f ca="1">IFERROR(__xludf.DUMMYFUNCTION("""COMPUTED_VALUE"""),0.5)</f>
        <v>0.5</v>
      </c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</row>
    <row r="119" spans="1:31" ht="13.15" x14ac:dyDescent="0.4">
      <c r="A119" s="8"/>
      <c r="B119" s="8"/>
      <c r="C119" s="8"/>
      <c r="D119" s="8"/>
      <c r="E119" s="8" t="str">
        <f ca="1">IFERROR(__xludf.DUMMYFUNCTION("""COMPUTED_VALUE"""),"ECTOR")</f>
        <v>ECTOR</v>
      </c>
      <c r="F119" s="8" t="str">
        <f ca="1">IFERROR(__xludf.DUMMYFUNCTION("""COMPUTED_VALUE"""),"ELL/SPED")</f>
        <v>ELL/SPED</v>
      </c>
      <c r="G119" s="8" t="str">
        <f ca="1">IFERROR(__xludf.DUMMYFUNCTION("""COMPUTED_VALUE"""),"Sandra Navarrete")</f>
        <v>Sandra Navarrete</v>
      </c>
      <c r="H119" s="8" t="str">
        <f ca="1">IFERROR(__xludf.DUMMYFUNCTION("""COMPUTED_VALUE"""),"Jose Porras")</f>
        <v>Jose Porras</v>
      </c>
      <c r="I119" s="9">
        <f ca="1">IFERROR(__xludf.DUMMYFUNCTION("""COMPUTED_VALUE"""),45355)</f>
        <v>45355</v>
      </c>
      <c r="J119" s="9">
        <f ca="1">IFERROR(__xludf.DUMMYFUNCTION("""COMPUTED_VALUE"""),45355)</f>
        <v>45355</v>
      </c>
      <c r="K119" s="8" t="str">
        <f ca="1">IFERROR(__xludf.DUMMYFUNCTION("""COMPUTED_VALUE"""),"AM")</f>
        <v>AM</v>
      </c>
      <c r="L119" s="8" t="str">
        <f ca="1">IFERROR(__xludf.DUMMYFUNCTION("""COMPUTED_VALUE"""),"7th Grade")</f>
        <v>7th Grade</v>
      </c>
      <c r="M119" s="8"/>
      <c r="N119" s="8">
        <f ca="1">IFERROR(__xludf.DUMMYFUNCTION("""COMPUTED_VALUE"""),7)</f>
        <v>7</v>
      </c>
      <c r="O119" s="8" t="str">
        <f ca="1">IFERROR(__xludf.DUMMYFUNCTION("""COMPUTED_VALUE"""),"Proficient II")</f>
        <v>Proficient II</v>
      </c>
      <c r="P119" s="8">
        <f ca="1">IFERROR(__xludf.DUMMYFUNCTION("""COMPUTED_VALUE"""),0)</f>
        <v>0</v>
      </c>
      <c r="Q119" s="8">
        <f ca="1">IFERROR(__xludf.DUMMYFUNCTION("""COMPUTED_VALUE"""),4)</f>
        <v>4</v>
      </c>
      <c r="R119" s="8">
        <f ca="1">IFERROR(__xludf.DUMMYFUNCTION("""COMPUTED_VALUE"""),3)</f>
        <v>3</v>
      </c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</row>
    <row r="120" spans="1:31" ht="13.15" x14ac:dyDescent="0.4">
      <c r="A120" s="8"/>
      <c r="B120" s="8"/>
      <c r="C120" s="8"/>
      <c r="D120" s="8"/>
      <c r="E120" s="8" t="str">
        <f ca="1">IFERROR(__xludf.DUMMYFUNCTION("""COMPUTED_VALUE"""),"ECTOR")</f>
        <v>ECTOR</v>
      </c>
      <c r="F120" s="8" t="str">
        <f ca="1">IFERROR(__xludf.DUMMYFUNCTION("""COMPUTED_VALUE"""),"Reading Intervention")</f>
        <v>Reading Intervention</v>
      </c>
      <c r="G120" s="8" t="str">
        <f ca="1">IFERROR(__xludf.DUMMYFUNCTION("""COMPUTED_VALUE"""),"Barbara Hirst")</f>
        <v>Barbara Hirst</v>
      </c>
      <c r="H120" s="8" t="str">
        <f ca="1">IFERROR(__xludf.DUMMYFUNCTION("""COMPUTED_VALUE"""),"Jose Porras")</f>
        <v>Jose Porras</v>
      </c>
      <c r="I120" s="9">
        <f ca="1">IFERROR(__xludf.DUMMYFUNCTION("""COMPUTED_VALUE"""),45355)</f>
        <v>45355</v>
      </c>
      <c r="J120" s="9">
        <f ca="1">IFERROR(__xludf.DUMMYFUNCTION("""COMPUTED_VALUE"""),45357)</f>
        <v>45357</v>
      </c>
      <c r="K120" s="8" t="str">
        <f ca="1">IFERROR(__xludf.DUMMYFUNCTION("""COMPUTED_VALUE"""),"PM")</f>
        <v>PM</v>
      </c>
      <c r="L120" s="8" t="str">
        <f ca="1">IFERROR(__xludf.DUMMYFUNCTION("""COMPUTED_VALUE"""),"6th Grade")</f>
        <v>6th Grade</v>
      </c>
      <c r="M120" s="8"/>
      <c r="N120" s="8">
        <f ca="1">IFERROR(__xludf.DUMMYFUNCTION("""COMPUTED_VALUE"""),8)</f>
        <v>8</v>
      </c>
      <c r="O120" s="8" t="str">
        <f ca="1">IFERROR(__xludf.DUMMYFUNCTION("""COMPUTED_VALUE"""),"Proficient II")</f>
        <v>Proficient II</v>
      </c>
      <c r="P120" s="8">
        <f ca="1">IFERROR(__xludf.DUMMYFUNCTION("""COMPUTED_VALUE"""),2)</f>
        <v>2</v>
      </c>
      <c r="Q120" s="8">
        <f ca="1">IFERROR(__xludf.DUMMYFUNCTION("""COMPUTED_VALUE"""),4)</f>
        <v>4</v>
      </c>
      <c r="R120" s="8">
        <f ca="1">IFERROR(__xludf.DUMMYFUNCTION("""COMPUTED_VALUE"""),2)</f>
        <v>2</v>
      </c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</row>
    <row r="121" spans="1:31" ht="13.15" x14ac:dyDescent="0.4">
      <c r="A121" s="8"/>
      <c r="B121" s="8"/>
      <c r="C121" s="8"/>
      <c r="D121" s="8"/>
      <c r="E121" s="8" t="str">
        <f ca="1">IFERROR(__xludf.DUMMYFUNCTION("""COMPUTED_VALUE"""),"ECTOR")</f>
        <v>ECTOR</v>
      </c>
      <c r="F121" s="8" t="str">
        <f ca="1">IFERROR(__xludf.DUMMYFUNCTION("""COMPUTED_VALUE"""),"Reading Intervention")</f>
        <v>Reading Intervention</v>
      </c>
      <c r="G121" s="8" t="str">
        <f ca="1">IFERROR(__xludf.DUMMYFUNCTION("""COMPUTED_VALUE"""),"Linda Jackson")</f>
        <v>Linda Jackson</v>
      </c>
      <c r="H121" s="8" t="str">
        <f ca="1">IFERROR(__xludf.DUMMYFUNCTION("""COMPUTED_VALUE"""),"Jose Porras")</f>
        <v>Jose Porras</v>
      </c>
      <c r="I121" s="9">
        <f ca="1">IFERROR(__xludf.DUMMYFUNCTION("""COMPUTED_VALUE"""),45355)</f>
        <v>45355</v>
      </c>
      <c r="J121" s="9">
        <f ca="1">IFERROR(__xludf.DUMMYFUNCTION("""COMPUTED_VALUE"""),45355)</f>
        <v>45355</v>
      </c>
      <c r="K121" s="8" t="str">
        <f ca="1">IFERROR(__xludf.DUMMYFUNCTION("""COMPUTED_VALUE"""),"PM")</f>
        <v>PM</v>
      </c>
      <c r="L121" s="8" t="str">
        <f ca="1">IFERROR(__xludf.DUMMYFUNCTION("""COMPUTED_VALUE"""),"8th Grade")</f>
        <v>8th Grade</v>
      </c>
      <c r="M121" s="8"/>
      <c r="N121" s="8">
        <f ca="1">IFERROR(__xludf.DUMMYFUNCTION("""COMPUTED_VALUE"""),8)</f>
        <v>8</v>
      </c>
      <c r="O121" s="8" t="str">
        <f ca="1">IFERROR(__xludf.DUMMYFUNCTION("""COMPUTED_VALUE"""),"Proficient II")</f>
        <v>Proficient II</v>
      </c>
      <c r="P121" s="8">
        <f ca="1">IFERROR(__xludf.DUMMYFUNCTION("""COMPUTED_VALUE"""),2)</f>
        <v>2</v>
      </c>
      <c r="Q121" s="8">
        <f ca="1">IFERROR(__xludf.DUMMYFUNCTION("""COMPUTED_VALUE"""),3)</f>
        <v>3</v>
      </c>
      <c r="R121" s="8">
        <f ca="1">IFERROR(__xludf.DUMMYFUNCTION("""COMPUTED_VALUE"""),3)</f>
        <v>3</v>
      </c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</row>
    <row r="122" spans="1:31" ht="13.15" x14ac:dyDescent="0.4">
      <c r="A122" s="8"/>
      <c r="B122" s="8"/>
      <c r="C122" s="8"/>
      <c r="D122" s="8"/>
      <c r="E122" s="8" t="str">
        <f ca="1">IFERROR(__xludf.DUMMYFUNCTION("""COMPUTED_VALUE"""),"ECTOR")</f>
        <v>ECTOR</v>
      </c>
      <c r="F122" s="8" t="str">
        <f ca="1">IFERROR(__xludf.DUMMYFUNCTION("""COMPUTED_VALUE"""),"Core Subject With LSAE")</f>
        <v>Core Subject With LSAE</v>
      </c>
      <c r="G122" s="8" t="str">
        <f ca="1">IFERROR(__xludf.DUMMYFUNCTION("""COMPUTED_VALUE"""),"Jennifer Rodriguez")</f>
        <v>Jennifer Rodriguez</v>
      </c>
      <c r="H122" s="8" t="str">
        <f ca="1">IFERROR(__xludf.DUMMYFUNCTION("""COMPUTED_VALUE"""),"Jose Porras")</f>
        <v>Jose Porras</v>
      </c>
      <c r="I122" s="9">
        <f ca="1">IFERROR(__xludf.DUMMYFUNCTION("""COMPUTED_VALUE"""),45356)</f>
        <v>45356</v>
      </c>
      <c r="J122" s="9"/>
      <c r="K122" s="8" t="str">
        <f ca="1">IFERROR(__xludf.DUMMYFUNCTION("""COMPUTED_VALUE"""),"PM")</f>
        <v>PM</v>
      </c>
      <c r="L122" s="8" t="str">
        <f ca="1">IFERROR(__xludf.DUMMYFUNCTION("""COMPUTED_VALUE"""),"7th Grade")</f>
        <v>7th Grade</v>
      </c>
      <c r="M122" s="8" t="str">
        <f ca="1">IFERROR(__xludf.DUMMYFUNCTION("""COMPUTED_VALUE"""),"Math")</f>
        <v>Math</v>
      </c>
      <c r="N122" s="8">
        <f ca="1">IFERROR(__xludf.DUMMYFUNCTION("""COMPUTED_VALUE"""),7.5)</f>
        <v>7.5</v>
      </c>
      <c r="O122" s="8" t="str">
        <f ca="1">IFERROR(__xludf.DUMMYFUNCTION("""COMPUTED_VALUE"""),"Proficient I")</f>
        <v>Proficient I</v>
      </c>
      <c r="P122" s="8">
        <f ca="1">IFERROR(__xludf.DUMMYFUNCTION("""COMPUTED_VALUE"""),1)</f>
        <v>1</v>
      </c>
      <c r="Q122" s="8">
        <f ca="1">IFERROR(__xludf.DUMMYFUNCTION("""COMPUTED_VALUE"""),2.5)</f>
        <v>2.5</v>
      </c>
      <c r="R122" s="8">
        <f ca="1">IFERROR(__xludf.DUMMYFUNCTION("""COMPUTED_VALUE"""),3)</f>
        <v>3</v>
      </c>
      <c r="S122" s="8">
        <f ca="1">IFERROR(__xludf.DUMMYFUNCTION("""COMPUTED_VALUE"""),1)</f>
        <v>1</v>
      </c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</row>
    <row r="123" spans="1:31" ht="13.15" x14ac:dyDescent="0.4">
      <c r="A123" s="8"/>
      <c r="B123" s="8"/>
      <c r="C123" s="8"/>
      <c r="D123" s="8"/>
      <c r="E123" s="8" t="str">
        <f ca="1">IFERROR(__xludf.DUMMYFUNCTION("""COMPUTED_VALUE"""),"ECTOR")</f>
        <v>ECTOR</v>
      </c>
      <c r="F123" s="8" t="str">
        <f ca="1">IFERROR(__xludf.DUMMYFUNCTION("""COMPUTED_VALUE"""),"Core Subject With LSAE")</f>
        <v>Core Subject With LSAE</v>
      </c>
      <c r="G123" s="8" t="str">
        <f ca="1">IFERROR(__xludf.DUMMYFUNCTION("""COMPUTED_VALUE"""),"Jordyn Brozovich")</f>
        <v>Jordyn Brozovich</v>
      </c>
      <c r="H123" s="8" t="str">
        <f ca="1">IFERROR(__xludf.DUMMYFUNCTION("""COMPUTED_VALUE"""),"Jose Porras")</f>
        <v>Jose Porras</v>
      </c>
      <c r="I123" s="9">
        <f ca="1">IFERROR(__xludf.DUMMYFUNCTION("""COMPUTED_VALUE"""),45356)</f>
        <v>45356</v>
      </c>
      <c r="J123" s="9">
        <f ca="1">IFERROR(__xludf.DUMMYFUNCTION("""COMPUTED_VALUE"""),45357)</f>
        <v>45357</v>
      </c>
      <c r="K123" s="8" t="str">
        <f ca="1">IFERROR(__xludf.DUMMYFUNCTION("""COMPUTED_VALUE"""),"PM")</f>
        <v>PM</v>
      </c>
      <c r="L123" s="8" t="str">
        <f ca="1">IFERROR(__xludf.DUMMYFUNCTION("""COMPUTED_VALUE"""),"7th Grade")</f>
        <v>7th Grade</v>
      </c>
      <c r="M123" s="8" t="str">
        <f ca="1">IFERROR(__xludf.DUMMYFUNCTION("""COMPUTED_VALUE"""),"Social Studies")</f>
        <v>Social Studies</v>
      </c>
      <c r="N123" s="8">
        <f ca="1">IFERROR(__xludf.DUMMYFUNCTION("""COMPUTED_VALUE"""),7.5)</f>
        <v>7.5</v>
      </c>
      <c r="O123" s="8" t="str">
        <f ca="1">IFERROR(__xludf.DUMMYFUNCTION("""COMPUTED_VALUE"""),"Proficient I")</f>
        <v>Proficient I</v>
      </c>
      <c r="P123" s="8">
        <f ca="1">IFERROR(__xludf.DUMMYFUNCTION("""COMPUTED_VALUE"""),1)</f>
        <v>1</v>
      </c>
      <c r="Q123" s="8">
        <f ca="1">IFERROR(__xludf.DUMMYFUNCTION("""COMPUTED_VALUE"""),2)</f>
        <v>2</v>
      </c>
      <c r="R123" s="8">
        <f ca="1">IFERROR(__xludf.DUMMYFUNCTION("""COMPUTED_VALUE"""),3)</f>
        <v>3</v>
      </c>
      <c r="S123" s="8">
        <f ca="1">IFERROR(__xludf.DUMMYFUNCTION("""COMPUTED_VALUE"""),1.5)</f>
        <v>1.5</v>
      </c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</row>
    <row r="124" spans="1:31" ht="13.15" x14ac:dyDescent="0.4">
      <c r="A124" s="8"/>
      <c r="B124" s="8"/>
      <c r="C124" s="8"/>
      <c r="D124" s="8"/>
      <c r="E124" s="8" t="str">
        <f ca="1">IFERROR(__xludf.DUMMYFUNCTION("""COMPUTED_VALUE"""),"ECTOR")</f>
        <v>ECTOR</v>
      </c>
      <c r="F124" s="8" t="str">
        <f ca="1">IFERROR(__xludf.DUMMYFUNCTION("""COMPUTED_VALUE"""),"Electives")</f>
        <v>Electives</v>
      </c>
      <c r="G124" s="8" t="str">
        <f ca="1">IFERROR(__xludf.DUMMYFUNCTION("""COMPUTED_VALUE"""),"Silquanette Johnson")</f>
        <v>Silquanette Johnson</v>
      </c>
      <c r="H124" s="8" t="str">
        <f ca="1">IFERROR(__xludf.DUMMYFUNCTION("""COMPUTED_VALUE"""),"Jose Porras")</f>
        <v>Jose Porras</v>
      </c>
      <c r="I124" s="9">
        <f ca="1">IFERROR(__xludf.DUMMYFUNCTION("""COMPUTED_VALUE"""),45357)</f>
        <v>45357</v>
      </c>
      <c r="J124" s="9">
        <f ca="1">IFERROR(__xludf.DUMMYFUNCTION("""COMPUTED_VALUE"""),45358)</f>
        <v>45358</v>
      </c>
      <c r="K124" s="8" t="str">
        <f ca="1">IFERROR(__xludf.DUMMYFUNCTION("""COMPUTED_VALUE"""),"PM")</f>
        <v>PM</v>
      </c>
      <c r="L124" s="8" t="str">
        <f ca="1">IFERROR(__xludf.DUMMYFUNCTION("""COMPUTED_VALUE"""),"6th Grade")</f>
        <v>6th Grade</v>
      </c>
      <c r="M124" s="8" t="str">
        <f ca="1">IFERROR(__xludf.DUMMYFUNCTION("""COMPUTED_VALUE"""),"Music")</f>
        <v>Music</v>
      </c>
      <c r="N124" s="8">
        <f ca="1">IFERROR(__xludf.DUMMYFUNCTION("""COMPUTED_VALUE"""),7.5)</f>
        <v>7.5</v>
      </c>
      <c r="O124" s="8" t="str">
        <f ca="1">IFERROR(__xludf.DUMMYFUNCTION("""COMPUTED_VALUE"""),"Proficient I")</f>
        <v>Proficient I</v>
      </c>
      <c r="P124" s="8">
        <f ca="1">IFERROR(__xludf.DUMMYFUNCTION("""COMPUTED_VALUE"""),1)</f>
        <v>1</v>
      </c>
      <c r="Q124" s="8">
        <f ca="1">IFERROR(__xludf.DUMMYFUNCTION("""COMPUTED_VALUE"""),3.5)</f>
        <v>3.5</v>
      </c>
      <c r="R124" s="8">
        <f ca="1">IFERROR(__xludf.DUMMYFUNCTION("""COMPUTED_VALUE"""),3)</f>
        <v>3</v>
      </c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</row>
    <row r="125" spans="1:31" ht="13.15" x14ac:dyDescent="0.4">
      <c r="A125" s="8"/>
      <c r="B125" s="8"/>
      <c r="C125" s="8"/>
      <c r="D125" s="8"/>
      <c r="E125" s="8" t="str">
        <f ca="1">IFERROR(__xludf.DUMMYFUNCTION("""COMPUTED_VALUE"""),"ECTOR")</f>
        <v>ECTOR</v>
      </c>
      <c r="F125" s="8" t="str">
        <f ca="1">IFERROR(__xludf.DUMMYFUNCTION("""COMPUTED_VALUE"""),"Teacher Apprentice")</f>
        <v>Teacher Apprentice</v>
      </c>
      <c r="G125" s="8" t="str">
        <f ca="1">IFERROR(__xludf.DUMMYFUNCTION("""COMPUTED_VALUE"""),"Chassity Baumstimler")</f>
        <v>Chassity Baumstimler</v>
      </c>
      <c r="H125" s="8" t="str">
        <f ca="1">IFERROR(__xludf.DUMMYFUNCTION("""COMPUTED_VALUE"""),"Jose Porras")</f>
        <v>Jose Porras</v>
      </c>
      <c r="I125" s="9">
        <f ca="1">IFERROR(__xludf.DUMMYFUNCTION("""COMPUTED_VALUE"""),45357)</f>
        <v>45357</v>
      </c>
      <c r="J125" s="9"/>
      <c r="K125" s="8" t="str">
        <f ca="1">IFERROR(__xludf.DUMMYFUNCTION("""COMPUTED_VALUE"""),"AM")</f>
        <v>AM</v>
      </c>
      <c r="L125" s="8" t="str">
        <f ca="1">IFERROR(__xludf.DUMMYFUNCTION("""COMPUTED_VALUE"""),"7th Grade")</f>
        <v>7th Grade</v>
      </c>
      <c r="M125" s="8" t="str">
        <f ca="1">IFERROR(__xludf.DUMMYFUNCTION("""COMPUTED_VALUE"""),"Math")</f>
        <v>Math</v>
      </c>
      <c r="N125" s="8">
        <f ca="1">IFERROR(__xludf.DUMMYFUNCTION("""COMPUTED_VALUE"""),7)</f>
        <v>7</v>
      </c>
      <c r="O125" s="8" t="str">
        <f ca="1">IFERROR(__xludf.DUMMYFUNCTION("""COMPUTED_VALUE"""),"Proficient I")</f>
        <v>Proficient I</v>
      </c>
      <c r="P125" s="8">
        <f ca="1">IFERROR(__xludf.DUMMYFUNCTION("""COMPUTED_VALUE"""),1)</f>
        <v>1</v>
      </c>
      <c r="Q125" s="8">
        <f ca="1">IFERROR(__xludf.DUMMYFUNCTION("""COMPUTED_VALUE"""),2)</f>
        <v>2</v>
      </c>
      <c r="R125" s="8">
        <f ca="1">IFERROR(__xludf.DUMMYFUNCTION("""COMPUTED_VALUE"""),2)</f>
        <v>2</v>
      </c>
      <c r="S125" s="8">
        <f ca="1">IFERROR(__xludf.DUMMYFUNCTION("""COMPUTED_VALUE"""),2)</f>
        <v>2</v>
      </c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</row>
    <row r="126" spans="1:31" ht="13.15" x14ac:dyDescent="0.4">
      <c r="A126" s="8"/>
      <c r="B126" s="8"/>
      <c r="C126" s="8"/>
      <c r="D126" s="8"/>
      <c r="E126" s="8" t="str">
        <f ca="1">IFERROR(__xludf.DUMMYFUNCTION("""COMPUTED_VALUE"""),"ECTOR")</f>
        <v>ECTOR</v>
      </c>
      <c r="F126" s="8" t="str">
        <f ca="1">IFERROR(__xludf.DUMMYFUNCTION("""COMPUTED_VALUE"""),"Learning Coach")</f>
        <v>Learning Coach</v>
      </c>
      <c r="G126" s="8" t="str">
        <f ca="1">IFERROR(__xludf.DUMMYFUNCTION("""COMPUTED_VALUE"""),"Leticia Flores")</f>
        <v>Leticia Flores</v>
      </c>
      <c r="H126" s="8" t="str">
        <f ca="1">IFERROR(__xludf.DUMMYFUNCTION("""COMPUTED_VALUE"""),"Jose Porras")</f>
        <v>Jose Porras</v>
      </c>
      <c r="I126" s="9">
        <f ca="1">IFERROR(__xludf.DUMMYFUNCTION("""COMPUTED_VALUE"""),45358)</f>
        <v>45358</v>
      </c>
      <c r="J126" s="9"/>
      <c r="K126" s="8" t="str">
        <f ca="1">IFERROR(__xludf.DUMMYFUNCTION("""COMPUTED_VALUE"""),"AM")</f>
        <v>AM</v>
      </c>
      <c r="L126" s="8"/>
      <c r="M126" s="8"/>
      <c r="N126" s="8">
        <f ca="1">IFERROR(__xludf.DUMMYFUNCTION("""COMPUTED_VALUE"""),8.5)</f>
        <v>8.5</v>
      </c>
      <c r="O126" s="8" t="str">
        <f ca="1">IFERROR(__xludf.DUMMYFUNCTION("""COMPUTED_VALUE"""),"Proficient II")</f>
        <v>Proficient II</v>
      </c>
      <c r="P126" s="8">
        <f ca="1">IFERROR(__xludf.DUMMYFUNCTION("""COMPUTED_VALUE"""),1.5)</f>
        <v>1.5</v>
      </c>
      <c r="Q126" s="8">
        <f ca="1">IFERROR(__xludf.DUMMYFUNCTION("""COMPUTED_VALUE"""),4)</f>
        <v>4</v>
      </c>
      <c r="R126" s="8">
        <f ca="1">IFERROR(__xludf.DUMMYFUNCTION("""COMPUTED_VALUE"""),3)</f>
        <v>3</v>
      </c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</row>
    <row r="127" spans="1:31" ht="13.15" x14ac:dyDescent="0.4">
      <c r="A127" s="8"/>
      <c r="B127" s="8"/>
      <c r="C127" s="8"/>
      <c r="D127" s="8"/>
      <c r="E127" s="8" t="str">
        <f ca="1">IFERROR(__xludf.DUMMYFUNCTION("""COMPUTED_VALUE"""),"ECTOR")</f>
        <v>ECTOR</v>
      </c>
      <c r="F127" s="8" t="str">
        <f ca="1">IFERROR(__xludf.DUMMYFUNCTION("""COMPUTED_VALUE"""),"Core Subject With LSAE")</f>
        <v>Core Subject With LSAE</v>
      </c>
      <c r="G127" s="8" t="str">
        <f ca="1">IFERROR(__xludf.DUMMYFUNCTION("""COMPUTED_VALUE"""),"Gabriela Orona")</f>
        <v>Gabriela Orona</v>
      </c>
      <c r="H127" s="8" t="str">
        <f ca="1">IFERROR(__xludf.DUMMYFUNCTION("""COMPUTED_VALUE"""),"JOSE VALLES JR.")</f>
        <v>JOSE VALLES JR.</v>
      </c>
      <c r="I127" s="9">
        <f ca="1">IFERROR(__xludf.DUMMYFUNCTION("""COMPUTED_VALUE"""),45355)</f>
        <v>45355</v>
      </c>
      <c r="J127" s="9">
        <f ca="1">IFERROR(__xludf.DUMMYFUNCTION("""COMPUTED_VALUE"""),45356)</f>
        <v>45356</v>
      </c>
      <c r="K127" s="8" t="str">
        <f ca="1">IFERROR(__xludf.DUMMYFUNCTION("""COMPUTED_VALUE"""),"PM")</f>
        <v>PM</v>
      </c>
      <c r="L127" s="8" t="str">
        <f ca="1">IFERROR(__xludf.DUMMYFUNCTION("""COMPUTED_VALUE"""),"6th Grade")</f>
        <v>6th Grade</v>
      </c>
      <c r="M127" s="8" t="str">
        <f ca="1">IFERROR(__xludf.DUMMYFUNCTION("""COMPUTED_VALUE"""),"ELA")</f>
        <v>ELA</v>
      </c>
      <c r="N127" s="8">
        <f ca="1">IFERROR(__xludf.DUMMYFUNCTION("""COMPUTED_VALUE"""),8.5)</f>
        <v>8.5</v>
      </c>
      <c r="O127" s="8" t="str">
        <f ca="1">IFERROR(__xludf.DUMMYFUNCTION("""COMPUTED_VALUE"""),"Proficient II")</f>
        <v>Proficient II</v>
      </c>
      <c r="P127" s="8">
        <f ca="1">IFERROR(__xludf.DUMMYFUNCTION("""COMPUTED_VALUE"""),1)</f>
        <v>1</v>
      </c>
      <c r="Q127" s="8">
        <f ca="1">IFERROR(__xludf.DUMMYFUNCTION("""COMPUTED_VALUE"""),2)</f>
        <v>2</v>
      </c>
      <c r="R127" s="8">
        <f ca="1">IFERROR(__xludf.DUMMYFUNCTION("""COMPUTED_VALUE"""),3.5)</f>
        <v>3.5</v>
      </c>
      <c r="S127" s="8">
        <f ca="1">IFERROR(__xludf.DUMMYFUNCTION("""COMPUTED_VALUE"""),2)</f>
        <v>2</v>
      </c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</row>
    <row r="128" spans="1:31" ht="13.15" x14ac:dyDescent="0.4">
      <c r="A128" s="8"/>
      <c r="B128" s="8"/>
      <c r="C128" s="8"/>
      <c r="D128" s="8"/>
      <c r="E128" s="8" t="str">
        <f ca="1">IFERROR(__xludf.DUMMYFUNCTION("""COMPUTED_VALUE"""),"ECTOR")</f>
        <v>ECTOR</v>
      </c>
      <c r="F128" s="8" t="str">
        <f ca="1">IFERROR(__xludf.DUMMYFUNCTION("""COMPUTED_VALUE"""),"Core Subject With LSAE")</f>
        <v>Core Subject With LSAE</v>
      </c>
      <c r="G128" s="8" t="str">
        <f ca="1">IFERROR(__xludf.DUMMYFUNCTION("""COMPUTED_VALUE"""),"Cinda Brown")</f>
        <v>Cinda Brown</v>
      </c>
      <c r="H128" s="8" t="str">
        <f ca="1">IFERROR(__xludf.DUMMYFUNCTION("""COMPUTED_VALUE"""),"JOSE VALLES JR.")</f>
        <v>JOSE VALLES JR.</v>
      </c>
      <c r="I128" s="9">
        <f ca="1">IFERROR(__xludf.DUMMYFUNCTION("""COMPUTED_VALUE"""),45355)</f>
        <v>45355</v>
      </c>
      <c r="J128" s="9">
        <f ca="1">IFERROR(__xludf.DUMMYFUNCTION("""COMPUTED_VALUE"""),45356)</f>
        <v>45356</v>
      </c>
      <c r="K128" s="8" t="str">
        <f ca="1">IFERROR(__xludf.DUMMYFUNCTION("""COMPUTED_VALUE"""),"AM")</f>
        <v>AM</v>
      </c>
      <c r="L128" s="8" t="str">
        <f ca="1">IFERROR(__xludf.DUMMYFUNCTION("""COMPUTED_VALUE"""),"6th Grade")</f>
        <v>6th Grade</v>
      </c>
      <c r="M128" s="8" t="str">
        <f ca="1">IFERROR(__xludf.DUMMYFUNCTION("""COMPUTED_VALUE"""),"Math")</f>
        <v>Math</v>
      </c>
      <c r="N128" s="8">
        <f ca="1">IFERROR(__xludf.DUMMYFUNCTION("""COMPUTED_VALUE"""),7)</f>
        <v>7</v>
      </c>
      <c r="O128" s="8" t="str">
        <f ca="1">IFERROR(__xludf.DUMMYFUNCTION("""COMPUTED_VALUE"""),"Proficient I")</f>
        <v>Proficient I</v>
      </c>
      <c r="P128" s="8">
        <f ca="1">IFERROR(__xludf.DUMMYFUNCTION("""COMPUTED_VALUE"""),1)</f>
        <v>1</v>
      </c>
      <c r="Q128" s="8">
        <f ca="1">IFERROR(__xludf.DUMMYFUNCTION("""COMPUTED_VALUE"""),2.5)</f>
        <v>2.5</v>
      </c>
      <c r="R128" s="8">
        <f ca="1">IFERROR(__xludf.DUMMYFUNCTION("""COMPUTED_VALUE"""),3)</f>
        <v>3</v>
      </c>
      <c r="S128" s="8">
        <f ca="1">IFERROR(__xludf.DUMMYFUNCTION("""COMPUTED_VALUE"""),0.5)</f>
        <v>0.5</v>
      </c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</row>
    <row r="129" spans="1:31" ht="14.25" x14ac:dyDescent="0.45">
      <c r="A129" s="8"/>
      <c r="B129" s="8"/>
      <c r="C129" s="8"/>
      <c r="D129" s="8"/>
      <c r="E129" s="8" t="str">
        <f ca="1">IFERROR(__xludf.DUMMYFUNCTION("""COMPUTED_VALUE"""),"ECTOR")</f>
        <v>ECTOR</v>
      </c>
      <c r="F129" s="8" t="str">
        <f ca="1">IFERROR(__xludf.DUMMYFUNCTION("""COMPUTED_VALUE"""),"Learning Coach")</f>
        <v>Learning Coach</v>
      </c>
      <c r="G129" s="8" t="str">
        <f ca="1">IFERROR(__xludf.DUMMYFUNCTION("""COMPUTED_VALUE"""),"Charlesetta Prann")</f>
        <v>Charlesetta Prann</v>
      </c>
      <c r="H129" s="8" t="str">
        <f ca="1">IFERROR(__xludf.DUMMYFUNCTION("""COMPUTED_VALUE"""),"JOSE VALLES JR.")</f>
        <v>JOSE VALLES JR.</v>
      </c>
      <c r="I129" s="9">
        <f ca="1">IFERROR(__xludf.DUMMYFUNCTION("""COMPUTED_VALUE"""),45355)</f>
        <v>45355</v>
      </c>
      <c r="J129" s="9">
        <f ca="1">IFERROR(__xludf.DUMMYFUNCTION("""COMPUTED_VALUE"""),45357)</f>
        <v>45357</v>
      </c>
      <c r="K129" s="8" t="str">
        <f ca="1">IFERROR(__xludf.DUMMYFUNCTION("""COMPUTED_VALUE"""),"PM")</f>
        <v>PM</v>
      </c>
      <c r="L129" s="8"/>
      <c r="M129" s="8"/>
      <c r="N129" s="13">
        <f ca="1">IFERROR(__xludf.DUMMYFUNCTION("""COMPUTED_VALUE"""),9)</f>
        <v>9</v>
      </c>
      <c r="O129" s="8" t="str">
        <f ca="1">IFERROR(__xludf.DUMMYFUNCTION("""COMPUTED_VALUE"""),"Proficient II")</f>
        <v>Proficient II</v>
      </c>
      <c r="P129" s="8">
        <f ca="1">IFERROR(__xludf.DUMMYFUNCTION("""COMPUTED_VALUE"""),2)</f>
        <v>2</v>
      </c>
      <c r="Q129" s="8">
        <f ca="1">IFERROR(__xludf.DUMMYFUNCTION("""COMPUTED_VALUE"""),4)</f>
        <v>4</v>
      </c>
      <c r="R129" s="8">
        <f ca="1">IFERROR(__xludf.DUMMYFUNCTION("""COMPUTED_VALUE"""),3)</f>
        <v>3</v>
      </c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</row>
    <row r="130" spans="1:31" ht="13.15" x14ac:dyDescent="0.4">
      <c r="A130" s="8"/>
      <c r="B130" s="8"/>
      <c r="C130" s="8"/>
      <c r="D130" s="8"/>
      <c r="E130" s="8" t="str">
        <f ca="1">IFERROR(__xludf.DUMMYFUNCTION("""COMPUTED_VALUE"""),"ECTOR")</f>
        <v>ECTOR</v>
      </c>
      <c r="F130" s="8" t="str">
        <f ca="1">IFERROR(__xludf.DUMMYFUNCTION("""COMPUTED_VALUE"""),"Teacher Apprentice")</f>
        <v>Teacher Apprentice</v>
      </c>
      <c r="G130" s="8" t="str">
        <f ca="1">IFERROR(__xludf.DUMMYFUNCTION("""COMPUTED_VALUE"""),"Caroline Cerda")</f>
        <v>Caroline Cerda</v>
      </c>
      <c r="H130" s="8" t="str">
        <f ca="1">IFERROR(__xludf.DUMMYFUNCTION("""COMPUTED_VALUE"""),"JOSE VALLES JR.")</f>
        <v>JOSE VALLES JR.</v>
      </c>
      <c r="I130" s="9">
        <f ca="1">IFERROR(__xludf.DUMMYFUNCTION("""COMPUTED_VALUE"""),45355)</f>
        <v>45355</v>
      </c>
      <c r="J130" s="9">
        <f ca="1">IFERROR(__xludf.DUMMYFUNCTION("""COMPUTED_VALUE"""),45356)</f>
        <v>45356</v>
      </c>
      <c r="K130" s="8" t="str">
        <f ca="1">IFERROR(__xludf.DUMMYFUNCTION("""COMPUTED_VALUE"""),"AM")</f>
        <v>AM</v>
      </c>
      <c r="L130" s="8" t="str">
        <f ca="1">IFERROR(__xludf.DUMMYFUNCTION("""COMPUTED_VALUE"""),"6th Grade")</f>
        <v>6th Grade</v>
      </c>
      <c r="M130" s="8" t="str">
        <f ca="1">IFERROR(__xludf.DUMMYFUNCTION("""COMPUTED_VALUE"""),"Math")</f>
        <v>Math</v>
      </c>
      <c r="N130" s="8">
        <f ca="1">IFERROR(__xludf.DUMMYFUNCTION("""COMPUTED_VALUE"""),7)</f>
        <v>7</v>
      </c>
      <c r="O130" s="8" t="str">
        <f ca="1">IFERROR(__xludf.DUMMYFUNCTION("""COMPUTED_VALUE"""),"Proficient I")</f>
        <v>Proficient I</v>
      </c>
      <c r="P130" s="8">
        <f ca="1">IFERROR(__xludf.DUMMYFUNCTION("""COMPUTED_VALUE"""),1)</f>
        <v>1</v>
      </c>
      <c r="Q130" s="8">
        <f ca="1">IFERROR(__xludf.DUMMYFUNCTION("""COMPUTED_VALUE"""),2)</f>
        <v>2</v>
      </c>
      <c r="R130" s="8">
        <f ca="1">IFERROR(__xludf.DUMMYFUNCTION("""COMPUTED_VALUE"""),3)</f>
        <v>3</v>
      </c>
      <c r="S130" s="8">
        <f ca="1">IFERROR(__xludf.DUMMYFUNCTION("""COMPUTED_VALUE"""),1)</f>
        <v>1</v>
      </c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</row>
    <row r="131" spans="1:31" ht="13.15" x14ac:dyDescent="0.4">
      <c r="A131" s="8"/>
      <c r="B131" s="8"/>
      <c r="C131" s="8"/>
      <c r="D131" s="8"/>
      <c r="E131" s="8" t="str">
        <f ca="1">IFERROR(__xludf.DUMMYFUNCTION("""COMPUTED_VALUE"""),"ECTOR")</f>
        <v>ECTOR</v>
      </c>
      <c r="F131" s="8" t="str">
        <f ca="1">IFERROR(__xludf.DUMMYFUNCTION("""COMPUTED_VALUE"""),"Core Subject With LSAE")</f>
        <v>Core Subject With LSAE</v>
      </c>
      <c r="G131" s="8" t="str">
        <f ca="1">IFERROR(__xludf.DUMMYFUNCTION("""COMPUTED_VALUE"""),"Alyssa Teijeiro-Ficht")</f>
        <v>Alyssa Teijeiro-Ficht</v>
      </c>
      <c r="H131" s="8" t="str">
        <f ca="1">IFERROR(__xludf.DUMMYFUNCTION("""COMPUTED_VALUE"""),"JOSE VALLES JR.")</f>
        <v>JOSE VALLES JR.</v>
      </c>
      <c r="I131" s="9">
        <f ca="1">IFERROR(__xludf.DUMMYFUNCTION("""COMPUTED_VALUE"""),45356)</f>
        <v>45356</v>
      </c>
      <c r="J131" s="9"/>
      <c r="K131" s="8" t="str">
        <f ca="1">IFERROR(__xludf.DUMMYFUNCTION("""COMPUTED_VALUE"""),"AM")</f>
        <v>AM</v>
      </c>
      <c r="L131" s="8" t="str">
        <f ca="1">IFERROR(__xludf.DUMMYFUNCTION("""COMPUTED_VALUE"""),"6th Grade")</f>
        <v>6th Grade</v>
      </c>
      <c r="M131" s="8" t="str">
        <f ca="1">IFERROR(__xludf.DUMMYFUNCTION("""COMPUTED_VALUE"""),"ELA")</f>
        <v>ELA</v>
      </c>
      <c r="N131" s="8">
        <f ca="1">IFERROR(__xludf.DUMMYFUNCTION("""COMPUTED_VALUE"""),8)</f>
        <v>8</v>
      </c>
      <c r="O131" s="8" t="str">
        <f ca="1">IFERROR(__xludf.DUMMYFUNCTION("""COMPUTED_VALUE"""),"Proficient II")</f>
        <v>Proficient II</v>
      </c>
      <c r="P131" s="8">
        <f ca="1">IFERROR(__xludf.DUMMYFUNCTION("""COMPUTED_VALUE"""),1)</f>
        <v>1</v>
      </c>
      <c r="Q131" s="8">
        <f ca="1">IFERROR(__xludf.DUMMYFUNCTION("""COMPUTED_VALUE"""),2)</f>
        <v>2</v>
      </c>
      <c r="R131" s="8">
        <f ca="1">IFERROR(__xludf.DUMMYFUNCTION("""COMPUTED_VALUE"""),3)</f>
        <v>3</v>
      </c>
      <c r="S131" s="8">
        <f ca="1">IFERROR(__xludf.DUMMYFUNCTION("""COMPUTED_VALUE"""),2)</f>
        <v>2</v>
      </c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</row>
    <row r="132" spans="1:31" ht="13.15" x14ac:dyDescent="0.4">
      <c r="A132" s="8"/>
      <c r="B132" s="8"/>
      <c r="C132" s="8"/>
      <c r="D132" s="8"/>
      <c r="E132" s="8" t="str">
        <f ca="1">IFERROR(__xludf.DUMMYFUNCTION("""COMPUTED_VALUE"""),"ECTOR")</f>
        <v>ECTOR</v>
      </c>
      <c r="F132" s="8" t="str">
        <f ca="1">IFERROR(__xludf.DUMMYFUNCTION("""COMPUTED_VALUE"""),"Core Subject With LSAE")</f>
        <v>Core Subject With LSAE</v>
      </c>
      <c r="G132" s="8" t="str">
        <f ca="1">IFERROR(__xludf.DUMMYFUNCTION("""COMPUTED_VALUE"""),"Angel Matta")</f>
        <v>Angel Matta</v>
      </c>
      <c r="H132" s="8" t="str">
        <f ca="1">IFERROR(__xludf.DUMMYFUNCTION("""COMPUTED_VALUE"""),"JOSE VALLES JR.")</f>
        <v>JOSE VALLES JR.</v>
      </c>
      <c r="I132" s="9">
        <f ca="1">IFERROR(__xludf.DUMMYFUNCTION("""COMPUTED_VALUE"""),45356)</f>
        <v>45356</v>
      </c>
      <c r="J132" s="9">
        <f ca="1">IFERROR(__xludf.DUMMYFUNCTION("""COMPUTED_VALUE"""),45356)</f>
        <v>45356</v>
      </c>
      <c r="K132" s="8" t="str">
        <f ca="1">IFERROR(__xludf.DUMMYFUNCTION("""COMPUTED_VALUE"""),"AM")</f>
        <v>AM</v>
      </c>
      <c r="L132" s="8" t="str">
        <f ca="1">IFERROR(__xludf.DUMMYFUNCTION("""COMPUTED_VALUE"""),"6th Grade")</f>
        <v>6th Grade</v>
      </c>
      <c r="M132" s="8" t="str">
        <f ca="1">IFERROR(__xludf.DUMMYFUNCTION("""COMPUTED_VALUE"""),"Science")</f>
        <v>Science</v>
      </c>
      <c r="N132" s="8">
        <f ca="1">IFERROR(__xludf.DUMMYFUNCTION("""COMPUTED_VALUE"""),7)</f>
        <v>7</v>
      </c>
      <c r="O132" s="8" t="str">
        <f ca="1">IFERROR(__xludf.DUMMYFUNCTION("""COMPUTED_VALUE"""),"Proficient I")</f>
        <v>Proficient I</v>
      </c>
      <c r="P132" s="8">
        <f ca="1">IFERROR(__xludf.DUMMYFUNCTION("""COMPUTED_VALUE"""),1)</f>
        <v>1</v>
      </c>
      <c r="Q132" s="8">
        <f ca="1">IFERROR(__xludf.DUMMYFUNCTION("""COMPUTED_VALUE"""),2)</f>
        <v>2</v>
      </c>
      <c r="R132" s="8">
        <f ca="1">IFERROR(__xludf.DUMMYFUNCTION("""COMPUTED_VALUE"""),2.5)</f>
        <v>2.5</v>
      </c>
      <c r="S132" s="8">
        <f ca="1">IFERROR(__xludf.DUMMYFUNCTION("""COMPUTED_VALUE"""),1.5)</f>
        <v>1.5</v>
      </c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</row>
    <row r="133" spans="1:31" ht="13.15" x14ac:dyDescent="0.4">
      <c r="A133" s="8"/>
      <c r="B133" s="8"/>
      <c r="C133" s="8"/>
      <c r="D133" s="8"/>
      <c r="E133" s="8" t="str">
        <f ca="1">IFERROR(__xludf.DUMMYFUNCTION("""COMPUTED_VALUE"""),"ECTOR")</f>
        <v>ECTOR</v>
      </c>
      <c r="F133" s="8" t="str">
        <f ca="1">IFERROR(__xludf.DUMMYFUNCTION("""COMPUTED_VALUE"""),"Core Subject With LSAE")</f>
        <v>Core Subject With LSAE</v>
      </c>
      <c r="G133" s="8" t="str">
        <f ca="1">IFERROR(__xludf.DUMMYFUNCTION("""COMPUTED_VALUE"""),"Tiffany Woodard")</f>
        <v>Tiffany Woodard</v>
      </c>
      <c r="H133" s="8" t="str">
        <f ca="1">IFERROR(__xludf.DUMMYFUNCTION("""COMPUTED_VALUE"""),"JOSE VALLES JR.")</f>
        <v>JOSE VALLES JR.</v>
      </c>
      <c r="I133" s="9">
        <f ca="1">IFERROR(__xludf.DUMMYFUNCTION("""COMPUTED_VALUE"""),45356)</f>
        <v>45356</v>
      </c>
      <c r="J133" s="9">
        <f ca="1">IFERROR(__xludf.DUMMYFUNCTION("""COMPUTED_VALUE"""),45358)</f>
        <v>45358</v>
      </c>
      <c r="K133" s="8" t="str">
        <f ca="1">IFERROR(__xludf.DUMMYFUNCTION("""COMPUTED_VALUE"""),"PM")</f>
        <v>PM</v>
      </c>
      <c r="L133" s="8" t="str">
        <f ca="1">IFERROR(__xludf.DUMMYFUNCTION("""COMPUTED_VALUE"""),"6th Grade")</f>
        <v>6th Grade</v>
      </c>
      <c r="M133" s="8" t="str">
        <f ca="1">IFERROR(__xludf.DUMMYFUNCTION("""COMPUTED_VALUE"""),"Science")</f>
        <v>Science</v>
      </c>
      <c r="N133" s="8">
        <f ca="1">IFERROR(__xludf.DUMMYFUNCTION("""COMPUTED_VALUE"""),6)</f>
        <v>6</v>
      </c>
      <c r="O133" s="8" t="str">
        <f ca="1">IFERROR(__xludf.DUMMYFUNCTION("""COMPUTED_VALUE"""),"Proficient I")</f>
        <v>Proficient I</v>
      </c>
      <c r="P133" s="8">
        <f ca="1">IFERROR(__xludf.DUMMYFUNCTION("""COMPUTED_VALUE"""),1)</f>
        <v>1</v>
      </c>
      <c r="Q133" s="8">
        <f ca="1">IFERROR(__xludf.DUMMYFUNCTION("""COMPUTED_VALUE"""),1.5)</f>
        <v>1.5</v>
      </c>
      <c r="R133" s="8">
        <f ca="1">IFERROR(__xludf.DUMMYFUNCTION("""COMPUTED_VALUE"""),2)</f>
        <v>2</v>
      </c>
      <c r="S133" s="8">
        <f ca="1">IFERROR(__xludf.DUMMYFUNCTION("""COMPUTED_VALUE"""),1.5)</f>
        <v>1.5</v>
      </c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</row>
    <row r="134" spans="1:31" ht="13.15" x14ac:dyDescent="0.4">
      <c r="A134" s="8"/>
      <c r="B134" s="8"/>
      <c r="C134" s="8"/>
      <c r="D134" s="8"/>
      <c r="E134" s="8" t="str">
        <f ca="1">IFERROR(__xludf.DUMMYFUNCTION("""COMPUTED_VALUE"""),"ECTOR")</f>
        <v>ECTOR</v>
      </c>
      <c r="F134" s="8" t="str">
        <f ca="1">IFERROR(__xludf.DUMMYFUNCTION("""COMPUTED_VALUE"""),"Core Subject With LSAE")</f>
        <v>Core Subject With LSAE</v>
      </c>
      <c r="G134" s="8" t="str">
        <f ca="1">IFERROR(__xludf.DUMMYFUNCTION("""COMPUTED_VALUE"""),"Karissa Rocha")</f>
        <v>Karissa Rocha</v>
      </c>
      <c r="H134" s="8" t="str">
        <f ca="1">IFERROR(__xludf.DUMMYFUNCTION("""COMPUTED_VALUE"""),"JOSE VALLES JR.")</f>
        <v>JOSE VALLES JR.</v>
      </c>
      <c r="I134" s="9">
        <f ca="1">IFERROR(__xludf.DUMMYFUNCTION("""COMPUTED_VALUE"""),45357)</f>
        <v>45357</v>
      </c>
      <c r="J134" s="9"/>
      <c r="K134" s="8" t="str">
        <f ca="1">IFERROR(__xludf.DUMMYFUNCTION("""COMPUTED_VALUE"""),"AM")</f>
        <v>AM</v>
      </c>
      <c r="L134" s="8" t="str">
        <f ca="1">IFERROR(__xludf.DUMMYFUNCTION("""COMPUTED_VALUE"""),"6th Grade")</f>
        <v>6th Grade</v>
      </c>
      <c r="M134" s="8" t="str">
        <f ca="1">IFERROR(__xludf.DUMMYFUNCTION("""COMPUTED_VALUE"""),"Art of Thinking")</f>
        <v>Art of Thinking</v>
      </c>
      <c r="N134" s="8">
        <f ca="1">IFERROR(__xludf.DUMMYFUNCTION("""COMPUTED_VALUE"""),8)</f>
        <v>8</v>
      </c>
      <c r="O134" s="8" t="str">
        <f ca="1">IFERROR(__xludf.DUMMYFUNCTION("""COMPUTED_VALUE"""),"Proficient II")</f>
        <v>Proficient II</v>
      </c>
      <c r="P134" s="8">
        <f ca="1">IFERROR(__xludf.DUMMYFUNCTION("""COMPUTED_VALUE"""),1)</f>
        <v>1</v>
      </c>
      <c r="Q134" s="8">
        <f ca="1">IFERROR(__xludf.DUMMYFUNCTION("""COMPUTED_VALUE"""),2.5)</f>
        <v>2.5</v>
      </c>
      <c r="R134" s="8">
        <f ca="1">IFERROR(__xludf.DUMMYFUNCTION("""COMPUTED_VALUE"""),3)</f>
        <v>3</v>
      </c>
      <c r="S134" s="8">
        <f ca="1">IFERROR(__xludf.DUMMYFUNCTION("""COMPUTED_VALUE"""),1.5)</f>
        <v>1.5</v>
      </c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</row>
    <row r="135" spans="1:31" ht="13.15" x14ac:dyDescent="0.4">
      <c r="A135" s="8"/>
      <c r="B135" s="8"/>
      <c r="C135" s="8"/>
      <c r="D135" s="8"/>
      <c r="E135" s="8" t="str">
        <f ca="1">IFERROR(__xludf.DUMMYFUNCTION("""COMPUTED_VALUE"""),"ECTOR")</f>
        <v>ECTOR</v>
      </c>
      <c r="F135" s="8" t="str">
        <f ca="1">IFERROR(__xludf.DUMMYFUNCTION("""COMPUTED_VALUE"""),"Core Subject With LSAE")</f>
        <v>Core Subject With LSAE</v>
      </c>
      <c r="G135" s="8" t="str">
        <f ca="1">IFERROR(__xludf.DUMMYFUNCTION("""COMPUTED_VALUE"""),"Mariela Valenzuela")</f>
        <v>Mariela Valenzuela</v>
      </c>
      <c r="H135" s="8" t="str">
        <f ca="1">IFERROR(__xludf.DUMMYFUNCTION("""COMPUTED_VALUE"""),"JOSE VALLES JR.")</f>
        <v>JOSE VALLES JR.</v>
      </c>
      <c r="I135" s="9">
        <f ca="1">IFERROR(__xludf.DUMMYFUNCTION("""COMPUTED_VALUE"""),45357)</f>
        <v>45357</v>
      </c>
      <c r="J135" s="9">
        <f ca="1">IFERROR(__xludf.DUMMYFUNCTION("""COMPUTED_VALUE"""),45358)</f>
        <v>45358</v>
      </c>
      <c r="K135" s="8" t="str">
        <f ca="1">IFERROR(__xludf.DUMMYFUNCTION("""COMPUTED_VALUE"""),"PM")</f>
        <v>PM</v>
      </c>
      <c r="L135" s="8" t="str">
        <f ca="1">IFERROR(__xludf.DUMMYFUNCTION("""COMPUTED_VALUE"""),"6th Grade")</f>
        <v>6th Grade</v>
      </c>
      <c r="M135" s="8" t="str">
        <f ca="1">IFERROR(__xludf.DUMMYFUNCTION("""COMPUTED_VALUE"""),"ELA")</f>
        <v>ELA</v>
      </c>
      <c r="N135" s="8">
        <f ca="1">IFERROR(__xludf.DUMMYFUNCTION("""COMPUTED_VALUE"""),7.5)</f>
        <v>7.5</v>
      </c>
      <c r="O135" s="8" t="str">
        <f ca="1">IFERROR(__xludf.DUMMYFUNCTION("""COMPUTED_VALUE"""),"Proficient I")</f>
        <v>Proficient I</v>
      </c>
      <c r="P135" s="8">
        <f ca="1">IFERROR(__xludf.DUMMYFUNCTION("""COMPUTED_VALUE"""),1)</f>
        <v>1</v>
      </c>
      <c r="Q135" s="8">
        <f ca="1">IFERROR(__xludf.DUMMYFUNCTION("""COMPUTED_VALUE"""),2)</f>
        <v>2</v>
      </c>
      <c r="R135" s="8">
        <f ca="1">IFERROR(__xludf.DUMMYFUNCTION("""COMPUTED_VALUE"""),3)</f>
        <v>3</v>
      </c>
      <c r="S135" s="8">
        <f ca="1">IFERROR(__xludf.DUMMYFUNCTION("""COMPUTED_VALUE"""),1.5)</f>
        <v>1.5</v>
      </c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</row>
    <row r="136" spans="1:31" ht="13.15" x14ac:dyDescent="0.4">
      <c r="A136" s="8"/>
      <c r="B136" s="8"/>
      <c r="C136" s="8"/>
      <c r="D136" s="8"/>
      <c r="E136" s="8" t="str">
        <f ca="1">IFERROR(__xludf.DUMMYFUNCTION("""COMPUTED_VALUE"""),"ECTOR")</f>
        <v>ECTOR</v>
      </c>
      <c r="F136" s="8" t="str">
        <f ca="1">IFERROR(__xludf.DUMMYFUNCTION("""COMPUTED_VALUE"""),"Teacher Apprentice")</f>
        <v>Teacher Apprentice</v>
      </c>
      <c r="G136" s="8" t="str">
        <f ca="1">IFERROR(__xludf.DUMMYFUNCTION("""COMPUTED_VALUE"""),"Brittany Stevens")</f>
        <v>Brittany Stevens</v>
      </c>
      <c r="H136" s="8" t="str">
        <f ca="1">IFERROR(__xludf.DUMMYFUNCTION("""COMPUTED_VALUE"""),"JOSE VALLES JR.")</f>
        <v>JOSE VALLES JR.</v>
      </c>
      <c r="I136" s="9">
        <f ca="1">IFERROR(__xludf.DUMMYFUNCTION("""COMPUTED_VALUE"""),45357)</f>
        <v>45357</v>
      </c>
      <c r="J136" s="9"/>
      <c r="K136" s="8" t="str">
        <f ca="1">IFERROR(__xludf.DUMMYFUNCTION("""COMPUTED_VALUE"""),"PM")</f>
        <v>PM</v>
      </c>
      <c r="L136" s="8" t="str">
        <f ca="1">IFERROR(__xludf.DUMMYFUNCTION("""COMPUTED_VALUE"""),"6th Grade")</f>
        <v>6th Grade</v>
      </c>
      <c r="M136" s="8" t="str">
        <f ca="1">IFERROR(__xludf.DUMMYFUNCTION("""COMPUTED_VALUE"""),"ELA")</f>
        <v>ELA</v>
      </c>
      <c r="N136" s="8">
        <f ca="1">IFERROR(__xludf.DUMMYFUNCTION("""COMPUTED_VALUE"""),7)</f>
        <v>7</v>
      </c>
      <c r="O136" s="8" t="str">
        <f ca="1">IFERROR(__xludf.DUMMYFUNCTION("""COMPUTED_VALUE"""),"Proficient I")</f>
        <v>Proficient I</v>
      </c>
      <c r="P136" s="8">
        <f ca="1">IFERROR(__xludf.DUMMYFUNCTION("""COMPUTED_VALUE"""),1)</f>
        <v>1</v>
      </c>
      <c r="Q136" s="8">
        <f ca="1">IFERROR(__xludf.DUMMYFUNCTION("""COMPUTED_VALUE"""),2.5)</f>
        <v>2.5</v>
      </c>
      <c r="R136" s="8">
        <f ca="1">IFERROR(__xludf.DUMMYFUNCTION("""COMPUTED_VALUE"""),2.5)</f>
        <v>2.5</v>
      </c>
      <c r="S136" s="8">
        <f ca="1">IFERROR(__xludf.DUMMYFUNCTION("""COMPUTED_VALUE"""),1)</f>
        <v>1</v>
      </c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</row>
    <row r="137" spans="1:31" ht="13.15" x14ac:dyDescent="0.4">
      <c r="A137" s="8"/>
      <c r="B137" s="8"/>
      <c r="C137" s="8"/>
      <c r="D137" s="8"/>
      <c r="E137" s="8" t="str">
        <f ca="1">IFERROR(__xludf.DUMMYFUNCTION("""COMPUTED_VALUE"""),"ECTOR")</f>
        <v>ECTOR</v>
      </c>
      <c r="F137" s="8" t="str">
        <f ca="1">IFERROR(__xludf.DUMMYFUNCTION("""COMPUTED_VALUE"""),"Core Subject With LSAE")</f>
        <v>Core Subject With LSAE</v>
      </c>
      <c r="G137" s="8" t="str">
        <f ca="1">IFERROR(__xludf.DUMMYFUNCTION("""COMPUTED_VALUE"""),"September Garrett")</f>
        <v>September Garrett</v>
      </c>
      <c r="H137" s="8" t="str">
        <f ca="1">IFERROR(__xludf.DUMMYFUNCTION("""COMPUTED_VALUE"""),"Katherine Coulter")</f>
        <v>Katherine Coulter</v>
      </c>
      <c r="I137" s="9">
        <f ca="1">IFERROR(__xludf.DUMMYFUNCTION("""COMPUTED_VALUE"""),45356)</f>
        <v>45356</v>
      </c>
      <c r="J137" s="9">
        <f ca="1">IFERROR(__xludf.DUMMYFUNCTION("""COMPUTED_VALUE"""),45358)</f>
        <v>45358</v>
      </c>
      <c r="K137" s="8" t="str">
        <f ca="1">IFERROR(__xludf.DUMMYFUNCTION("""COMPUTED_VALUE"""),"AM")</f>
        <v>AM</v>
      </c>
      <c r="L137" s="8" t="str">
        <f ca="1">IFERROR(__xludf.DUMMYFUNCTION("""COMPUTED_VALUE"""),"6th Grade")</f>
        <v>6th Grade</v>
      </c>
      <c r="M137" s="8" t="str">
        <f ca="1">IFERROR(__xludf.DUMMYFUNCTION("""COMPUTED_VALUE"""),"Math")</f>
        <v>Math</v>
      </c>
      <c r="N137" s="8">
        <f ca="1">IFERROR(__xludf.DUMMYFUNCTION("""COMPUTED_VALUE"""),7)</f>
        <v>7</v>
      </c>
      <c r="O137" s="8" t="str">
        <f ca="1">IFERROR(__xludf.DUMMYFUNCTION("""COMPUTED_VALUE"""),"Proficient I")</f>
        <v>Proficient I</v>
      </c>
      <c r="P137" s="8">
        <f ca="1">IFERROR(__xludf.DUMMYFUNCTION("""COMPUTED_VALUE"""),1)</f>
        <v>1</v>
      </c>
      <c r="Q137" s="8">
        <f ca="1">IFERROR(__xludf.DUMMYFUNCTION("""COMPUTED_VALUE"""),2)</f>
        <v>2</v>
      </c>
      <c r="R137" s="8">
        <f ca="1">IFERROR(__xludf.DUMMYFUNCTION("""COMPUTED_VALUE"""),2.5)</f>
        <v>2.5</v>
      </c>
      <c r="S137" s="8">
        <f ca="1">IFERROR(__xludf.DUMMYFUNCTION("""COMPUTED_VALUE"""),1.5)</f>
        <v>1.5</v>
      </c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</row>
    <row r="138" spans="1:31" ht="13.15" x14ac:dyDescent="0.4">
      <c r="A138" s="8"/>
      <c r="B138" s="8"/>
      <c r="C138" s="8"/>
      <c r="D138" s="8"/>
      <c r="E138" s="8" t="str">
        <f ca="1">IFERROR(__xludf.DUMMYFUNCTION("""COMPUTED_VALUE"""),"ECTOR")</f>
        <v>ECTOR</v>
      </c>
      <c r="F138" s="8" t="str">
        <f ca="1">IFERROR(__xludf.DUMMYFUNCTION("""COMPUTED_VALUE"""),"Teacher Apprentice")</f>
        <v>Teacher Apprentice</v>
      </c>
      <c r="G138" s="8" t="str">
        <f ca="1">IFERROR(__xludf.DUMMYFUNCTION("""COMPUTED_VALUE"""),"Stephanie McCoy")</f>
        <v>Stephanie McCoy</v>
      </c>
      <c r="H138" s="8" t="str">
        <f ca="1">IFERROR(__xludf.DUMMYFUNCTION("""COMPUTED_VALUE"""),"Katherine Coulter")</f>
        <v>Katherine Coulter</v>
      </c>
      <c r="I138" s="9">
        <f ca="1">IFERROR(__xludf.DUMMYFUNCTION("""COMPUTED_VALUE"""),45356)</f>
        <v>45356</v>
      </c>
      <c r="J138" s="9">
        <f ca="1">IFERROR(__xludf.DUMMYFUNCTION("""COMPUTED_VALUE"""),45357)</f>
        <v>45357</v>
      </c>
      <c r="K138" s="8" t="str">
        <f ca="1">IFERROR(__xludf.DUMMYFUNCTION("""COMPUTED_VALUE"""),"AM")</f>
        <v>AM</v>
      </c>
      <c r="L138" s="8" t="str">
        <f ca="1">IFERROR(__xludf.DUMMYFUNCTION("""COMPUTED_VALUE"""),"6th Grade")</f>
        <v>6th Grade</v>
      </c>
      <c r="M138" s="8" t="str">
        <f ca="1">IFERROR(__xludf.DUMMYFUNCTION("""COMPUTED_VALUE"""),"Math")</f>
        <v>Math</v>
      </c>
      <c r="N138" s="8">
        <f ca="1">IFERROR(__xludf.DUMMYFUNCTION("""COMPUTED_VALUE"""),6.5)</f>
        <v>6.5</v>
      </c>
      <c r="O138" s="8" t="str">
        <f ca="1">IFERROR(__xludf.DUMMYFUNCTION("""COMPUTED_VALUE"""),"Proficient I")</f>
        <v>Proficient I</v>
      </c>
      <c r="P138" s="8">
        <f ca="1">IFERROR(__xludf.DUMMYFUNCTION("""COMPUTED_VALUE"""),1)</f>
        <v>1</v>
      </c>
      <c r="Q138" s="8">
        <f ca="1">IFERROR(__xludf.DUMMYFUNCTION("""COMPUTED_VALUE"""),2)</f>
        <v>2</v>
      </c>
      <c r="R138" s="8">
        <f ca="1">IFERROR(__xludf.DUMMYFUNCTION("""COMPUTED_VALUE"""),1.5)</f>
        <v>1.5</v>
      </c>
      <c r="S138" s="8">
        <f ca="1">IFERROR(__xludf.DUMMYFUNCTION("""COMPUTED_VALUE"""),2)</f>
        <v>2</v>
      </c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</row>
    <row r="139" spans="1:31" ht="13.15" x14ac:dyDescent="0.4">
      <c r="A139" s="8"/>
      <c r="B139" s="8"/>
      <c r="C139" s="8"/>
      <c r="D139" s="8"/>
      <c r="E139" s="8" t="str">
        <f ca="1">IFERROR(__xludf.DUMMYFUNCTION("""COMPUTED_VALUE"""),"ECTOR")</f>
        <v>ECTOR</v>
      </c>
      <c r="F139" s="8" t="str">
        <f ca="1">IFERROR(__xludf.DUMMYFUNCTION("""COMPUTED_VALUE"""),"Core Subject With LSAE")</f>
        <v>Core Subject With LSAE</v>
      </c>
      <c r="G139" s="8" t="str">
        <f ca="1">IFERROR(__xludf.DUMMYFUNCTION("""COMPUTED_VALUE"""),"Angel Matta")</f>
        <v>Angel Matta</v>
      </c>
      <c r="H139" s="8" t="str">
        <f ca="1">IFERROR(__xludf.DUMMYFUNCTION("""COMPUTED_VALUE"""),"Katherine Coulter")</f>
        <v>Katherine Coulter</v>
      </c>
      <c r="I139" s="9">
        <f ca="1">IFERROR(__xludf.DUMMYFUNCTION("""COMPUTED_VALUE"""),45357)</f>
        <v>45357</v>
      </c>
      <c r="J139" s="9">
        <f ca="1">IFERROR(__xludf.DUMMYFUNCTION("""COMPUTED_VALUE"""),45358)</f>
        <v>45358</v>
      </c>
      <c r="K139" s="8" t="str">
        <f ca="1">IFERROR(__xludf.DUMMYFUNCTION("""COMPUTED_VALUE"""),"AM")</f>
        <v>AM</v>
      </c>
      <c r="L139" s="8" t="str">
        <f ca="1">IFERROR(__xludf.DUMMYFUNCTION("""COMPUTED_VALUE"""),"6th Grade")</f>
        <v>6th Grade</v>
      </c>
      <c r="M139" s="8" t="str">
        <f ca="1">IFERROR(__xludf.DUMMYFUNCTION("""COMPUTED_VALUE"""),"Science")</f>
        <v>Science</v>
      </c>
      <c r="N139" s="8">
        <f ca="1">IFERROR(__xludf.DUMMYFUNCTION("""COMPUTED_VALUE"""),7)</f>
        <v>7</v>
      </c>
      <c r="O139" s="8" t="str">
        <f ca="1">IFERROR(__xludf.DUMMYFUNCTION("""COMPUTED_VALUE"""),"Proficient I")</f>
        <v>Proficient I</v>
      </c>
      <c r="P139" s="8">
        <f ca="1">IFERROR(__xludf.DUMMYFUNCTION("""COMPUTED_VALUE"""),1)</f>
        <v>1</v>
      </c>
      <c r="Q139" s="8">
        <f ca="1">IFERROR(__xludf.DUMMYFUNCTION("""COMPUTED_VALUE"""),2.5)</f>
        <v>2.5</v>
      </c>
      <c r="R139" s="8">
        <f ca="1">IFERROR(__xludf.DUMMYFUNCTION("""COMPUTED_VALUE"""),2.5)</f>
        <v>2.5</v>
      </c>
      <c r="S139" s="8">
        <f ca="1">IFERROR(__xludf.DUMMYFUNCTION("""COMPUTED_VALUE"""),1)</f>
        <v>1</v>
      </c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</row>
    <row r="140" spans="1:31" ht="13.15" x14ac:dyDescent="0.4">
      <c r="A140" s="8"/>
      <c r="B140" s="8"/>
      <c r="C140" s="8"/>
      <c r="D140" s="8"/>
      <c r="E140" s="8" t="str">
        <f ca="1">IFERROR(__xludf.DUMMYFUNCTION("""COMPUTED_VALUE"""),"ECTOR")</f>
        <v>ECTOR</v>
      </c>
      <c r="F140" s="8" t="str">
        <f ca="1">IFERROR(__xludf.DUMMYFUNCTION("""COMPUTED_VALUE"""),"Core Subject With LSAE")</f>
        <v>Core Subject With LSAE</v>
      </c>
      <c r="G140" s="8" t="str">
        <f ca="1">IFERROR(__xludf.DUMMYFUNCTION("""COMPUTED_VALUE"""),"Tiffany Woodard")</f>
        <v>Tiffany Woodard</v>
      </c>
      <c r="H140" s="8" t="str">
        <f ca="1">IFERROR(__xludf.DUMMYFUNCTION("""COMPUTED_VALUE"""),"Katherine Coulter")</f>
        <v>Katherine Coulter</v>
      </c>
      <c r="I140" s="9">
        <f ca="1">IFERROR(__xludf.DUMMYFUNCTION("""COMPUTED_VALUE"""),45357)</f>
        <v>45357</v>
      </c>
      <c r="J140" s="9">
        <f ca="1">IFERROR(__xludf.DUMMYFUNCTION("""COMPUTED_VALUE"""),45358)</f>
        <v>45358</v>
      </c>
      <c r="K140" s="8" t="str">
        <f ca="1">IFERROR(__xludf.DUMMYFUNCTION("""COMPUTED_VALUE"""),"AM")</f>
        <v>AM</v>
      </c>
      <c r="L140" s="8" t="str">
        <f ca="1">IFERROR(__xludf.DUMMYFUNCTION("""COMPUTED_VALUE"""),"6th Grade")</f>
        <v>6th Grade</v>
      </c>
      <c r="M140" s="8" t="str">
        <f ca="1">IFERROR(__xludf.DUMMYFUNCTION("""COMPUTED_VALUE"""),"Science")</f>
        <v>Science</v>
      </c>
      <c r="N140" s="8">
        <f ca="1">IFERROR(__xludf.DUMMYFUNCTION("""COMPUTED_VALUE"""),6.5)</f>
        <v>6.5</v>
      </c>
      <c r="O140" s="8" t="str">
        <f ca="1">IFERROR(__xludf.DUMMYFUNCTION("""COMPUTED_VALUE"""),"Proficient I")</f>
        <v>Proficient I</v>
      </c>
      <c r="P140" s="8">
        <f ca="1">IFERROR(__xludf.DUMMYFUNCTION("""COMPUTED_VALUE"""),1)</f>
        <v>1</v>
      </c>
      <c r="Q140" s="8">
        <f ca="1">IFERROR(__xludf.DUMMYFUNCTION("""COMPUTED_VALUE"""),2)</f>
        <v>2</v>
      </c>
      <c r="R140" s="8">
        <f ca="1">IFERROR(__xludf.DUMMYFUNCTION("""COMPUTED_VALUE"""),2)</f>
        <v>2</v>
      </c>
      <c r="S140" s="8">
        <f ca="1">IFERROR(__xludf.DUMMYFUNCTION("""COMPUTED_VALUE"""),1.5)</f>
        <v>1.5</v>
      </c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</row>
    <row r="141" spans="1:31" ht="13.15" x14ac:dyDescent="0.4">
      <c r="A141" s="8"/>
      <c r="B141" s="8"/>
      <c r="C141" s="8"/>
      <c r="D141" s="8"/>
      <c r="E141" s="8" t="str">
        <f ca="1">IFERROR(__xludf.DUMMYFUNCTION("""COMPUTED_VALUE"""),"ECTOR")</f>
        <v>ECTOR</v>
      </c>
      <c r="F141" s="8" t="str">
        <f ca="1">IFERROR(__xludf.DUMMYFUNCTION("""COMPUTED_VALUE"""),"Electives")</f>
        <v>Electives</v>
      </c>
      <c r="G141" s="8" t="str">
        <f ca="1">IFERROR(__xludf.DUMMYFUNCTION("""COMPUTED_VALUE"""),"Bobby Dancer")</f>
        <v>Bobby Dancer</v>
      </c>
      <c r="H141" s="8" t="str">
        <f ca="1">IFERROR(__xludf.DUMMYFUNCTION("""COMPUTED_VALUE"""),"Katherine Coulter")</f>
        <v>Katherine Coulter</v>
      </c>
      <c r="I141" s="9">
        <f ca="1">IFERROR(__xludf.DUMMYFUNCTION("""COMPUTED_VALUE"""),45357)</f>
        <v>45357</v>
      </c>
      <c r="J141" s="9">
        <f ca="1">IFERROR(__xludf.DUMMYFUNCTION("""COMPUTED_VALUE"""),45357)</f>
        <v>45357</v>
      </c>
      <c r="K141" s="8" t="str">
        <f ca="1">IFERROR(__xludf.DUMMYFUNCTION("""COMPUTED_VALUE"""),"PM")</f>
        <v>PM</v>
      </c>
      <c r="L141" s="8" t="str">
        <f ca="1">IFERROR(__xludf.DUMMYFUNCTION("""COMPUTED_VALUE"""),"8th Grade")</f>
        <v>8th Grade</v>
      </c>
      <c r="M141" s="8" t="str">
        <f ca="1">IFERROR(__xludf.DUMMYFUNCTION("""COMPUTED_VALUE"""),"P.E.")</f>
        <v>P.E.</v>
      </c>
      <c r="N141" s="8">
        <f ca="1">IFERROR(__xludf.DUMMYFUNCTION("""COMPUTED_VALUE"""),8)</f>
        <v>8</v>
      </c>
      <c r="O141" s="8" t="str">
        <f ca="1">IFERROR(__xludf.DUMMYFUNCTION("""COMPUTED_VALUE"""),"Proficient II")</f>
        <v>Proficient II</v>
      </c>
      <c r="P141" s="8">
        <f ca="1">IFERROR(__xludf.DUMMYFUNCTION("""COMPUTED_VALUE"""),1)</f>
        <v>1</v>
      </c>
      <c r="Q141" s="8">
        <f ca="1">IFERROR(__xludf.DUMMYFUNCTION("""COMPUTED_VALUE"""),4)</f>
        <v>4</v>
      </c>
      <c r="R141" s="8">
        <f ca="1">IFERROR(__xludf.DUMMYFUNCTION("""COMPUTED_VALUE"""),3)</f>
        <v>3</v>
      </c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</row>
    <row r="142" spans="1:31" ht="13.15" x14ac:dyDescent="0.4">
      <c r="A142" s="8"/>
      <c r="B142" s="8"/>
      <c r="C142" s="8"/>
      <c r="D142" s="8"/>
      <c r="E142" s="8" t="str">
        <f ca="1">IFERROR(__xludf.DUMMYFUNCTION("""COMPUTED_VALUE"""),"ECTOR")</f>
        <v>ECTOR</v>
      </c>
      <c r="F142" s="8" t="str">
        <f ca="1">IFERROR(__xludf.DUMMYFUNCTION("""COMPUTED_VALUE"""),"SSN/Life Skills")</f>
        <v>SSN/Life Skills</v>
      </c>
      <c r="G142" s="8" t="str">
        <f ca="1">IFERROR(__xludf.DUMMYFUNCTION("""COMPUTED_VALUE"""),"De'Anza Cole")</f>
        <v>De'Anza Cole</v>
      </c>
      <c r="H142" s="8" t="str">
        <f ca="1">IFERROR(__xludf.DUMMYFUNCTION("""COMPUTED_VALUE"""),"Katherine Coulter")</f>
        <v>Katherine Coulter</v>
      </c>
      <c r="I142" s="9">
        <f ca="1">IFERROR(__xludf.DUMMYFUNCTION("""COMPUTED_VALUE"""),45357)</f>
        <v>45357</v>
      </c>
      <c r="J142" s="9">
        <f ca="1">IFERROR(__xludf.DUMMYFUNCTION("""COMPUTED_VALUE"""),45358)</f>
        <v>45358</v>
      </c>
      <c r="K142" s="8" t="str">
        <f ca="1">IFERROR(__xludf.DUMMYFUNCTION("""COMPUTED_VALUE"""),"PM")</f>
        <v>PM</v>
      </c>
      <c r="L142" s="8" t="str">
        <f ca="1">IFERROR(__xludf.DUMMYFUNCTION("""COMPUTED_VALUE"""),"6th Grade")</f>
        <v>6th Grade</v>
      </c>
      <c r="M142" s="8"/>
      <c r="N142" s="8">
        <f ca="1">IFERROR(__xludf.DUMMYFUNCTION("""COMPUTED_VALUE"""),8.5)</f>
        <v>8.5</v>
      </c>
      <c r="O142" s="8" t="str">
        <f ca="1">IFERROR(__xludf.DUMMYFUNCTION("""COMPUTED_VALUE"""),"Proficient II")</f>
        <v>Proficient II</v>
      </c>
      <c r="P142" s="8">
        <f ca="1">IFERROR(__xludf.DUMMYFUNCTION("""COMPUTED_VALUE"""),1)</f>
        <v>1</v>
      </c>
      <c r="Q142" s="8">
        <f ca="1">IFERROR(__xludf.DUMMYFUNCTION("""COMPUTED_VALUE"""),2.5)</f>
        <v>2.5</v>
      </c>
      <c r="R142" s="8">
        <f ca="1">IFERROR(__xludf.DUMMYFUNCTION("""COMPUTED_VALUE"""),3)</f>
        <v>3</v>
      </c>
      <c r="S142" s="8">
        <f ca="1">IFERROR(__xludf.DUMMYFUNCTION("""COMPUTED_VALUE"""),2)</f>
        <v>2</v>
      </c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</row>
    <row r="143" spans="1:31" ht="13.15" x14ac:dyDescent="0.4">
      <c r="A143" s="8"/>
      <c r="B143" s="8"/>
      <c r="C143" s="8"/>
      <c r="D143" s="8"/>
      <c r="E143" s="8" t="str">
        <f ca="1">IFERROR(__xludf.DUMMYFUNCTION("""COMPUTED_VALUE"""),"ECTOR")</f>
        <v>ECTOR</v>
      </c>
      <c r="F143" s="8" t="str">
        <f ca="1">IFERROR(__xludf.DUMMYFUNCTION("""COMPUTED_VALUE"""),"SSN/Life Skills")</f>
        <v>SSN/Life Skills</v>
      </c>
      <c r="G143" s="8" t="str">
        <f ca="1">IFERROR(__xludf.DUMMYFUNCTION("""COMPUTED_VALUE"""),"Rose McGuire")</f>
        <v>Rose McGuire</v>
      </c>
      <c r="H143" s="8" t="str">
        <f ca="1">IFERROR(__xludf.DUMMYFUNCTION("""COMPUTED_VALUE"""),"Katherine Coulter")</f>
        <v>Katherine Coulter</v>
      </c>
      <c r="I143" s="9">
        <f ca="1">IFERROR(__xludf.DUMMYFUNCTION("""COMPUTED_VALUE"""),45357)</f>
        <v>45357</v>
      </c>
      <c r="J143" s="9">
        <f ca="1">IFERROR(__xludf.DUMMYFUNCTION("""COMPUTED_VALUE"""),45357)</f>
        <v>45357</v>
      </c>
      <c r="K143" s="8" t="str">
        <f ca="1">IFERROR(__xludf.DUMMYFUNCTION("""COMPUTED_VALUE"""),"PM")</f>
        <v>PM</v>
      </c>
      <c r="L143" s="8" t="str">
        <f ca="1">IFERROR(__xludf.DUMMYFUNCTION("""COMPUTED_VALUE"""),"6th Grade")</f>
        <v>6th Grade</v>
      </c>
      <c r="M143" s="8"/>
      <c r="N143" s="8">
        <f ca="1">IFERROR(__xludf.DUMMYFUNCTION("""COMPUTED_VALUE"""),8)</f>
        <v>8</v>
      </c>
      <c r="O143" s="8" t="str">
        <f ca="1">IFERROR(__xludf.DUMMYFUNCTION("""COMPUTED_VALUE"""),"Proficient II")</f>
        <v>Proficient II</v>
      </c>
      <c r="P143" s="8">
        <f ca="1">IFERROR(__xludf.DUMMYFUNCTION("""COMPUTED_VALUE"""),1)</f>
        <v>1</v>
      </c>
      <c r="Q143" s="8">
        <f ca="1">IFERROR(__xludf.DUMMYFUNCTION("""COMPUTED_VALUE"""),3)</f>
        <v>3</v>
      </c>
      <c r="R143" s="8">
        <f ca="1">IFERROR(__xludf.DUMMYFUNCTION("""COMPUTED_VALUE"""),2)</f>
        <v>2</v>
      </c>
      <c r="S143" s="8">
        <f ca="1">IFERROR(__xludf.DUMMYFUNCTION("""COMPUTED_VALUE"""),2)</f>
        <v>2</v>
      </c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</row>
    <row r="144" spans="1:31" ht="13.15" x14ac:dyDescent="0.4">
      <c r="A144" s="8"/>
      <c r="B144" s="8"/>
      <c r="C144" s="8"/>
      <c r="D144" s="8"/>
      <c r="E144" s="8" t="str">
        <f ca="1">IFERROR(__xludf.DUMMYFUNCTION("""COMPUTED_VALUE"""),"ECTOR")</f>
        <v>ECTOR</v>
      </c>
      <c r="F144" s="8" t="str">
        <f ca="1">IFERROR(__xludf.DUMMYFUNCTION("""COMPUTED_VALUE"""),"Core Subject With LSAE")</f>
        <v>Core Subject With LSAE</v>
      </c>
      <c r="G144" s="8" t="str">
        <f ca="1">IFERROR(__xludf.DUMMYFUNCTION("""COMPUTED_VALUE"""),"Shenidra Luate")</f>
        <v>Shenidra Luate</v>
      </c>
      <c r="H144" s="8" t="str">
        <f ca="1">IFERROR(__xludf.DUMMYFUNCTION("""COMPUTED_VALUE"""),"Katherine Coulter")</f>
        <v>Katherine Coulter</v>
      </c>
      <c r="I144" s="9">
        <f ca="1">IFERROR(__xludf.DUMMYFUNCTION("""COMPUTED_VALUE"""),45358)</f>
        <v>45358</v>
      </c>
      <c r="J144" s="9"/>
      <c r="K144" s="8" t="str">
        <f ca="1">IFERROR(__xludf.DUMMYFUNCTION("""COMPUTED_VALUE"""),"AM")</f>
        <v>AM</v>
      </c>
      <c r="L144" s="8" t="str">
        <f ca="1">IFERROR(__xludf.DUMMYFUNCTION("""COMPUTED_VALUE"""),"6th Grade")</f>
        <v>6th Grade</v>
      </c>
      <c r="M144" s="8" t="str">
        <f ca="1">IFERROR(__xludf.DUMMYFUNCTION("""COMPUTED_VALUE"""),"Math")</f>
        <v>Math</v>
      </c>
      <c r="N144" s="8">
        <f ca="1">IFERROR(__xludf.DUMMYFUNCTION("""COMPUTED_VALUE"""),6)</f>
        <v>6</v>
      </c>
      <c r="O144" s="8" t="str">
        <f ca="1">IFERROR(__xludf.DUMMYFUNCTION("""COMPUTED_VALUE"""),"Proficient I")</f>
        <v>Proficient I</v>
      </c>
      <c r="P144" s="8">
        <f ca="1">IFERROR(__xludf.DUMMYFUNCTION("""COMPUTED_VALUE"""),1)</f>
        <v>1</v>
      </c>
      <c r="Q144" s="8">
        <f ca="1">IFERROR(__xludf.DUMMYFUNCTION("""COMPUTED_VALUE"""),2)</f>
        <v>2</v>
      </c>
      <c r="R144" s="8">
        <f ca="1">IFERROR(__xludf.DUMMYFUNCTION("""COMPUTED_VALUE"""),2)</f>
        <v>2</v>
      </c>
      <c r="S144" s="8">
        <f ca="1">IFERROR(__xludf.DUMMYFUNCTION("""COMPUTED_VALUE"""),1)</f>
        <v>1</v>
      </c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</row>
    <row r="145" spans="1:31" ht="13.15" x14ac:dyDescent="0.4">
      <c r="A145" s="8"/>
      <c r="B145" s="8"/>
      <c r="C145" s="8"/>
      <c r="D145" s="8"/>
      <c r="E145" s="8" t="str">
        <f ca="1">IFERROR(__xludf.DUMMYFUNCTION("""COMPUTED_VALUE"""),"ECTOR")</f>
        <v>ECTOR</v>
      </c>
      <c r="F145" s="8" t="str">
        <f ca="1">IFERROR(__xludf.DUMMYFUNCTION("""COMPUTED_VALUE"""),"Core Subject With LSAE")</f>
        <v>Core Subject With LSAE</v>
      </c>
      <c r="G145" s="8" t="str">
        <f ca="1">IFERROR(__xludf.DUMMYFUNCTION("""COMPUTED_VALUE"""),"Oceana Ridge")</f>
        <v>Oceana Ridge</v>
      </c>
      <c r="H145" s="8" t="str">
        <f ca="1">IFERROR(__xludf.DUMMYFUNCTION("""COMPUTED_VALUE"""),"Kristin Albaugh")</f>
        <v>Kristin Albaugh</v>
      </c>
      <c r="I145" s="9">
        <f ca="1">IFERROR(__xludf.DUMMYFUNCTION("""COMPUTED_VALUE"""),45355)</f>
        <v>45355</v>
      </c>
      <c r="J145" s="9"/>
      <c r="K145" s="8" t="str">
        <f ca="1">IFERROR(__xludf.DUMMYFUNCTION("""COMPUTED_VALUE"""),"AM")</f>
        <v>AM</v>
      </c>
      <c r="L145" s="11" t="str">
        <f ca="1">IFERROR(__xludf.DUMMYFUNCTION("""COMPUTED_VALUE"""),"6th Grade")</f>
        <v>6th Grade</v>
      </c>
      <c r="M145" s="8" t="str">
        <f ca="1">IFERROR(__xludf.DUMMYFUNCTION("""COMPUTED_VALUE"""),"ELA")</f>
        <v>ELA</v>
      </c>
      <c r="N145" s="8">
        <f ca="1">IFERROR(__xludf.DUMMYFUNCTION("""COMPUTED_VALUE"""),7)</f>
        <v>7</v>
      </c>
      <c r="O145" s="8" t="str">
        <f ca="1">IFERROR(__xludf.DUMMYFUNCTION("""COMPUTED_VALUE"""),"Proficient I")</f>
        <v>Proficient I</v>
      </c>
      <c r="P145" s="8">
        <f ca="1">IFERROR(__xludf.DUMMYFUNCTION("""COMPUTED_VALUE"""),1)</f>
        <v>1</v>
      </c>
      <c r="Q145" s="8">
        <f ca="1">IFERROR(__xludf.DUMMYFUNCTION("""COMPUTED_VALUE"""),2)</f>
        <v>2</v>
      </c>
      <c r="R145" s="8">
        <f ca="1">IFERROR(__xludf.DUMMYFUNCTION("""COMPUTED_VALUE"""),2.5)</f>
        <v>2.5</v>
      </c>
      <c r="S145" s="8">
        <f ca="1">IFERROR(__xludf.DUMMYFUNCTION("""COMPUTED_VALUE"""),1.5)</f>
        <v>1.5</v>
      </c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</row>
    <row r="146" spans="1:31" ht="13.15" x14ac:dyDescent="0.4">
      <c r="A146" s="8"/>
      <c r="B146" s="8"/>
      <c r="C146" s="8"/>
      <c r="D146" s="8"/>
      <c r="E146" s="8" t="str">
        <f ca="1">IFERROR(__xludf.DUMMYFUNCTION("""COMPUTED_VALUE"""),"ECTOR")</f>
        <v>ECTOR</v>
      </c>
      <c r="F146" s="8" t="str">
        <f ca="1">IFERROR(__xludf.DUMMYFUNCTION("""COMPUTED_VALUE"""),"Core Subject With LSAE")</f>
        <v>Core Subject With LSAE</v>
      </c>
      <c r="G146" s="8" t="str">
        <f ca="1">IFERROR(__xludf.DUMMYFUNCTION("""COMPUTED_VALUE"""),"Stephanie Estrada")</f>
        <v>Stephanie Estrada</v>
      </c>
      <c r="H146" s="8" t="str">
        <f ca="1">IFERROR(__xludf.DUMMYFUNCTION("""COMPUTED_VALUE"""),"Kristin Albaugh")</f>
        <v>Kristin Albaugh</v>
      </c>
      <c r="I146" s="9">
        <f ca="1">IFERROR(__xludf.DUMMYFUNCTION("""COMPUTED_VALUE"""),45356)</f>
        <v>45356</v>
      </c>
      <c r="J146" s="9">
        <f ca="1">IFERROR(__xludf.DUMMYFUNCTION("""COMPUTED_VALUE"""),45356)</f>
        <v>45356</v>
      </c>
      <c r="K146" s="8" t="str">
        <f ca="1">IFERROR(__xludf.DUMMYFUNCTION("""COMPUTED_VALUE"""),"AM")</f>
        <v>AM</v>
      </c>
      <c r="L146" s="11" t="str">
        <f ca="1">IFERROR(__xludf.DUMMYFUNCTION("""COMPUTED_VALUE"""),"7th Grade")</f>
        <v>7th Grade</v>
      </c>
      <c r="M146" s="8" t="str">
        <f ca="1">IFERROR(__xludf.DUMMYFUNCTION("""COMPUTED_VALUE"""),"ELA")</f>
        <v>ELA</v>
      </c>
      <c r="N146" s="8">
        <f ca="1">IFERROR(__xludf.DUMMYFUNCTION("""COMPUTED_VALUE"""),8)</f>
        <v>8</v>
      </c>
      <c r="O146" s="8" t="str">
        <f ca="1">IFERROR(__xludf.DUMMYFUNCTION("""COMPUTED_VALUE"""),"Proficient II")</f>
        <v>Proficient II</v>
      </c>
      <c r="P146" s="8">
        <f ca="1">IFERROR(__xludf.DUMMYFUNCTION("""COMPUTED_VALUE"""),1)</f>
        <v>1</v>
      </c>
      <c r="Q146" s="8">
        <f ca="1">IFERROR(__xludf.DUMMYFUNCTION("""COMPUTED_VALUE"""),2.5)</f>
        <v>2.5</v>
      </c>
      <c r="R146" s="8">
        <f ca="1">IFERROR(__xludf.DUMMYFUNCTION("""COMPUTED_VALUE"""),3)</f>
        <v>3</v>
      </c>
      <c r="S146" s="8">
        <f ca="1">IFERROR(__xludf.DUMMYFUNCTION("""COMPUTED_VALUE"""),1.5)</f>
        <v>1.5</v>
      </c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</row>
    <row r="147" spans="1:31" ht="13.15" x14ac:dyDescent="0.4">
      <c r="A147" s="8"/>
      <c r="B147" s="8"/>
      <c r="C147" s="8"/>
      <c r="D147" s="8"/>
      <c r="E147" s="8" t="str">
        <f ca="1">IFERROR(__xludf.DUMMYFUNCTION("""COMPUTED_VALUE"""),"ECTOR")</f>
        <v>ECTOR</v>
      </c>
      <c r="F147" s="8" t="str">
        <f ca="1">IFERROR(__xludf.DUMMYFUNCTION("""COMPUTED_VALUE"""),"Core Subject With LSAE")</f>
        <v>Core Subject With LSAE</v>
      </c>
      <c r="G147" s="8" t="str">
        <f ca="1">IFERROR(__xludf.DUMMYFUNCTION("""COMPUTED_VALUE"""),"Jodie Brownd")</f>
        <v>Jodie Brownd</v>
      </c>
      <c r="H147" s="8" t="str">
        <f ca="1">IFERROR(__xludf.DUMMYFUNCTION("""COMPUTED_VALUE"""),"Kristin Albaugh")</f>
        <v>Kristin Albaugh</v>
      </c>
      <c r="I147" s="9">
        <f ca="1">IFERROR(__xludf.DUMMYFUNCTION("""COMPUTED_VALUE"""),45356)</f>
        <v>45356</v>
      </c>
      <c r="J147" s="9"/>
      <c r="K147" s="8" t="str">
        <f ca="1">IFERROR(__xludf.DUMMYFUNCTION("""COMPUTED_VALUE"""),"AM")</f>
        <v>AM</v>
      </c>
      <c r="L147" s="11" t="str">
        <f ca="1">IFERROR(__xludf.DUMMYFUNCTION("""COMPUTED_VALUE"""),"7th Grade")</f>
        <v>7th Grade</v>
      </c>
      <c r="M147" s="8" t="str">
        <f ca="1">IFERROR(__xludf.DUMMYFUNCTION("""COMPUTED_VALUE"""),"ELA")</f>
        <v>ELA</v>
      </c>
      <c r="N147" s="8">
        <f ca="1">IFERROR(__xludf.DUMMYFUNCTION("""COMPUTED_VALUE"""),6)</f>
        <v>6</v>
      </c>
      <c r="O147" s="8" t="str">
        <f ca="1">IFERROR(__xludf.DUMMYFUNCTION("""COMPUTED_VALUE"""),"Proficient I")</f>
        <v>Proficient I</v>
      </c>
      <c r="P147" s="8">
        <f ca="1">IFERROR(__xludf.DUMMYFUNCTION("""COMPUTED_VALUE"""),1)</f>
        <v>1</v>
      </c>
      <c r="Q147" s="8">
        <f ca="1">IFERROR(__xludf.DUMMYFUNCTION("""COMPUTED_VALUE"""),2)</f>
        <v>2</v>
      </c>
      <c r="R147" s="8">
        <f ca="1">IFERROR(__xludf.DUMMYFUNCTION("""COMPUTED_VALUE"""),2)</f>
        <v>2</v>
      </c>
      <c r="S147" s="8">
        <f ca="1">IFERROR(__xludf.DUMMYFUNCTION("""COMPUTED_VALUE"""),1)</f>
        <v>1</v>
      </c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</row>
    <row r="148" spans="1:31" ht="13.15" x14ac:dyDescent="0.4">
      <c r="A148" s="8"/>
      <c r="B148" s="8"/>
      <c r="C148" s="8"/>
      <c r="D148" s="8"/>
      <c r="E148" s="8" t="str">
        <f ca="1">IFERROR(__xludf.DUMMYFUNCTION("""COMPUTED_VALUE"""),"ECTOR")</f>
        <v>ECTOR</v>
      </c>
      <c r="F148" s="8" t="str">
        <f ca="1">IFERROR(__xludf.DUMMYFUNCTION("""COMPUTED_VALUE"""),"Learning Coach")</f>
        <v>Learning Coach</v>
      </c>
      <c r="G148" s="8" t="str">
        <f ca="1">IFERROR(__xludf.DUMMYFUNCTION("""COMPUTED_VALUE"""),"Zaida Rodriguez")</f>
        <v>Zaida Rodriguez</v>
      </c>
      <c r="H148" s="8" t="str">
        <f ca="1">IFERROR(__xludf.DUMMYFUNCTION("""COMPUTED_VALUE"""),"Kristin Albaugh")</f>
        <v>Kristin Albaugh</v>
      </c>
      <c r="I148" s="9">
        <f ca="1">IFERROR(__xludf.DUMMYFUNCTION("""COMPUTED_VALUE"""),45356)</f>
        <v>45356</v>
      </c>
      <c r="J148" s="9"/>
      <c r="K148" s="8" t="str">
        <f ca="1">IFERROR(__xludf.DUMMYFUNCTION("""COMPUTED_VALUE"""),"AM")</f>
        <v>AM</v>
      </c>
      <c r="L148" s="11"/>
      <c r="M148" s="8"/>
      <c r="N148" s="8">
        <f ca="1">IFERROR(__xludf.DUMMYFUNCTION("""COMPUTED_VALUE"""),8)</f>
        <v>8</v>
      </c>
      <c r="O148" s="8" t="str">
        <f ca="1">IFERROR(__xludf.DUMMYFUNCTION("""COMPUTED_VALUE"""),"Proficient II")</f>
        <v>Proficient II</v>
      </c>
      <c r="P148" s="8">
        <f ca="1">IFERROR(__xludf.DUMMYFUNCTION("""COMPUTED_VALUE"""),1.5)</f>
        <v>1.5</v>
      </c>
      <c r="Q148" s="8">
        <f ca="1">IFERROR(__xludf.DUMMYFUNCTION("""COMPUTED_VALUE"""),4)</f>
        <v>4</v>
      </c>
      <c r="R148" s="8">
        <f ca="1">IFERROR(__xludf.DUMMYFUNCTION("""COMPUTED_VALUE"""),2.5)</f>
        <v>2.5</v>
      </c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</row>
    <row r="149" spans="1:31" ht="13.15" x14ac:dyDescent="0.4">
      <c r="A149" s="8"/>
      <c r="B149" s="8"/>
      <c r="C149" s="8"/>
      <c r="D149" s="8"/>
      <c r="E149" s="8" t="str">
        <f ca="1">IFERROR(__xludf.DUMMYFUNCTION("""COMPUTED_VALUE"""),"ECTOR")</f>
        <v>ECTOR</v>
      </c>
      <c r="F149" s="8" t="str">
        <f ca="1">IFERROR(__xludf.DUMMYFUNCTION("""COMPUTED_VALUE"""),"Learning Coach")</f>
        <v>Learning Coach</v>
      </c>
      <c r="G149" s="8" t="str">
        <f ca="1">IFERROR(__xludf.DUMMYFUNCTION("""COMPUTED_VALUE"""),"Destiny Vargas")</f>
        <v>Destiny Vargas</v>
      </c>
      <c r="H149" s="8" t="str">
        <f ca="1">IFERROR(__xludf.DUMMYFUNCTION("""COMPUTED_VALUE"""),"Kristin Albaugh")</f>
        <v>Kristin Albaugh</v>
      </c>
      <c r="I149" s="9">
        <f ca="1">IFERROR(__xludf.DUMMYFUNCTION("""COMPUTED_VALUE"""),45356)</f>
        <v>45356</v>
      </c>
      <c r="J149" s="9">
        <f ca="1">IFERROR(__xludf.DUMMYFUNCTION("""COMPUTED_VALUE"""),45356)</f>
        <v>45356</v>
      </c>
      <c r="K149" s="8" t="str">
        <f ca="1">IFERROR(__xludf.DUMMYFUNCTION("""COMPUTED_VALUE"""),"AM")</f>
        <v>AM</v>
      </c>
      <c r="L149" s="8"/>
      <c r="M149" s="8"/>
      <c r="N149" s="8">
        <f ca="1">IFERROR(__xludf.DUMMYFUNCTION("""COMPUTED_VALUE"""),8.5)</f>
        <v>8.5</v>
      </c>
      <c r="O149" s="8" t="str">
        <f ca="1">IFERROR(__xludf.DUMMYFUNCTION("""COMPUTED_VALUE"""),"Proficient II")</f>
        <v>Proficient II</v>
      </c>
      <c r="P149" s="8">
        <f ca="1">IFERROR(__xludf.DUMMYFUNCTION("""COMPUTED_VALUE"""),1.5)</f>
        <v>1.5</v>
      </c>
      <c r="Q149" s="8">
        <f ca="1">IFERROR(__xludf.DUMMYFUNCTION("""COMPUTED_VALUE"""),4.5)</f>
        <v>4.5</v>
      </c>
      <c r="R149" s="8">
        <f ca="1">IFERROR(__xludf.DUMMYFUNCTION("""COMPUTED_VALUE"""),2.5)</f>
        <v>2.5</v>
      </c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</row>
    <row r="150" spans="1:31" ht="13.15" x14ac:dyDescent="0.4">
      <c r="A150" s="8"/>
      <c r="B150" s="8"/>
      <c r="C150" s="8"/>
      <c r="D150" s="8"/>
      <c r="E150" s="8" t="str">
        <f ca="1">IFERROR(__xludf.DUMMYFUNCTION("""COMPUTED_VALUE"""),"ECTOR")</f>
        <v>ECTOR</v>
      </c>
      <c r="F150" s="8" t="str">
        <f ca="1">IFERROR(__xludf.DUMMYFUNCTION("""COMPUTED_VALUE"""),"Learning Coach")</f>
        <v>Learning Coach</v>
      </c>
      <c r="G150" s="8" t="str">
        <f ca="1">IFERROR(__xludf.DUMMYFUNCTION("""COMPUTED_VALUE"""),"Dru Taylor")</f>
        <v>Dru Taylor</v>
      </c>
      <c r="H150" s="8" t="str">
        <f ca="1">IFERROR(__xludf.DUMMYFUNCTION("""COMPUTED_VALUE"""),"Kristin Albaugh")</f>
        <v>Kristin Albaugh</v>
      </c>
      <c r="I150" s="9">
        <f ca="1">IFERROR(__xludf.DUMMYFUNCTION("""COMPUTED_VALUE"""),45356)</f>
        <v>45356</v>
      </c>
      <c r="J150" s="9">
        <f ca="1">IFERROR(__xludf.DUMMYFUNCTION("""COMPUTED_VALUE"""),45356)</f>
        <v>45356</v>
      </c>
      <c r="K150" s="8" t="str">
        <f ca="1">IFERROR(__xludf.DUMMYFUNCTION("""COMPUTED_VALUE"""),"AM")</f>
        <v>AM</v>
      </c>
      <c r="L150" s="8"/>
      <c r="M150" s="8"/>
      <c r="N150" s="8">
        <f ca="1">IFERROR(__xludf.DUMMYFUNCTION("""COMPUTED_VALUE"""),8)</f>
        <v>8</v>
      </c>
      <c r="O150" s="8" t="str">
        <f ca="1">IFERROR(__xludf.DUMMYFUNCTION("""COMPUTED_VALUE"""),"Proficient II")</f>
        <v>Proficient II</v>
      </c>
      <c r="P150" s="8">
        <f ca="1">IFERROR(__xludf.DUMMYFUNCTION("""COMPUTED_VALUE"""),1.5)</f>
        <v>1.5</v>
      </c>
      <c r="Q150" s="8">
        <f ca="1">IFERROR(__xludf.DUMMYFUNCTION("""COMPUTED_VALUE"""),4)</f>
        <v>4</v>
      </c>
      <c r="R150" s="8">
        <f ca="1">IFERROR(__xludf.DUMMYFUNCTION("""COMPUTED_VALUE"""),2.5)</f>
        <v>2.5</v>
      </c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</row>
    <row r="151" spans="1:31" ht="13.15" x14ac:dyDescent="0.4">
      <c r="A151" s="8"/>
      <c r="B151" s="8"/>
      <c r="C151" s="8"/>
      <c r="D151" s="8"/>
      <c r="E151" s="8" t="str">
        <f ca="1">IFERROR(__xludf.DUMMYFUNCTION("""COMPUTED_VALUE"""),"ECTOR")</f>
        <v>ECTOR</v>
      </c>
      <c r="F151" s="8" t="str">
        <f ca="1">IFERROR(__xludf.DUMMYFUNCTION("""COMPUTED_VALUE"""),"Learning Coach")</f>
        <v>Learning Coach</v>
      </c>
      <c r="G151" s="8" t="str">
        <f ca="1">IFERROR(__xludf.DUMMYFUNCTION("""COMPUTED_VALUE"""),"Michael White")</f>
        <v>Michael White</v>
      </c>
      <c r="H151" s="8" t="str">
        <f ca="1">IFERROR(__xludf.DUMMYFUNCTION("""COMPUTED_VALUE"""),"Kristin Albaugh")</f>
        <v>Kristin Albaugh</v>
      </c>
      <c r="I151" s="9">
        <f ca="1">IFERROR(__xludf.DUMMYFUNCTION("""COMPUTED_VALUE"""),45356)</f>
        <v>45356</v>
      </c>
      <c r="J151" s="9"/>
      <c r="K151" s="8" t="str">
        <f ca="1">IFERROR(__xludf.DUMMYFUNCTION("""COMPUTED_VALUE"""),"AM")</f>
        <v>AM</v>
      </c>
      <c r="L151" s="8"/>
      <c r="M151" s="8"/>
      <c r="N151" s="8">
        <f ca="1">IFERROR(__xludf.DUMMYFUNCTION("""COMPUTED_VALUE"""),8)</f>
        <v>8</v>
      </c>
      <c r="O151" s="8" t="str">
        <f ca="1">IFERROR(__xludf.DUMMYFUNCTION("""COMPUTED_VALUE"""),"Proficient II")</f>
        <v>Proficient II</v>
      </c>
      <c r="P151" s="8">
        <f ca="1">IFERROR(__xludf.DUMMYFUNCTION("""COMPUTED_VALUE"""),1.5)</f>
        <v>1.5</v>
      </c>
      <c r="Q151" s="8">
        <f ca="1">IFERROR(__xludf.DUMMYFUNCTION("""COMPUTED_VALUE"""),4)</f>
        <v>4</v>
      </c>
      <c r="R151" s="8">
        <f ca="1">IFERROR(__xludf.DUMMYFUNCTION("""COMPUTED_VALUE"""),2.5)</f>
        <v>2.5</v>
      </c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</row>
    <row r="152" spans="1:31" ht="13.15" x14ac:dyDescent="0.4">
      <c r="A152" s="8"/>
      <c r="B152" s="8"/>
      <c r="C152" s="8"/>
      <c r="D152" s="8"/>
      <c r="E152" s="8" t="str">
        <f ca="1">IFERROR(__xludf.DUMMYFUNCTION("""COMPUTED_VALUE"""),"ECTOR")</f>
        <v>ECTOR</v>
      </c>
      <c r="F152" s="8" t="str">
        <f ca="1">IFERROR(__xludf.DUMMYFUNCTION("""COMPUTED_VALUE"""),"Core Subject With LSAE")</f>
        <v>Core Subject With LSAE</v>
      </c>
      <c r="G152" s="8" t="str">
        <f ca="1">IFERROR(__xludf.DUMMYFUNCTION("""COMPUTED_VALUE"""),"Melissa Sanders")</f>
        <v>Melissa Sanders</v>
      </c>
      <c r="H152" s="8" t="str">
        <f ca="1">IFERROR(__xludf.DUMMYFUNCTION("""COMPUTED_VALUE"""),"Kristin Albaugh")</f>
        <v>Kristin Albaugh</v>
      </c>
      <c r="I152" s="9">
        <f ca="1">IFERROR(__xludf.DUMMYFUNCTION("""COMPUTED_VALUE"""),45358)</f>
        <v>45358</v>
      </c>
      <c r="J152" s="9"/>
      <c r="K152" s="8" t="str">
        <f ca="1">IFERROR(__xludf.DUMMYFUNCTION("""COMPUTED_VALUE"""),"AM")</f>
        <v>AM</v>
      </c>
      <c r="L152" s="8" t="str">
        <f ca="1">IFERROR(__xludf.DUMMYFUNCTION("""COMPUTED_VALUE"""),"6th Grade")</f>
        <v>6th Grade</v>
      </c>
      <c r="M152" s="8" t="str">
        <f ca="1">IFERROR(__xludf.DUMMYFUNCTION("""COMPUTED_VALUE"""),"Social Studies")</f>
        <v>Social Studies</v>
      </c>
      <c r="N152" s="8">
        <f ca="1">IFERROR(__xludf.DUMMYFUNCTION("""COMPUTED_VALUE"""),7.5)</f>
        <v>7.5</v>
      </c>
      <c r="O152" s="8" t="str">
        <f ca="1">IFERROR(__xludf.DUMMYFUNCTION("""COMPUTED_VALUE"""),"Proficient I")</f>
        <v>Proficient I</v>
      </c>
      <c r="P152" s="8">
        <f ca="1">IFERROR(__xludf.DUMMYFUNCTION("""COMPUTED_VALUE"""),1)</f>
        <v>1</v>
      </c>
      <c r="Q152" s="8">
        <f ca="1">IFERROR(__xludf.DUMMYFUNCTION("""COMPUTED_VALUE"""),2)</f>
        <v>2</v>
      </c>
      <c r="R152" s="8">
        <f ca="1">IFERROR(__xludf.DUMMYFUNCTION("""COMPUTED_VALUE"""),3)</f>
        <v>3</v>
      </c>
      <c r="S152" s="8">
        <f ca="1">IFERROR(__xludf.DUMMYFUNCTION("""COMPUTED_VALUE"""),1.5)</f>
        <v>1.5</v>
      </c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</row>
    <row r="153" spans="1:31" ht="13.15" x14ac:dyDescent="0.4">
      <c r="A153" s="8"/>
      <c r="B153" s="8"/>
      <c r="C153" s="8"/>
      <c r="D153" s="8"/>
      <c r="E153" s="8" t="str">
        <f ca="1">IFERROR(__xludf.DUMMYFUNCTION("""COMPUTED_VALUE"""),"ECTOR")</f>
        <v>ECTOR</v>
      </c>
      <c r="F153" s="8" t="str">
        <f ca="1">IFERROR(__xludf.DUMMYFUNCTION("""COMPUTED_VALUE"""),"Learning Coach -- Sub")</f>
        <v>Learning Coach -- Sub</v>
      </c>
      <c r="G153" s="8" t="str">
        <f ca="1">IFERROR(__xludf.DUMMYFUNCTION("""COMPUTED_VALUE"""),"Stephanie McCoy")</f>
        <v>Stephanie McCoy</v>
      </c>
      <c r="H153" s="8" t="str">
        <f ca="1">IFERROR(__xludf.DUMMYFUNCTION("""COMPUTED_VALUE"""),"Kristin Albaugh")</f>
        <v>Kristin Albaugh</v>
      </c>
      <c r="I153" s="9">
        <f ca="1">IFERROR(__xludf.DUMMYFUNCTION("""COMPUTED_VALUE"""),45358)</f>
        <v>45358</v>
      </c>
      <c r="J153" s="9">
        <f ca="1">IFERROR(__xludf.DUMMYFUNCTION("""COMPUTED_VALUE"""),45358)</f>
        <v>45358</v>
      </c>
      <c r="K153" s="8" t="str">
        <f ca="1">IFERROR(__xludf.DUMMYFUNCTION("""COMPUTED_VALUE"""),"AM")</f>
        <v>AM</v>
      </c>
      <c r="L153" s="8" t="str">
        <f ca="1">IFERROR(__xludf.DUMMYFUNCTION("""COMPUTED_VALUE"""),"6th Grade")</f>
        <v>6th Grade</v>
      </c>
      <c r="M153" s="8" t="str">
        <f ca="1">IFERROR(__xludf.DUMMYFUNCTION("""COMPUTED_VALUE"""),"Math")</f>
        <v>Math</v>
      </c>
      <c r="N153" s="8">
        <f ca="1">IFERROR(__xludf.DUMMYFUNCTION("""COMPUTED_VALUE"""),7)</f>
        <v>7</v>
      </c>
      <c r="O153" s="8" t="str">
        <f ca="1">IFERROR(__xludf.DUMMYFUNCTION("""COMPUTED_VALUE"""),"Proficient I")</f>
        <v>Proficient I</v>
      </c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</row>
    <row r="154" spans="1:31" ht="13.15" x14ac:dyDescent="0.4">
      <c r="A154" s="8"/>
      <c r="B154" s="8"/>
      <c r="C154" s="8"/>
      <c r="D154" s="8"/>
      <c r="E154" s="8" t="str">
        <f ca="1">IFERROR(__xludf.DUMMYFUNCTION("""COMPUTED_VALUE"""),"ECTOR")</f>
        <v>ECTOR</v>
      </c>
      <c r="F154" s="8" t="str">
        <f ca="1">IFERROR(__xludf.DUMMYFUNCTION("""COMPUTED_VALUE"""),"Core Subject With LSAE")</f>
        <v>Core Subject With LSAE</v>
      </c>
      <c r="G154" s="8" t="str">
        <f ca="1">IFERROR(__xludf.DUMMYFUNCTION("""COMPUTED_VALUE"""),"Cristina Gonzalez")</f>
        <v>Cristina Gonzalez</v>
      </c>
      <c r="H154" s="8" t="str">
        <f ca="1">IFERROR(__xludf.DUMMYFUNCTION("""COMPUTED_VALUE"""),"Michael Garza")</f>
        <v>Michael Garza</v>
      </c>
      <c r="I154" s="9">
        <f ca="1">IFERROR(__xludf.DUMMYFUNCTION("""COMPUTED_VALUE"""),45356)</f>
        <v>45356</v>
      </c>
      <c r="J154" s="9">
        <f ca="1">IFERROR(__xludf.DUMMYFUNCTION("""COMPUTED_VALUE"""),45357)</f>
        <v>45357</v>
      </c>
      <c r="K154" s="8" t="str">
        <f ca="1">IFERROR(__xludf.DUMMYFUNCTION("""COMPUTED_VALUE"""),"AM")</f>
        <v>AM</v>
      </c>
      <c r="L154" s="8" t="str">
        <f ca="1">IFERROR(__xludf.DUMMYFUNCTION("""COMPUTED_VALUE"""),"8th Grade")</f>
        <v>8th Grade</v>
      </c>
      <c r="M154" s="8" t="str">
        <f ca="1">IFERROR(__xludf.DUMMYFUNCTION("""COMPUTED_VALUE"""),"ELA")</f>
        <v>ELA</v>
      </c>
      <c r="N154" s="8">
        <f ca="1">IFERROR(__xludf.DUMMYFUNCTION("""COMPUTED_VALUE"""),9)</f>
        <v>9</v>
      </c>
      <c r="O154" s="8" t="str">
        <f ca="1">IFERROR(__xludf.DUMMYFUNCTION("""COMPUTED_VALUE"""),"Proficient II")</f>
        <v>Proficient II</v>
      </c>
      <c r="P154" s="8">
        <f ca="1">IFERROR(__xludf.DUMMYFUNCTION("""COMPUTED_VALUE"""),1)</f>
        <v>1</v>
      </c>
      <c r="Q154" s="8">
        <f ca="1">IFERROR(__xludf.DUMMYFUNCTION("""COMPUTED_VALUE"""),3)</f>
        <v>3</v>
      </c>
      <c r="R154" s="8">
        <f ca="1">IFERROR(__xludf.DUMMYFUNCTION("""COMPUTED_VALUE"""),4)</f>
        <v>4</v>
      </c>
      <c r="S154" s="8">
        <f ca="1">IFERROR(__xludf.DUMMYFUNCTION("""COMPUTED_VALUE"""),1)</f>
        <v>1</v>
      </c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</row>
    <row r="155" spans="1:31" ht="13.15" x14ac:dyDescent="0.4">
      <c r="A155" s="8"/>
      <c r="B155" s="8"/>
      <c r="C155" s="8"/>
      <c r="D155" s="8"/>
      <c r="E155" s="8" t="str">
        <f ca="1">IFERROR(__xludf.DUMMYFUNCTION("""COMPUTED_VALUE"""),"ECTOR")</f>
        <v>ECTOR</v>
      </c>
      <c r="F155" s="8" t="str">
        <f ca="1">IFERROR(__xludf.DUMMYFUNCTION("""COMPUTED_VALUE"""),"Core Subject With LSAE")</f>
        <v>Core Subject With LSAE</v>
      </c>
      <c r="G155" s="8" t="str">
        <f ca="1">IFERROR(__xludf.DUMMYFUNCTION("""COMPUTED_VALUE"""),"Alexis McLeod")</f>
        <v>Alexis McLeod</v>
      </c>
      <c r="H155" s="8" t="str">
        <f ca="1">IFERROR(__xludf.DUMMYFUNCTION("""COMPUTED_VALUE"""),"Michael Garza")</f>
        <v>Michael Garza</v>
      </c>
      <c r="I155" s="9">
        <f ca="1">IFERROR(__xludf.DUMMYFUNCTION("""COMPUTED_VALUE"""),45357)</f>
        <v>45357</v>
      </c>
      <c r="J155" s="9"/>
      <c r="K155" s="8" t="str">
        <f ca="1">IFERROR(__xludf.DUMMYFUNCTION("""COMPUTED_VALUE"""),"PM")</f>
        <v>PM</v>
      </c>
      <c r="L155" s="11" t="str">
        <f ca="1">IFERROR(__xludf.DUMMYFUNCTION("""COMPUTED_VALUE"""),"8th Grade")</f>
        <v>8th Grade</v>
      </c>
      <c r="M155" s="8" t="str">
        <f ca="1">IFERROR(__xludf.DUMMYFUNCTION("""COMPUTED_VALUE"""),"Science")</f>
        <v>Science</v>
      </c>
      <c r="N155" s="8">
        <f ca="1">IFERROR(__xludf.DUMMYFUNCTION("""COMPUTED_VALUE"""),8)</f>
        <v>8</v>
      </c>
      <c r="O155" s="8" t="str">
        <f ca="1">IFERROR(__xludf.DUMMYFUNCTION("""COMPUTED_VALUE"""),"Proficient II")</f>
        <v>Proficient II</v>
      </c>
      <c r="P155" s="8">
        <f ca="1">IFERROR(__xludf.DUMMYFUNCTION("""COMPUTED_VALUE"""),1)</f>
        <v>1</v>
      </c>
      <c r="Q155" s="8">
        <f ca="1">IFERROR(__xludf.DUMMYFUNCTION("""COMPUTED_VALUE"""),2.5)</f>
        <v>2.5</v>
      </c>
      <c r="R155" s="8">
        <f ca="1">IFERROR(__xludf.DUMMYFUNCTION("""COMPUTED_VALUE"""),3.5)</f>
        <v>3.5</v>
      </c>
      <c r="S155" s="8">
        <f ca="1">IFERROR(__xludf.DUMMYFUNCTION("""COMPUTED_VALUE"""),1)</f>
        <v>1</v>
      </c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</row>
    <row r="156" spans="1:31" ht="13.15" x14ac:dyDescent="0.4">
      <c r="A156" s="8"/>
      <c r="B156" s="8"/>
      <c r="C156" s="8"/>
      <c r="D156" s="8"/>
      <c r="E156" s="8" t="str">
        <f ca="1">IFERROR(__xludf.DUMMYFUNCTION("""COMPUTED_VALUE"""),"ECTOR")</f>
        <v>ECTOR</v>
      </c>
      <c r="F156" s="8" t="str">
        <f ca="1">IFERROR(__xludf.DUMMYFUNCTION("""COMPUTED_VALUE"""),"Core Subject With LSAE")</f>
        <v>Core Subject With LSAE</v>
      </c>
      <c r="G156" s="8" t="str">
        <f ca="1">IFERROR(__xludf.DUMMYFUNCTION("""COMPUTED_VALUE"""),"Taylor McCall")</f>
        <v>Taylor McCall</v>
      </c>
      <c r="H156" s="8" t="str">
        <f ca="1">IFERROR(__xludf.DUMMYFUNCTION("""COMPUTED_VALUE"""),"Michael Garza")</f>
        <v>Michael Garza</v>
      </c>
      <c r="I156" s="9">
        <f ca="1">IFERROR(__xludf.DUMMYFUNCTION("""COMPUTED_VALUE"""),45357)</f>
        <v>45357</v>
      </c>
      <c r="J156" s="9">
        <f ca="1">IFERROR(__xludf.DUMMYFUNCTION("""COMPUTED_VALUE"""),45357)</f>
        <v>45357</v>
      </c>
      <c r="K156" s="8" t="str">
        <f ca="1">IFERROR(__xludf.DUMMYFUNCTION("""COMPUTED_VALUE"""),"PM")</f>
        <v>PM</v>
      </c>
      <c r="L156" s="11" t="str">
        <f ca="1">IFERROR(__xludf.DUMMYFUNCTION("""COMPUTED_VALUE"""),"8th Grade")</f>
        <v>8th Grade</v>
      </c>
      <c r="M156" s="8" t="str">
        <f ca="1">IFERROR(__xludf.DUMMYFUNCTION("""COMPUTED_VALUE"""),"ELA")</f>
        <v>ELA</v>
      </c>
      <c r="N156" s="8">
        <f ca="1">IFERROR(__xludf.DUMMYFUNCTION("""COMPUTED_VALUE"""),8)</f>
        <v>8</v>
      </c>
      <c r="O156" s="8" t="str">
        <f ca="1">IFERROR(__xludf.DUMMYFUNCTION("""COMPUTED_VALUE"""),"Proficient II")</f>
        <v>Proficient II</v>
      </c>
      <c r="P156" s="8">
        <f ca="1">IFERROR(__xludf.DUMMYFUNCTION("""COMPUTED_VALUE"""),1)</f>
        <v>1</v>
      </c>
      <c r="Q156" s="8">
        <f ca="1">IFERROR(__xludf.DUMMYFUNCTION("""COMPUTED_VALUE"""),2.5)</f>
        <v>2.5</v>
      </c>
      <c r="R156" s="8">
        <f ca="1">IFERROR(__xludf.DUMMYFUNCTION("""COMPUTED_VALUE"""),3.5)</f>
        <v>3.5</v>
      </c>
      <c r="S156" s="8">
        <f ca="1">IFERROR(__xludf.DUMMYFUNCTION("""COMPUTED_VALUE"""),1)</f>
        <v>1</v>
      </c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</row>
    <row r="157" spans="1:31" ht="13.15" x14ac:dyDescent="0.4">
      <c r="A157" s="8"/>
      <c r="B157" s="8"/>
      <c r="C157" s="8"/>
      <c r="D157" s="8"/>
      <c r="E157" s="8" t="str">
        <f ca="1">IFERROR(__xludf.DUMMYFUNCTION("""COMPUTED_VALUE"""),"ECTOR")</f>
        <v>ECTOR</v>
      </c>
      <c r="F157" s="8" t="str">
        <f ca="1">IFERROR(__xludf.DUMMYFUNCTION("""COMPUTED_VALUE"""),"Core Subject With LSAE")</f>
        <v>Core Subject With LSAE</v>
      </c>
      <c r="G157" s="8" t="str">
        <f ca="1">IFERROR(__xludf.DUMMYFUNCTION("""COMPUTED_VALUE"""),"Juan Ibarra")</f>
        <v>Juan Ibarra</v>
      </c>
      <c r="H157" s="8" t="str">
        <f ca="1">IFERROR(__xludf.DUMMYFUNCTION("""COMPUTED_VALUE"""),"Michael Garza")</f>
        <v>Michael Garza</v>
      </c>
      <c r="I157" s="9">
        <f ca="1">IFERROR(__xludf.DUMMYFUNCTION("""COMPUTED_VALUE"""),45357)</f>
        <v>45357</v>
      </c>
      <c r="J157" s="9"/>
      <c r="K157" s="8" t="str">
        <f ca="1">IFERROR(__xludf.DUMMYFUNCTION("""COMPUTED_VALUE"""),"AM")</f>
        <v>AM</v>
      </c>
      <c r="L157" s="8" t="str">
        <f ca="1">IFERROR(__xludf.DUMMYFUNCTION("""COMPUTED_VALUE"""),"8th Grade")</f>
        <v>8th Grade</v>
      </c>
      <c r="M157" s="8" t="str">
        <f ca="1">IFERROR(__xludf.DUMMYFUNCTION("""COMPUTED_VALUE"""),"Science")</f>
        <v>Science</v>
      </c>
      <c r="N157" s="8">
        <f ca="1">IFERROR(__xludf.DUMMYFUNCTION("""COMPUTED_VALUE"""),9)</f>
        <v>9</v>
      </c>
      <c r="O157" s="8" t="str">
        <f ca="1">IFERROR(__xludf.DUMMYFUNCTION("""COMPUTED_VALUE"""),"Proficient II")</f>
        <v>Proficient II</v>
      </c>
      <c r="P157" s="8">
        <f ca="1">IFERROR(__xludf.DUMMYFUNCTION("""COMPUTED_VALUE"""),1)</f>
        <v>1</v>
      </c>
      <c r="Q157" s="8">
        <f ca="1">IFERROR(__xludf.DUMMYFUNCTION("""COMPUTED_VALUE"""),3)</f>
        <v>3</v>
      </c>
      <c r="R157" s="8">
        <f ca="1">IFERROR(__xludf.DUMMYFUNCTION("""COMPUTED_VALUE"""),4)</f>
        <v>4</v>
      </c>
      <c r="S157" s="8">
        <f ca="1">IFERROR(__xludf.DUMMYFUNCTION("""COMPUTED_VALUE"""),1)</f>
        <v>1</v>
      </c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</row>
    <row r="158" spans="1:31" ht="13.15" x14ac:dyDescent="0.4">
      <c r="A158" s="8"/>
      <c r="B158" s="8"/>
      <c r="C158" s="8"/>
      <c r="D158" s="8"/>
      <c r="E158" s="8" t="str">
        <f ca="1">IFERROR(__xludf.DUMMYFUNCTION("""COMPUTED_VALUE"""),"ECTOR")</f>
        <v>ECTOR</v>
      </c>
      <c r="F158" s="8" t="str">
        <f ca="1">IFERROR(__xludf.DUMMYFUNCTION("""COMPUTED_VALUE"""),"Core Subject With LSAE")</f>
        <v>Core Subject With LSAE</v>
      </c>
      <c r="G158" s="8" t="str">
        <f ca="1">IFERROR(__xludf.DUMMYFUNCTION("""COMPUTED_VALUE"""),"Marilou Duran")</f>
        <v>Marilou Duran</v>
      </c>
      <c r="H158" s="8" t="str">
        <f ca="1">IFERROR(__xludf.DUMMYFUNCTION("""COMPUTED_VALUE"""),"Michael Garza")</f>
        <v>Michael Garza</v>
      </c>
      <c r="I158" s="9">
        <f ca="1">IFERROR(__xludf.DUMMYFUNCTION("""COMPUTED_VALUE"""),45358)</f>
        <v>45358</v>
      </c>
      <c r="J158" s="9">
        <f ca="1">IFERROR(__xludf.DUMMYFUNCTION("""COMPUTED_VALUE"""),45358)</f>
        <v>45358</v>
      </c>
      <c r="K158" s="8" t="str">
        <f ca="1">IFERROR(__xludf.DUMMYFUNCTION("""COMPUTED_VALUE"""),"AM")</f>
        <v>AM</v>
      </c>
      <c r="L158" s="8" t="str">
        <f ca="1">IFERROR(__xludf.DUMMYFUNCTION("""COMPUTED_VALUE"""),"8th Grade")</f>
        <v>8th Grade</v>
      </c>
      <c r="M158" s="8" t="str">
        <f ca="1">IFERROR(__xludf.DUMMYFUNCTION("""COMPUTED_VALUE"""),"ELA")</f>
        <v>ELA</v>
      </c>
      <c r="N158" s="8">
        <f ca="1">IFERROR(__xludf.DUMMYFUNCTION("""COMPUTED_VALUE"""),9)</f>
        <v>9</v>
      </c>
      <c r="O158" s="8" t="str">
        <f ca="1">IFERROR(__xludf.DUMMYFUNCTION("""COMPUTED_VALUE"""),"Proficient II")</f>
        <v>Proficient II</v>
      </c>
      <c r="P158" s="8">
        <f ca="1">IFERROR(__xludf.DUMMYFUNCTION("""COMPUTED_VALUE"""),1)</f>
        <v>1</v>
      </c>
      <c r="Q158" s="8">
        <f ca="1">IFERROR(__xludf.DUMMYFUNCTION("""COMPUTED_VALUE"""),3)</f>
        <v>3</v>
      </c>
      <c r="R158" s="8">
        <f ca="1">IFERROR(__xludf.DUMMYFUNCTION("""COMPUTED_VALUE"""),4)</f>
        <v>4</v>
      </c>
      <c r="S158" s="8">
        <f ca="1">IFERROR(__xludf.DUMMYFUNCTION("""COMPUTED_VALUE"""),1)</f>
        <v>1</v>
      </c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</row>
    <row r="159" spans="1:31" ht="13.15" x14ac:dyDescent="0.4">
      <c r="A159" s="8"/>
      <c r="B159" s="8"/>
      <c r="C159" s="8"/>
      <c r="D159" s="8"/>
      <c r="E159" s="8" t="str">
        <f ca="1">IFERROR(__xludf.DUMMYFUNCTION("""COMPUTED_VALUE"""),"ECTOR")</f>
        <v>ECTOR</v>
      </c>
      <c r="F159" s="8" t="str">
        <f ca="1">IFERROR(__xludf.DUMMYFUNCTION("""COMPUTED_VALUE"""),"Core Subject With LSAE")</f>
        <v>Core Subject With LSAE</v>
      </c>
      <c r="G159" s="8" t="str">
        <f ca="1">IFERROR(__xludf.DUMMYFUNCTION("""COMPUTED_VALUE"""),"Elizabeth Rochard")</f>
        <v>Elizabeth Rochard</v>
      </c>
      <c r="H159" s="8" t="str">
        <f ca="1">IFERROR(__xludf.DUMMYFUNCTION("""COMPUTED_VALUE"""),"Michael Garza")</f>
        <v>Michael Garza</v>
      </c>
      <c r="I159" s="9">
        <f ca="1">IFERROR(__xludf.DUMMYFUNCTION("""COMPUTED_VALUE"""),45358)</f>
        <v>45358</v>
      </c>
      <c r="J159" s="9"/>
      <c r="K159" s="8" t="str">
        <f ca="1">IFERROR(__xludf.DUMMYFUNCTION("""COMPUTED_VALUE"""),"PM")</f>
        <v>PM</v>
      </c>
      <c r="L159" s="8" t="str">
        <f ca="1">IFERROR(__xludf.DUMMYFUNCTION("""COMPUTED_VALUE"""),"8th Grade")</f>
        <v>8th Grade</v>
      </c>
      <c r="M159" s="8" t="str">
        <f ca="1">IFERROR(__xludf.DUMMYFUNCTION("""COMPUTED_VALUE"""),"ELA")</f>
        <v>ELA</v>
      </c>
      <c r="N159" s="8">
        <f ca="1">IFERROR(__xludf.DUMMYFUNCTION("""COMPUTED_VALUE"""),8)</f>
        <v>8</v>
      </c>
      <c r="O159" s="8" t="str">
        <f ca="1">IFERROR(__xludf.DUMMYFUNCTION("""COMPUTED_VALUE"""),"Proficient II")</f>
        <v>Proficient II</v>
      </c>
      <c r="P159" s="8">
        <f ca="1">IFERROR(__xludf.DUMMYFUNCTION("""COMPUTED_VALUE"""),1)</f>
        <v>1</v>
      </c>
      <c r="Q159" s="8">
        <f ca="1">IFERROR(__xludf.DUMMYFUNCTION("""COMPUTED_VALUE"""),2)</f>
        <v>2</v>
      </c>
      <c r="R159" s="8">
        <f ca="1">IFERROR(__xludf.DUMMYFUNCTION("""COMPUTED_VALUE"""),4)</f>
        <v>4</v>
      </c>
      <c r="S159" s="8">
        <f ca="1">IFERROR(__xludf.DUMMYFUNCTION("""COMPUTED_VALUE"""),1)</f>
        <v>1</v>
      </c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</row>
    <row r="160" spans="1:31" ht="13.15" x14ac:dyDescent="0.4">
      <c r="A160" s="8"/>
      <c r="B160" s="8"/>
      <c r="C160" s="8"/>
      <c r="D160" s="8"/>
      <c r="E160" s="8" t="str">
        <f ca="1">IFERROR(__xludf.DUMMYFUNCTION("""COMPUTED_VALUE"""),"ECTOR")</f>
        <v>ECTOR</v>
      </c>
      <c r="F160" s="8" t="str">
        <f ca="1">IFERROR(__xludf.DUMMYFUNCTION("""COMPUTED_VALUE"""),"Learning Coach")</f>
        <v>Learning Coach</v>
      </c>
      <c r="G160" s="8" t="str">
        <f ca="1">IFERROR(__xludf.DUMMYFUNCTION("""COMPUTED_VALUE"""),"Dale Arnold")</f>
        <v>Dale Arnold</v>
      </c>
      <c r="H160" s="8" t="str">
        <f ca="1">IFERROR(__xludf.DUMMYFUNCTION("""COMPUTED_VALUE"""),"Michael Garza")</f>
        <v>Michael Garza</v>
      </c>
      <c r="I160" s="9">
        <f ca="1">IFERROR(__xludf.DUMMYFUNCTION("""COMPUTED_VALUE"""),45358)</f>
        <v>45358</v>
      </c>
      <c r="J160" s="9"/>
      <c r="K160" s="8" t="str">
        <f ca="1">IFERROR(__xludf.DUMMYFUNCTION("""COMPUTED_VALUE"""),"AM")</f>
        <v>AM</v>
      </c>
      <c r="L160" s="8"/>
      <c r="M160" s="8"/>
      <c r="N160" s="8">
        <f ca="1">IFERROR(__xludf.DUMMYFUNCTION("""COMPUTED_VALUE"""),8)</f>
        <v>8</v>
      </c>
      <c r="O160" s="8" t="str">
        <f ca="1">IFERROR(__xludf.DUMMYFUNCTION("""COMPUTED_VALUE"""),"Proficient II")</f>
        <v>Proficient II</v>
      </c>
      <c r="P160" s="8">
        <f ca="1">IFERROR(__xludf.DUMMYFUNCTION("""COMPUTED_VALUE"""),1.5)</f>
        <v>1.5</v>
      </c>
      <c r="Q160" s="8">
        <f ca="1">IFERROR(__xludf.DUMMYFUNCTION("""COMPUTED_VALUE"""),4)</f>
        <v>4</v>
      </c>
      <c r="R160" s="8">
        <f ca="1">IFERROR(__xludf.DUMMYFUNCTION("""COMPUTED_VALUE"""),2.5)</f>
        <v>2.5</v>
      </c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</row>
    <row r="161" spans="1:31" ht="13.15" x14ac:dyDescent="0.4">
      <c r="A161" s="8"/>
      <c r="B161" s="8"/>
      <c r="C161" s="8"/>
      <c r="D161" s="8"/>
      <c r="E161" s="8" t="str">
        <f ca="1">IFERROR(__xludf.DUMMYFUNCTION("""COMPUTED_VALUE"""),"ECTOR")</f>
        <v>ECTOR</v>
      </c>
      <c r="F161" s="8" t="str">
        <f ca="1">IFERROR(__xludf.DUMMYFUNCTION("""COMPUTED_VALUE"""),"Learning Coach")</f>
        <v>Learning Coach</v>
      </c>
      <c r="G161" s="8" t="str">
        <f ca="1">IFERROR(__xludf.DUMMYFUNCTION("""COMPUTED_VALUE"""),"Morgan Bivins")</f>
        <v>Morgan Bivins</v>
      </c>
      <c r="H161" s="8" t="str">
        <f ca="1">IFERROR(__xludf.DUMMYFUNCTION("""COMPUTED_VALUE"""),"Michael Garza")</f>
        <v>Michael Garza</v>
      </c>
      <c r="I161" s="9">
        <f ca="1">IFERROR(__xludf.DUMMYFUNCTION("""COMPUTED_VALUE"""),45358)</f>
        <v>45358</v>
      </c>
      <c r="J161" s="9">
        <f ca="1">IFERROR(__xludf.DUMMYFUNCTION("""COMPUTED_VALUE"""),45358)</f>
        <v>45358</v>
      </c>
      <c r="K161" s="8" t="str">
        <f ca="1">IFERROR(__xludf.DUMMYFUNCTION("""COMPUTED_VALUE"""),"AM")</f>
        <v>AM</v>
      </c>
      <c r="L161" s="8"/>
      <c r="M161" s="8"/>
      <c r="N161" s="8">
        <f ca="1">IFERROR(__xludf.DUMMYFUNCTION("""COMPUTED_VALUE"""),9.5)</f>
        <v>9.5</v>
      </c>
      <c r="O161" s="8" t="str">
        <f ca="1">IFERROR(__xludf.DUMMYFUNCTION("""COMPUTED_VALUE"""),"Proficient II")</f>
        <v>Proficient II</v>
      </c>
      <c r="P161" s="8">
        <f ca="1">IFERROR(__xludf.DUMMYFUNCTION("""COMPUTED_VALUE"""),2)</f>
        <v>2</v>
      </c>
      <c r="Q161" s="8">
        <f ca="1">IFERROR(__xludf.DUMMYFUNCTION("""COMPUTED_VALUE"""),5)</f>
        <v>5</v>
      </c>
      <c r="R161" s="8">
        <f ca="1">IFERROR(__xludf.DUMMYFUNCTION("""COMPUTED_VALUE"""),2.5)</f>
        <v>2.5</v>
      </c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</row>
    <row r="162" spans="1:31" ht="13.15" x14ac:dyDescent="0.4">
      <c r="A162" s="8"/>
      <c r="B162" s="8"/>
      <c r="C162" s="8"/>
      <c r="D162" s="8"/>
      <c r="E162" s="8" t="str">
        <f ca="1">IFERROR(__xludf.DUMMYFUNCTION("""COMPUTED_VALUE"""),"ECTOR")</f>
        <v>ECTOR</v>
      </c>
      <c r="F162" s="8" t="str">
        <f ca="1">IFERROR(__xludf.DUMMYFUNCTION("""COMPUTED_VALUE"""),"Core Subject With LSAE")</f>
        <v>Core Subject With LSAE</v>
      </c>
      <c r="G162" s="8" t="str">
        <f ca="1">IFERROR(__xludf.DUMMYFUNCTION("""COMPUTED_VALUE"""),"Ronald Livingston")</f>
        <v>Ronald Livingston</v>
      </c>
      <c r="H162" s="8" t="str">
        <f ca="1">IFERROR(__xludf.DUMMYFUNCTION("""COMPUTED_VALUE"""),"Natalie Chavarria")</f>
        <v>Natalie Chavarria</v>
      </c>
      <c r="I162" s="9">
        <f ca="1">IFERROR(__xludf.DUMMYFUNCTION("""COMPUTED_VALUE"""),45356)</f>
        <v>45356</v>
      </c>
      <c r="J162" s="9"/>
      <c r="K162" s="8" t="str">
        <f ca="1">IFERROR(__xludf.DUMMYFUNCTION("""COMPUTED_VALUE"""),"AM")</f>
        <v>AM</v>
      </c>
      <c r="L162" s="8" t="str">
        <f ca="1">IFERROR(__xludf.DUMMYFUNCTION("""COMPUTED_VALUE"""),"7th Grade")</f>
        <v>7th Grade</v>
      </c>
      <c r="M162" s="8" t="str">
        <f ca="1">IFERROR(__xludf.DUMMYFUNCTION("""COMPUTED_VALUE"""),"ELA")</f>
        <v>ELA</v>
      </c>
      <c r="N162" s="8">
        <f ca="1">IFERROR(__xludf.DUMMYFUNCTION("""COMPUTED_VALUE"""),7.5)</f>
        <v>7.5</v>
      </c>
      <c r="O162" s="8" t="str">
        <f ca="1">IFERROR(__xludf.DUMMYFUNCTION("""COMPUTED_VALUE"""),"Proficient I")</f>
        <v>Proficient I</v>
      </c>
      <c r="P162" s="8">
        <f ca="1">IFERROR(__xludf.DUMMYFUNCTION("""COMPUTED_VALUE"""),1)</f>
        <v>1</v>
      </c>
      <c r="Q162" s="8">
        <f ca="1">IFERROR(__xludf.DUMMYFUNCTION("""COMPUTED_VALUE"""),3)</f>
        <v>3</v>
      </c>
      <c r="R162" s="8">
        <f ca="1">IFERROR(__xludf.DUMMYFUNCTION("""COMPUTED_VALUE"""),3)</f>
        <v>3</v>
      </c>
      <c r="S162" s="8">
        <f ca="1">IFERROR(__xludf.DUMMYFUNCTION("""COMPUTED_VALUE"""),0.5)</f>
        <v>0.5</v>
      </c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</row>
    <row r="163" spans="1:31" ht="13.15" x14ac:dyDescent="0.4">
      <c r="A163" s="8"/>
      <c r="B163" s="8"/>
      <c r="C163" s="8"/>
      <c r="D163" s="8"/>
      <c r="E163" s="8" t="str">
        <f ca="1">IFERROR(__xludf.DUMMYFUNCTION("""COMPUTED_VALUE"""),"ECTOR")</f>
        <v>ECTOR</v>
      </c>
      <c r="F163" s="8" t="str">
        <f ca="1">IFERROR(__xludf.DUMMYFUNCTION("""COMPUTED_VALUE"""),"Core Subject With LSAE")</f>
        <v>Core Subject With LSAE</v>
      </c>
      <c r="G163" s="8" t="str">
        <f ca="1">IFERROR(__xludf.DUMMYFUNCTION("""COMPUTED_VALUE"""),"Karla Mojica")</f>
        <v>Karla Mojica</v>
      </c>
      <c r="H163" s="8" t="str">
        <f ca="1">IFERROR(__xludf.DUMMYFUNCTION("""COMPUTED_VALUE"""),"Natalie Chavarria")</f>
        <v>Natalie Chavarria</v>
      </c>
      <c r="I163" s="9">
        <f ca="1">IFERROR(__xludf.DUMMYFUNCTION("""COMPUTED_VALUE"""),45356)</f>
        <v>45356</v>
      </c>
      <c r="J163" s="9">
        <f ca="1">IFERROR(__xludf.DUMMYFUNCTION("""COMPUTED_VALUE"""),45357)</f>
        <v>45357</v>
      </c>
      <c r="K163" s="8" t="str">
        <f ca="1">IFERROR(__xludf.DUMMYFUNCTION("""COMPUTED_VALUE"""),"PM")</f>
        <v>PM</v>
      </c>
      <c r="L163" s="8" t="str">
        <f ca="1">IFERROR(__xludf.DUMMYFUNCTION("""COMPUTED_VALUE"""),"7th Grade")</f>
        <v>7th Grade</v>
      </c>
      <c r="M163" s="8" t="str">
        <f ca="1">IFERROR(__xludf.DUMMYFUNCTION("""COMPUTED_VALUE"""),"ELA")</f>
        <v>ELA</v>
      </c>
      <c r="N163" s="8">
        <f ca="1">IFERROR(__xludf.DUMMYFUNCTION("""COMPUTED_VALUE"""),7.5)</f>
        <v>7.5</v>
      </c>
      <c r="O163" s="8" t="str">
        <f ca="1">IFERROR(__xludf.DUMMYFUNCTION("""COMPUTED_VALUE"""),"Proficient I")</f>
        <v>Proficient I</v>
      </c>
      <c r="P163" s="8">
        <f ca="1">IFERROR(__xludf.DUMMYFUNCTION("""COMPUTED_VALUE"""),1)</f>
        <v>1</v>
      </c>
      <c r="Q163" s="8">
        <f ca="1">IFERROR(__xludf.DUMMYFUNCTION("""COMPUTED_VALUE"""),3)</f>
        <v>3</v>
      </c>
      <c r="R163" s="8">
        <f ca="1">IFERROR(__xludf.DUMMYFUNCTION("""COMPUTED_VALUE"""),2)</f>
        <v>2</v>
      </c>
      <c r="S163" s="8">
        <f ca="1">IFERROR(__xludf.DUMMYFUNCTION("""COMPUTED_VALUE"""),1.5)</f>
        <v>1.5</v>
      </c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</row>
    <row r="164" spans="1:31" ht="13.15" x14ac:dyDescent="0.4">
      <c r="A164" s="8"/>
      <c r="B164" s="8"/>
      <c r="C164" s="8"/>
      <c r="D164" s="8"/>
      <c r="E164" s="8" t="str">
        <f ca="1">IFERROR(__xludf.DUMMYFUNCTION("""COMPUTED_VALUE"""),"ECTOR")</f>
        <v>ECTOR</v>
      </c>
      <c r="F164" s="8" t="str">
        <f ca="1">IFERROR(__xludf.DUMMYFUNCTION("""COMPUTED_VALUE"""),"Core Subject With LSAE")</f>
        <v>Core Subject With LSAE</v>
      </c>
      <c r="G164" s="8" t="str">
        <f ca="1">IFERROR(__xludf.DUMMYFUNCTION("""COMPUTED_VALUE"""),"Rochelle Schiele")</f>
        <v>Rochelle Schiele</v>
      </c>
      <c r="H164" s="8" t="str">
        <f ca="1">IFERROR(__xludf.DUMMYFUNCTION("""COMPUTED_VALUE"""),"Natalie Chavarria")</f>
        <v>Natalie Chavarria</v>
      </c>
      <c r="I164" s="9">
        <f ca="1">IFERROR(__xludf.DUMMYFUNCTION("""COMPUTED_VALUE"""),45356)</f>
        <v>45356</v>
      </c>
      <c r="J164" s="9">
        <f ca="1">IFERROR(__xludf.DUMMYFUNCTION("""COMPUTED_VALUE"""),45357)</f>
        <v>45357</v>
      </c>
      <c r="K164" s="8" t="str">
        <f ca="1">IFERROR(__xludf.DUMMYFUNCTION("""COMPUTED_VALUE"""),"AM")</f>
        <v>AM</v>
      </c>
      <c r="L164" s="8" t="str">
        <f ca="1">IFERROR(__xludf.DUMMYFUNCTION("""COMPUTED_VALUE"""),"7th Grade")</f>
        <v>7th Grade</v>
      </c>
      <c r="M164" s="8" t="str">
        <f ca="1">IFERROR(__xludf.DUMMYFUNCTION("""COMPUTED_VALUE"""),"Science")</f>
        <v>Science</v>
      </c>
      <c r="N164" s="8">
        <f ca="1">IFERROR(__xludf.DUMMYFUNCTION("""COMPUTED_VALUE"""),6.5)</f>
        <v>6.5</v>
      </c>
      <c r="O164" s="8" t="str">
        <f ca="1">IFERROR(__xludf.DUMMYFUNCTION("""COMPUTED_VALUE"""),"Proficient I")</f>
        <v>Proficient I</v>
      </c>
      <c r="P164" s="8">
        <f ca="1">IFERROR(__xludf.DUMMYFUNCTION("""COMPUTED_VALUE"""),1)</f>
        <v>1</v>
      </c>
      <c r="Q164" s="8">
        <f ca="1">IFERROR(__xludf.DUMMYFUNCTION("""COMPUTED_VALUE"""),2.5)</f>
        <v>2.5</v>
      </c>
      <c r="R164" s="8">
        <f ca="1">IFERROR(__xludf.DUMMYFUNCTION("""COMPUTED_VALUE"""),2.5)</f>
        <v>2.5</v>
      </c>
      <c r="S164" s="8">
        <f ca="1">IFERROR(__xludf.DUMMYFUNCTION("""COMPUTED_VALUE"""),0.5)</f>
        <v>0.5</v>
      </c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</row>
    <row r="165" spans="1:31" ht="13.15" x14ac:dyDescent="0.4">
      <c r="A165" s="8"/>
      <c r="B165" s="8"/>
      <c r="C165" s="8"/>
      <c r="D165" s="8"/>
      <c r="E165" s="8" t="str">
        <f ca="1">IFERROR(__xludf.DUMMYFUNCTION("""COMPUTED_VALUE"""),"ECTOR")</f>
        <v>ECTOR</v>
      </c>
      <c r="F165" s="8" t="str">
        <f ca="1">IFERROR(__xludf.DUMMYFUNCTION("""COMPUTED_VALUE"""),"Core Subject With LSAE")</f>
        <v>Core Subject With LSAE</v>
      </c>
      <c r="G165" s="8" t="str">
        <f ca="1">IFERROR(__xludf.DUMMYFUNCTION("""COMPUTED_VALUE"""),"Vanessa Hermosillo")</f>
        <v>Vanessa Hermosillo</v>
      </c>
      <c r="H165" s="8" t="str">
        <f ca="1">IFERROR(__xludf.DUMMYFUNCTION("""COMPUTED_VALUE"""),"Natalie Chavarria")</f>
        <v>Natalie Chavarria</v>
      </c>
      <c r="I165" s="9">
        <f ca="1">IFERROR(__xludf.DUMMYFUNCTION("""COMPUTED_VALUE"""),45357)</f>
        <v>45357</v>
      </c>
      <c r="J165" s="9">
        <f ca="1">IFERROR(__xludf.DUMMYFUNCTION("""COMPUTED_VALUE"""),45358)</f>
        <v>45358</v>
      </c>
      <c r="K165" s="8" t="str">
        <f ca="1">IFERROR(__xludf.DUMMYFUNCTION("""COMPUTED_VALUE"""),"PM")</f>
        <v>PM</v>
      </c>
      <c r="L165" s="8" t="str">
        <f ca="1">IFERROR(__xludf.DUMMYFUNCTION("""COMPUTED_VALUE"""),"7th Grade")</f>
        <v>7th Grade</v>
      </c>
      <c r="M165" s="8" t="str">
        <f ca="1">IFERROR(__xludf.DUMMYFUNCTION("""COMPUTED_VALUE"""),"Art of Thinking")</f>
        <v>Art of Thinking</v>
      </c>
      <c r="N165" s="8">
        <f ca="1">IFERROR(__xludf.DUMMYFUNCTION("""COMPUTED_VALUE"""),8.5)</f>
        <v>8.5</v>
      </c>
      <c r="O165" s="8" t="str">
        <f ca="1">IFERROR(__xludf.DUMMYFUNCTION("""COMPUTED_VALUE"""),"Proficient II")</f>
        <v>Proficient II</v>
      </c>
      <c r="P165" s="8">
        <f ca="1">IFERROR(__xludf.DUMMYFUNCTION("""COMPUTED_VALUE"""),1)</f>
        <v>1</v>
      </c>
      <c r="Q165" s="8">
        <f ca="1">IFERROR(__xludf.DUMMYFUNCTION("""COMPUTED_VALUE"""),3)</f>
        <v>3</v>
      </c>
      <c r="R165" s="8">
        <f ca="1">IFERROR(__xludf.DUMMYFUNCTION("""COMPUTED_VALUE"""),3.5)</f>
        <v>3.5</v>
      </c>
      <c r="S165" s="8">
        <f ca="1">IFERROR(__xludf.DUMMYFUNCTION("""COMPUTED_VALUE"""),1)</f>
        <v>1</v>
      </c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</row>
    <row r="166" spans="1:31" ht="13.15" x14ac:dyDescent="0.4">
      <c r="A166" s="8"/>
      <c r="B166" s="8"/>
      <c r="C166" s="8"/>
      <c r="D166" s="8"/>
      <c r="E166" s="8" t="str">
        <f ca="1">IFERROR(__xludf.DUMMYFUNCTION("""COMPUTED_VALUE"""),"ECTOR")</f>
        <v>ECTOR</v>
      </c>
      <c r="F166" s="8" t="str">
        <f ca="1">IFERROR(__xludf.DUMMYFUNCTION("""COMPUTED_VALUE"""),"Core Subject With LSAE")</f>
        <v>Core Subject With LSAE</v>
      </c>
      <c r="G166" s="8" t="str">
        <f ca="1">IFERROR(__xludf.DUMMYFUNCTION("""COMPUTED_VALUE"""),"Claudia Garcia")</f>
        <v>Claudia Garcia</v>
      </c>
      <c r="H166" s="8" t="str">
        <f ca="1">IFERROR(__xludf.DUMMYFUNCTION("""COMPUTED_VALUE"""),"Natalie Chavarria")</f>
        <v>Natalie Chavarria</v>
      </c>
      <c r="I166" s="9">
        <f ca="1">IFERROR(__xludf.DUMMYFUNCTION("""COMPUTED_VALUE"""),45357)</f>
        <v>45357</v>
      </c>
      <c r="J166" s="9"/>
      <c r="K166" s="8" t="str">
        <f ca="1">IFERROR(__xludf.DUMMYFUNCTION("""COMPUTED_VALUE"""),"AM")</f>
        <v>AM</v>
      </c>
      <c r="L166" s="11" t="str">
        <f ca="1">IFERROR(__xludf.DUMMYFUNCTION("""COMPUTED_VALUE"""),"7th Grade")</f>
        <v>7th Grade</v>
      </c>
      <c r="M166" s="8" t="str">
        <f ca="1">IFERROR(__xludf.DUMMYFUNCTION("""COMPUTED_VALUE"""),"Math")</f>
        <v>Math</v>
      </c>
      <c r="N166" s="8">
        <f ca="1">IFERROR(__xludf.DUMMYFUNCTION("""COMPUTED_VALUE"""),7.5)</f>
        <v>7.5</v>
      </c>
      <c r="O166" s="8" t="str">
        <f ca="1">IFERROR(__xludf.DUMMYFUNCTION("""COMPUTED_VALUE"""),"Proficient I")</f>
        <v>Proficient I</v>
      </c>
      <c r="P166" s="8">
        <f ca="1">IFERROR(__xludf.DUMMYFUNCTION("""COMPUTED_VALUE"""),1)</f>
        <v>1</v>
      </c>
      <c r="Q166" s="8">
        <f ca="1">IFERROR(__xludf.DUMMYFUNCTION("""COMPUTED_VALUE"""),3)</f>
        <v>3</v>
      </c>
      <c r="R166" s="8">
        <f ca="1">IFERROR(__xludf.DUMMYFUNCTION("""COMPUTED_VALUE"""),2)</f>
        <v>2</v>
      </c>
      <c r="S166" s="8">
        <f ca="1">IFERROR(__xludf.DUMMYFUNCTION("""COMPUTED_VALUE"""),1.5)</f>
        <v>1.5</v>
      </c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</row>
    <row r="167" spans="1:31" ht="13.15" x14ac:dyDescent="0.4">
      <c r="A167" s="8"/>
      <c r="B167" s="8"/>
      <c r="C167" s="8"/>
      <c r="D167" s="8"/>
      <c r="E167" s="8" t="str">
        <f ca="1">IFERROR(__xludf.DUMMYFUNCTION("""COMPUTED_VALUE"""),"ECTOR")</f>
        <v>ECTOR</v>
      </c>
      <c r="F167" s="8" t="str">
        <f ca="1">IFERROR(__xludf.DUMMYFUNCTION("""COMPUTED_VALUE"""),"Core Subject With LSAE")</f>
        <v>Core Subject With LSAE</v>
      </c>
      <c r="G167" s="8" t="str">
        <f ca="1">IFERROR(__xludf.DUMMYFUNCTION("""COMPUTED_VALUE"""),"Cecilia Simpson")</f>
        <v>Cecilia Simpson</v>
      </c>
      <c r="H167" s="8" t="str">
        <f ca="1">IFERROR(__xludf.DUMMYFUNCTION("""COMPUTED_VALUE"""),"Natalie Chavarria")</f>
        <v>Natalie Chavarria</v>
      </c>
      <c r="I167" s="9">
        <f ca="1">IFERROR(__xludf.DUMMYFUNCTION("""COMPUTED_VALUE"""),45357)</f>
        <v>45357</v>
      </c>
      <c r="J167" s="9"/>
      <c r="K167" s="8" t="str">
        <f ca="1">IFERROR(__xludf.DUMMYFUNCTION("""COMPUTED_VALUE"""),"PM")</f>
        <v>PM</v>
      </c>
      <c r="L167" s="8" t="str">
        <f ca="1">IFERROR(__xludf.DUMMYFUNCTION("""COMPUTED_VALUE"""),"7th Grade")</f>
        <v>7th Grade</v>
      </c>
      <c r="M167" s="8" t="str">
        <f ca="1">IFERROR(__xludf.DUMMYFUNCTION("""COMPUTED_VALUE"""),"Science")</f>
        <v>Science</v>
      </c>
      <c r="N167" s="8">
        <f ca="1">IFERROR(__xludf.DUMMYFUNCTION("""COMPUTED_VALUE"""),5.5)</f>
        <v>5.5</v>
      </c>
      <c r="O167" s="8" t="str">
        <f ca="1">IFERROR(__xludf.DUMMYFUNCTION("""COMPUTED_VALUE"""),"Progressing")</f>
        <v>Progressing</v>
      </c>
      <c r="P167" s="8">
        <f ca="1">IFERROR(__xludf.DUMMYFUNCTION("""COMPUTED_VALUE"""),1)</f>
        <v>1</v>
      </c>
      <c r="Q167" s="8">
        <f ca="1">IFERROR(__xludf.DUMMYFUNCTION("""COMPUTED_VALUE"""),2)</f>
        <v>2</v>
      </c>
      <c r="R167" s="8">
        <f ca="1">IFERROR(__xludf.DUMMYFUNCTION("""COMPUTED_VALUE"""),2)</f>
        <v>2</v>
      </c>
      <c r="S167" s="8">
        <f ca="1">IFERROR(__xludf.DUMMYFUNCTION("""COMPUTED_VALUE"""),0.5)</f>
        <v>0.5</v>
      </c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</row>
    <row r="168" spans="1:31" ht="13.15" x14ac:dyDescent="0.4">
      <c r="A168" s="8"/>
      <c r="B168" s="8"/>
      <c r="C168" s="8"/>
      <c r="D168" s="8"/>
      <c r="E168" s="8" t="str">
        <f ca="1">IFERROR(__xludf.DUMMYFUNCTION("""COMPUTED_VALUE"""),"ECTOR")</f>
        <v>ECTOR</v>
      </c>
      <c r="F168" s="8" t="str">
        <f ca="1">IFERROR(__xludf.DUMMYFUNCTION("""COMPUTED_VALUE"""),"Core Subject With LSAE")</f>
        <v>Core Subject With LSAE</v>
      </c>
      <c r="G168" s="8" t="str">
        <f ca="1">IFERROR(__xludf.DUMMYFUNCTION("""COMPUTED_VALUE"""),"Kaitlyn Hirst")</f>
        <v>Kaitlyn Hirst</v>
      </c>
      <c r="H168" s="8" t="str">
        <f ca="1">IFERROR(__xludf.DUMMYFUNCTION("""COMPUTED_VALUE"""),"Natalie Chavarria")</f>
        <v>Natalie Chavarria</v>
      </c>
      <c r="I168" s="9">
        <f ca="1">IFERROR(__xludf.DUMMYFUNCTION("""COMPUTED_VALUE"""),45357)</f>
        <v>45357</v>
      </c>
      <c r="J168" s="9">
        <f ca="1">IFERROR(__xludf.DUMMYFUNCTION("""COMPUTED_VALUE"""),45359)</f>
        <v>45359</v>
      </c>
      <c r="K168" s="8" t="str">
        <f ca="1">IFERROR(__xludf.DUMMYFUNCTION("""COMPUTED_VALUE"""),"AM")</f>
        <v>AM</v>
      </c>
      <c r="L168" s="8" t="str">
        <f ca="1">IFERROR(__xludf.DUMMYFUNCTION("""COMPUTED_VALUE"""),"7th Grade")</f>
        <v>7th Grade</v>
      </c>
      <c r="M168" s="8" t="str">
        <f ca="1">IFERROR(__xludf.DUMMYFUNCTION("""COMPUTED_VALUE"""),"Social Studies")</f>
        <v>Social Studies</v>
      </c>
      <c r="N168" s="8">
        <f ca="1">IFERROR(__xludf.DUMMYFUNCTION("""COMPUTED_VALUE"""),7)</f>
        <v>7</v>
      </c>
      <c r="O168" s="8" t="str">
        <f ca="1">IFERROR(__xludf.DUMMYFUNCTION("""COMPUTED_VALUE"""),"Proficient I")</f>
        <v>Proficient I</v>
      </c>
      <c r="P168" s="8">
        <f ca="1">IFERROR(__xludf.DUMMYFUNCTION("""COMPUTED_VALUE"""),1)</f>
        <v>1</v>
      </c>
      <c r="Q168" s="8">
        <f ca="1">IFERROR(__xludf.DUMMYFUNCTION("""COMPUTED_VALUE"""),2.5)</f>
        <v>2.5</v>
      </c>
      <c r="R168" s="8">
        <f ca="1">IFERROR(__xludf.DUMMYFUNCTION("""COMPUTED_VALUE"""),3)</f>
        <v>3</v>
      </c>
      <c r="S168" s="8">
        <f ca="1">IFERROR(__xludf.DUMMYFUNCTION("""COMPUTED_VALUE"""),0.5)</f>
        <v>0.5</v>
      </c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</row>
    <row r="169" spans="1:31" ht="13.15" x14ac:dyDescent="0.4">
      <c r="A169" s="8"/>
      <c r="B169" s="8"/>
      <c r="C169" s="8"/>
      <c r="D169" s="8"/>
      <c r="E169" s="8" t="str">
        <f ca="1">IFERROR(__xludf.DUMMYFUNCTION("""COMPUTED_VALUE"""),"ECTOR")</f>
        <v>ECTOR</v>
      </c>
      <c r="F169" s="8" t="str">
        <f ca="1">IFERROR(__xludf.DUMMYFUNCTION("""COMPUTED_VALUE"""),"Learning Coach")</f>
        <v>Learning Coach</v>
      </c>
      <c r="G169" s="8" t="str">
        <f ca="1">IFERROR(__xludf.DUMMYFUNCTION("""COMPUTED_VALUE"""),"Ellis Lane")</f>
        <v>Ellis Lane</v>
      </c>
      <c r="H169" s="8" t="str">
        <f ca="1">IFERROR(__xludf.DUMMYFUNCTION("""COMPUTED_VALUE"""),"Natalie Chavarria")</f>
        <v>Natalie Chavarria</v>
      </c>
      <c r="I169" s="9">
        <f ca="1">IFERROR(__xludf.DUMMYFUNCTION("""COMPUTED_VALUE"""),45359)</f>
        <v>45359</v>
      </c>
      <c r="J169" s="9"/>
      <c r="K169" s="8" t="str">
        <f ca="1">IFERROR(__xludf.DUMMYFUNCTION("""COMPUTED_VALUE"""),"AM")</f>
        <v>AM</v>
      </c>
      <c r="L169" s="8"/>
      <c r="M169" s="8"/>
      <c r="N169" s="8">
        <f ca="1">IFERROR(__xludf.DUMMYFUNCTION("""COMPUTED_VALUE"""),7.5)</f>
        <v>7.5</v>
      </c>
      <c r="O169" s="8" t="str">
        <f ca="1">IFERROR(__xludf.DUMMYFUNCTION("""COMPUTED_VALUE"""),"Proficient I")</f>
        <v>Proficient I</v>
      </c>
      <c r="P169" s="8">
        <f ca="1">IFERROR(__xludf.DUMMYFUNCTION("""COMPUTED_VALUE"""),2)</f>
        <v>2</v>
      </c>
      <c r="Q169" s="8">
        <f ca="1">IFERROR(__xludf.DUMMYFUNCTION("""COMPUTED_VALUE"""),4)</f>
        <v>4</v>
      </c>
      <c r="R169" s="8">
        <f ca="1">IFERROR(__xludf.DUMMYFUNCTION("""COMPUTED_VALUE"""),1.5)</f>
        <v>1.5</v>
      </c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</row>
    <row r="170" spans="1:31" ht="13.15" x14ac:dyDescent="0.4">
      <c r="A170" s="8"/>
      <c r="B170" s="8"/>
      <c r="C170" s="8"/>
      <c r="D170" s="8"/>
      <c r="E170" s="8" t="str">
        <f ca="1">IFERROR(__xludf.DUMMYFUNCTION("""COMPUTED_VALUE"""),"ECTOR")</f>
        <v>ECTOR</v>
      </c>
      <c r="F170" s="8" t="str">
        <f ca="1">IFERROR(__xludf.DUMMYFUNCTION("""COMPUTED_VALUE"""),"Core Subject With LSAE")</f>
        <v>Core Subject With LSAE</v>
      </c>
      <c r="G170" s="8" t="str">
        <f ca="1">IFERROR(__xludf.DUMMYFUNCTION("""COMPUTED_VALUE"""),"Tracie Garza")</f>
        <v>Tracie Garza</v>
      </c>
      <c r="H170" s="8" t="str">
        <f ca="1">IFERROR(__xludf.DUMMYFUNCTION("""COMPUTED_VALUE"""),"Tracy Avery")</f>
        <v>Tracy Avery</v>
      </c>
      <c r="I170" s="9">
        <f ca="1">IFERROR(__xludf.DUMMYFUNCTION("""COMPUTED_VALUE"""),45355)</f>
        <v>45355</v>
      </c>
      <c r="J170" s="9">
        <f ca="1">IFERROR(__xludf.DUMMYFUNCTION("""COMPUTED_VALUE"""),45356)</f>
        <v>45356</v>
      </c>
      <c r="K170" s="8" t="str">
        <f ca="1">IFERROR(__xludf.DUMMYFUNCTION("""COMPUTED_VALUE"""),"PM")</f>
        <v>PM</v>
      </c>
      <c r="L170" s="8" t="str">
        <f ca="1">IFERROR(__xludf.DUMMYFUNCTION("""COMPUTED_VALUE"""),"6th Grade")</f>
        <v>6th Grade</v>
      </c>
      <c r="M170" s="8" t="str">
        <f ca="1">IFERROR(__xludf.DUMMYFUNCTION("""COMPUTED_VALUE"""),"Science")</f>
        <v>Science</v>
      </c>
      <c r="N170" s="8">
        <f ca="1">IFERROR(__xludf.DUMMYFUNCTION("""COMPUTED_VALUE"""),6.5)</f>
        <v>6.5</v>
      </c>
      <c r="O170" s="8" t="str">
        <f ca="1">IFERROR(__xludf.DUMMYFUNCTION("""COMPUTED_VALUE"""),"Proficient I")</f>
        <v>Proficient I</v>
      </c>
      <c r="P170" s="8">
        <f ca="1">IFERROR(__xludf.DUMMYFUNCTION("""COMPUTED_VALUE"""),1)</f>
        <v>1</v>
      </c>
      <c r="Q170" s="8">
        <f ca="1">IFERROR(__xludf.DUMMYFUNCTION("""COMPUTED_VALUE"""),2)</f>
        <v>2</v>
      </c>
      <c r="R170" s="8">
        <f ca="1">IFERROR(__xludf.DUMMYFUNCTION("""COMPUTED_VALUE"""),2)</f>
        <v>2</v>
      </c>
      <c r="S170" s="8">
        <f ca="1">IFERROR(__xludf.DUMMYFUNCTION("""COMPUTED_VALUE"""),1.5)</f>
        <v>1.5</v>
      </c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</row>
    <row r="171" spans="1:31" ht="13.15" x14ac:dyDescent="0.4">
      <c r="A171" s="8"/>
      <c r="B171" s="8"/>
      <c r="C171" s="8"/>
      <c r="D171" s="8"/>
      <c r="E171" s="8" t="str">
        <f ca="1">IFERROR(__xludf.DUMMYFUNCTION("""COMPUTED_VALUE"""),"ECTOR")</f>
        <v>ECTOR</v>
      </c>
      <c r="F171" s="8" t="str">
        <f ca="1">IFERROR(__xludf.DUMMYFUNCTION("""COMPUTED_VALUE"""),"Core Subject With LSAE")</f>
        <v>Core Subject With LSAE</v>
      </c>
      <c r="G171" s="8" t="str">
        <f ca="1">IFERROR(__xludf.DUMMYFUNCTION("""COMPUTED_VALUE"""),"Elena Sanchez")</f>
        <v>Elena Sanchez</v>
      </c>
      <c r="H171" s="8" t="str">
        <f ca="1">IFERROR(__xludf.DUMMYFUNCTION("""COMPUTED_VALUE"""),"Tracy Avery")</f>
        <v>Tracy Avery</v>
      </c>
      <c r="I171" s="9">
        <f ca="1">IFERROR(__xludf.DUMMYFUNCTION("""COMPUTED_VALUE"""),45355)</f>
        <v>45355</v>
      </c>
      <c r="J171" s="9">
        <f ca="1">IFERROR(__xludf.DUMMYFUNCTION("""COMPUTED_VALUE"""),45356)</f>
        <v>45356</v>
      </c>
      <c r="K171" s="8" t="str">
        <f ca="1">IFERROR(__xludf.DUMMYFUNCTION("""COMPUTED_VALUE"""),"AM")</f>
        <v>AM</v>
      </c>
      <c r="L171" s="8" t="str">
        <f ca="1">IFERROR(__xludf.DUMMYFUNCTION("""COMPUTED_VALUE"""),"8th Grade")</f>
        <v>8th Grade</v>
      </c>
      <c r="M171" s="8" t="str">
        <f ca="1">IFERROR(__xludf.DUMMYFUNCTION("""COMPUTED_VALUE"""),"Art of Thinking")</f>
        <v>Art of Thinking</v>
      </c>
      <c r="N171" s="8">
        <f ca="1">IFERROR(__xludf.DUMMYFUNCTION("""COMPUTED_VALUE"""),7)</f>
        <v>7</v>
      </c>
      <c r="O171" s="8" t="str">
        <f ca="1">IFERROR(__xludf.DUMMYFUNCTION("""COMPUTED_VALUE"""),"Proficient I")</f>
        <v>Proficient I</v>
      </c>
      <c r="P171" s="8">
        <f ca="1">IFERROR(__xludf.DUMMYFUNCTION("""COMPUTED_VALUE"""),1)</f>
        <v>1</v>
      </c>
      <c r="Q171" s="8">
        <f ca="1">IFERROR(__xludf.DUMMYFUNCTION("""COMPUTED_VALUE"""),2.5)</f>
        <v>2.5</v>
      </c>
      <c r="R171" s="8">
        <f ca="1">IFERROR(__xludf.DUMMYFUNCTION("""COMPUTED_VALUE"""),2)</f>
        <v>2</v>
      </c>
      <c r="S171" s="8">
        <f ca="1">IFERROR(__xludf.DUMMYFUNCTION("""COMPUTED_VALUE"""),1.5)</f>
        <v>1.5</v>
      </c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</row>
    <row r="172" spans="1:31" ht="13.15" x14ac:dyDescent="0.4">
      <c r="A172" s="8"/>
      <c r="B172" s="8"/>
      <c r="C172" s="8"/>
      <c r="D172" s="8"/>
      <c r="E172" s="8" t="str">
        <f ca="1">IFERROR(__xludf.DUMMYFUNCTION("""COMPUTED_VALUE"""),"ECTOR")</f>
        <v>ECTOR</v>
      </c>
      <c r="F172" s="8" t="str">
        <f ca="1">IFERROR(__xludf.DUMMYFUNCTION("""COMPUTED_VALUE"""),"Core Subject With LSAE")</f>
        <v>Core Subject With LSAE</v>
      </c>
      <c r="G172" s="8" t="str">
        <f ca="1">IFERROR(__xludf.DUMMYFUNCTION("""COMPUTED_VALUE"""),"Pamela Salazar")</f>
        <v>Pamela Salazar</v>
      </c>
      <c r="H172" s="8" t="str">
        <f ca="1">IFERROR(__xludf.DUMMYFUNCTION("""COMPUTED_VALUE"""),"Tracy Avery")</f>
        <v>Tracy Avery</v>
      </c>
      <c r="I172" s="9">
        <f ca="1">IFERROR(__xludf.DUMMYFUNCTION("""COMPUTED_VALUE"""),45356)</f>
        <v>45356</v>
      </c>
      <c r="J172" s="9"/>
      <c r="K172" s="8" t="str">
        <f ca="1">IFERROR(__xludf.DUMMYFUNCTION("""COMPUTED_VALUE"""),"PM")</f>
        <v>PM</v>
      </c>
      <c r="L172" s="8" t="str">
        <f ca="1">IFERROR(__xludf.DUMMYFUNCTION("""COMPUTED_VALUE"""),"8th Grade")</f>
        <v>8th Grade</v>
      </c>
      <c r="M172" s="8" t="str">
        <f ca="1">IFERROR(__xludf.DUMMYFUNCTION("""COMPUTED_VALUE"""),"Social Studies")</f>
        <v>Social Studies</v>
      </c>
      <c r="N172" s="8">
        <f ca="1">IFERROR(__xludf.DUMMYFUNCTION("""COMPUTED_VALUE"""),7)</f>
        <v>7</v>
      </c>
      <c r="O172" s="8" t="str">
        <f ca="1">IFERROR(__xludf.DUMMYFUNCTION("""COMPUTED_VALUE"""),"Proficient I")</f>
        <v>Proficient I</v>
      </c>
      <c r="P172" s="8">
        <f ca="1">IFERROR(__xludf.DUMMYFUNCTION("""COMPUTED_VALUE"""),1)</f>
        <v>1</v>
      </c>
      <c r="Q172" s="8">
        <f ca="1">IFERROR(__xludf.DUMMYFUNCTION("""COMPUTED_VALUE"""),2.5)</f>
        <v>2.5</v>
      </c>
      <c r="R172" s="8">
        <f ca="1">IFERROR(__xludf.DUMMYFUNCTION("""COMPUTED_VALUE"""),2)</f>
        <v>2</v>
      </c>
      <c r="S172" s="8">
        <f ca="1">IFERROR(__xludf.DUMMYFUNCTION("""COMPUTED_VALUE"""),1.5)</f>
        <v>1.5</v>
      </c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</row>
    <row r="173" spans="1:31" ht="13.15" x14ac:dyDescent="0.4">
      <c r="A173" s="8"/>
      <c r="B173" s="8"/>
      <c r="C173" s="8"/>
      <c r="D173" s="8"/>
      <c r="E173" s="8" t="str">
        <f ca="1">IFERROR(__xludf.DUMMYFUNCTION("""COMPUTED_VALUE"""),"ECTOR")</f>
        <v>ECTOR</v>
      </c>
      <c r="F173" s="8" t="str">
        <f ca="1">IFERROR(__xludf.DUMMYFUNCTION("""COMPUTED_VALUE"""),"Core Subject With LSAE")</f>
        <v>Core Subject With LSAE</v>
      </c>
      <c r="G173" s="8" t="str">
        <f ca="1">IFERROR(__xludf.DUMMYFUNCTION("""COMPUTED_VALUE"""),"Juan Ibarra")</f>
        <v>Juan Ibarra</v>
      </c>
      <c r="H173" s="8" t="str">
        <f ca="1">IFERROR(__xludf.DUMMYFUNCTION("""COMPUTED_VALUE"""),"Tracy Avery")</f>
        <v>Tracy Avery</v>
      </c>
      <c r="I173" s="9">
        <f ca="1">IFERROR(__xludf.DUMMYFUNCTION("""COMPUTED_VALUE"""),45356)</f>
        <v>45356</v>
      </c>
      <c r="J173" s="9"/>
      <c r="K173" s="8" t="str">
        <f ca="1">IFERROR(__xludf.DUMMYFUNCTION("""COMPUTED_VALUE"""),"AM")</f>
        <v>AM</v>
      </c>
      <c r="L173" s="8" t="str">
        <f ca="1">IFERROR(__xludf.DUMMYFUNCTION("""COMPUTED_VALUE"""),"8th Grade")</f>
        <v>8th Grade</v>
      </c>
      <c r="M173" s="8" t="str">
        <f ca="1">IFERROR(__xludf.DUMMYFUNCTION("""COMPUTED_VALUE"""),"Science")</f>
        <v>Science</v>
      </c>
      <c r="N173" s="8">
        <f ca="1">IFERROR(__xludf.DUMMYFUNCTION("""COMPUTED_VALUE"""),8.5)</f>
        <v>8.5</v>
      </c>
      <c r="O173" s="8" t="str">
        <f ca="1">IFERROR(__xludf.DUMMYFUNCTION("""COMPUTED_VALUE"""),"Proficient II")</f>
        <v>Proficient II</v>
      </c>
      <c r="P173" s="8">
        <f ca="1">IFERROR(__xludf.DUMMYFUNCTION("""COMPUTED_VALUE"""),1)</f>
        <v>1</v>
      </c>
      <c r="Q173" s="8">
        <f ca="1">IFERROR(__xludf.DUMMYFUNCTION("""COMPUTED_VALUE"""),2.5)</f>
        <v>2.5</v>
      </c>
      <c r="R173" s="8">
        <f ca="1">IFERROR(__xludf.DUMMYFUNCTION("""COMPUTED_VALUE"""),3.5)</f>
        <v>3.5</v>
      </c>
      <c r="S173" s="8">
        <f ca="1">IFERROR(__xludf.DUMMYFUNCTION("""COMPUTED_VALUE"""),1.5)</f>
        <v>1.5</v>
      </c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</row>
    <row r="174" spans="1:31" ht="13.15" x14ac:dyDescent="0.4">
      <c r="A174" s="8"/>
      <c r="B174" s="8"/>
      <c r="C174" s="8"/>
      <c r="D174" s="8"/>
      <c r="E174" s="8" t="str">
        <f ca="1">IFERROR(__xludf.DUMMYFUNCTION("""COMPUTED_VALUE"""),"ECTOR")</f>
        <v>ECTOR</v>
      </c>
      <c r="F174" s="8" t="str">
        <f ca="1">IFERROR(__xludf.DUMMYFUNCTION("""COMPUTED_VALUE"""),"Core Subject With LSAE")</f>
        <v>Core Subject With LSAE</v>
      </c>
      <c r="G174" s="8" t="str">
        <f ca="1">IFERROR(__xludf.DUMMYFUNCTION("""COMPUTED_VALUE"""),"Vanessa Vallejos")</f>
        <v>Vanessa Vallejos</v>
      </c>
      <c r="H174" s="8" t="str">
        <f ca="1">IFERROR(__xludf.DUMMYFUNCTION("""COMPUTED_VALUE"""),"Tracy Avery")</f>
        <v>Tracy Avery</v>
      </c>
      <c r="I174" s="9">
        <f ca="1">IFERROR(__xludf.DUMMYFUNCTION("""COMPUTED_VALUE"""),45356)</f>
        <v>45356</v>
      </c>
      <c r="J174" s="9">
        <f ca="1">IFERROR(__xludf.DUMMYFUNCTION("""COMPUTED_VALUE"""),45357)</f>
        <v>45357</v>
      </c>
      <c r="K174" s="8" t="str">
        <f ca="1">IFERROR(__xludf.DUMMYFUNCTION("""COMPUTED_VALUE"""),"PM")</f>
        <v>PM</v>
      </c>
      <c r="L174" s="8" t="str">
        <f ca="1">IFERROR(__xludf.DUMMYFUNCTION("""COMPUTED_VALUE"""),"8th Grade")</f>
        <v>8th Grade</v>
      </c>
      <c r="M174" s="8" t="str">
        <f ca="1">IFERROR(__xludf.DUMMYFUNCTION("""COMPUTED_VALUE"""),"Social Studies")</f>
        <v>Social Studies</v>
      </c>
      <c r="N174" s="8">
        <f ca="1">IFERROR(__xludf.DUMMYFUNCTION("""COMPUTED_VALUE"""),7.5)</f>
        <v>7.5</v>
      </c>
      <c r="O174" s="8" t="str">
        <f ca="1">IFERROR(__xludf.DUMMYFUNCTION("""COMPUTED_VALUE"""),"Proficient I")</f>
        <v>Proficient I</v>
      </c>
      <c r="P174" s="8">
        <f ca="1">IFERROR(__xludf.DUMMYFUNCTION("""COMPUTED_VALUE"""),1)</f>
        <v>1</v>
      </c>
      <c r="Q174" s="8">
        <f ca="1">IFERROR(__xludf.DUMMYFUNCTION("""COMPUTED_VALUE"""),2)</f>
        <v>2</v>
      </c>
      <c r="R174" s="8">
        <f ca="1">IFERROR(__xludf.DUMMYFUNCTION("""COMPUTED_VALUE"""),3)</f>
        <v>3</v>
      </c>
      <c r="S174" s="8">
        <f ca="1">IFERROR(__xludf.DUMMYFUNCTION("""COMPUTED_VALUE"""),1.5)</f>
        <v>1.5</v>
      </c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</row>
    <row r="175" spans="1:31" ht="13.15" x14ac:dyDescent="0.4">
      <c r="A175" s="8"/>
      <c r="B175" s="8"/>
      <c r="C175" s="8"/>
      <c r="D175" s="8"/>
      <c r="E175" s="8" t="str">
        <f ca="1">IFERROR(__xludf.DUMMYFUNCTION("""COMPUTED_VALUE"""),"ECTOR")</f>
        <v>ECTOR</v>
      </c>
      <c r="F175" s="8" t="str">
        <f ca="1">IFERROR(__xludf.DUMMYFUNCTION("""COMPUTED_VALUE"""),"Core Subject With LSAE")</f>
        <v>Core Subject With LSAE</v>
      </c>
      <c r="G175" s="8" t="str">
        <f ca="1">IFERROR(__xludf.DUMMYFUNCTION("""COMPUTED_VALUE"""),"Sojourner Brown")</f>
        <v>Sojourner Brown</v>
      </c>
      <c r="H175" s="8" t="str">
        <f ca="1">IFERROR(__xludf.DUMMYFUNCTION("""COMPUTED_VALUE"""),"Tracy Avery")</f>
        <v>Tracy Avery</v>
      </c>
      <c r="I175" s="9">
        <f ca="1">IFERROR(__xludf.DUMMYFUNCTION("""COMPUTED_VALUE"""),45357)</f>
        <v>45357</v>
      </c>
      <c r="J175" s="9">
        <f ca="1">IFERROR(__xludf.DUMMYFUNCTION("""COMPUTED_VALUE"""),45358)</f>
        <v>45358</v>
      </c>
      <c r="K175" s="8" t="str">
        <f ca="1">IFERROR(__xludf.DUMMYFUNCTION("""COMPUTED_VALUE"""),"AM")</f>
        <v>AM</v>
      </c>
      <c r="L175" s="8" t="str">
        <f ca="1">IFERROR(__xludf.DUMMYFUNCTION("""COMPUTED_VALUE"""),"8th Grade")</f>
        <v>8th Grade</v>
      </c>
      <c r="M175" s="8" t="str">
        <f ca="1">IFERROR(__xludf.DUMMYFUNCTION("""COMPUTED_VALUE"""),"Social Studies")</f>
        <v>Social Studies</v>
      </c>
      <c r="N175" s="8">
        <f ca="1">IFERROR(__xludf.DUMMYFUNCTION("""COMPUTED_VALUE"""),9)</f>
        <v>9</v>
      </c>
      <c r="O175" s="8" t="str">
        <f ca="1">IFERROR(__xludf.DUMMYFUNCTION("""COMPUTED_VALUE"""),"Proficient II")</f>
        <v>Proficient II</v>
      </c>
      <c r="P175" s="8">
        <f ca="1">IFERROR(__xludf.DUMMYFUNCTION("""COMPUTED_VALUE"""),1)</f>
        <v>1</v>
      </c>
      <c r="Q175" s="8">
        <f ca="1">IFERROR(__xludf.DUMMYFUNCTION("""COMPUTED_VALUE"""),3)</f>
        <v>3</v>
      </c>
      <c r="R175" s="8">
        <f ca="1">IFERROR(__xludf.DUMMYFUNCTION("""COMPUTED_VALUE"""),3.5)</f>
        <v>3.5</v>
      </c>
      <c r="S175" s="8">
        <f ca="1">IFERROR(__xludf.DUMMYFUNCTION("""COMPUTED_VALUE"""),1.5)</f>
        <v>1.5</v>
      </c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</row>
    <row r="176" spans="1:31" ht="13.15" x14ac:dyDescent="0.4">
      <c r="A176" s="8"/>
      <c r="B176" s="8"/>
      <c r="C176" s="8"/>
      <c r="D176" s="8"/>
      <c r="E176" s="8" t="str">
        <f ca="1">IFERROR(__xludf.DUMMYFUNCTION("""COMPUTED_VALUE"""),"ECTOR")</f>
        <v>ECTOR</v>
      </c>
      <c r="F176" s="8" t="str">
        <f ca="1">IFERROR(__xludf.DUMMYFUNCTION("""COMPUTED_VALUE"""),"Core Subject With LSAE")</f>
        <v>Core Subject With LSAE</v>
      </c>
      <c r="G176" s="8" t="str">
        <f ca="1">IFERROR(__xludf.DUMMYFUNCTION("""COMPUTED_VALUE"""),"Marlee Gabaldon")</f>
        <v>Marlee Gabaldon</v>
      </c>
      <c r="H176" s="8" t="str">
        <f ca="1">IFERROR(__xludf.DUMMYFUNCTION("""COMPUTED_VALUE"""),"Tracy Avery")</f>
        <v>Tracy Avery</v>
      </c>
      <c r="I176" s="9">
        <f ca="1">IFERROR(__xludf.DUMMYFUNCTION("""COMPUTED_VALUE"""),45358)</f>
        <v>45358</v>
      </c>
      <c r="J176" s="9">
        <f ca="1">IFERROR(__xludf.DUMMYFUNCTION("""COMPUTED_VALUE"""),45358)</f>
        <v>45358</v>
      </c>
      <c r="K176" s="8" t="str">
        <f ca="1">IFERROR(__xludf.DUMMYFUNCTION("""COMPUTED_VALUE"""),"AM")</f>
        <v>AM</v>
      </c>
      <c r="L176" s="8" t="str">
        <f ca="1">IFERROR(__xludf.DUMMYFUNCTION("""COMPUTED_VALUE"""),"8th Grade")</f>
        <v>8th Grade</v>
      </c>
      <c r="M176" s="8" t="str">
        <f ca="1">IFERROR(__xludf.DUMMYFUNCTION("""COMPUTED_VALUE"""),"Art of Thinking")</f>
        <v>Art of Thinking</v>
      </c>
      <c r="N176" s="8">
        <f ca="1">IFERROR(__xludf.DUMMYFUNCTION("""COMPUTED_VALUE"""),9)</f>
        <v>9</v>
      </c>
      <c r="O176" s="8" t="str">
        <f ca="1">IFERROR(__xludf.DUMMYFUNCTION("""COMPUTED_VALUE"""),"Proficient II")</f>
        <v>Proficient II</v>
      </c>
      <c r="P176" s="8">
        <f ca="1">IFERROR(__xludf.DUMMYFUNCTION("""COMPUTED_VALUE"""),1)</f>
        <v>1</v>
      </c>
      <c r="Q176" s="8">
        <f ca="1">IFERROR(__xludf.DUMMYFUNCTION("""COMPUTED_VALUE"""),3)</f>
        <v>3</v>
      </c>
      <c r="R176" s="8">
        <f ca="1">IFERROR(__xludf.DUMMYFUNCTION("""COMPUTED_VALUE"""),3.5)</f>
        <v>3.5</v>
      </c>
      <c r="S176" s="8">
        <f ca="1">IFERROR(__xludf.DUMMYFUNCTION("""COMPUTED_VALUE"""),1.5)</f>
        <v>1.5</v>
      </c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</row>
    <row r="177" spans="1:31" ht="13.15" x14ac:dyDescent="0.4">
      <c r="A177" s="8"/>
      <c r="B177" s="8"/>
      <c r="C177" s="8"/>
      <c r="D177" s="8"/>
      <c r="E177" s="8" t="str">
        <f ca="1">IFERROR(__xludf.DUMMYFUNCTION("""COMPUTED_VALUE"""),"ECTOR")</f>
        <v>ECTOR</v>
      </c>
      <c r="F177" s="8" t="str">
        <f ca="1">IFERROR(__xludf.DUMMYFUNCTION("""COMPUTED_VALUE"""),"Core Subject With LSAE")</f>
        <v>Core Subject With LSAE</v>
      </c>
      <c r="G177" s="8" t="str">
        <f ca="1">IFERROR(__xludf.DUMMYFUNCTION("""COMPUTED_VALUE"""),"Pete Garza")</f>
        <v>Pete Garza</v>
      </c>
      <c r="H177" s="8" t="str">
        <f ca="1">IFERROR(__xludf.DUMMYFUNCTION("""COMPUTED_VALUE"""),"Tracy Avery")</f>
        <v>Tracy Avery</v>
      </c>
      <c r="I177" s="9">
        <f ca="1">IFERROR(__xludf.DUMMYFUNCTION("""COMPUTED_VALUE"""),45358)</f>
        <v>45358</v>
      </c>
      <c r="J177" s="9">
        <f ca="1">IFERROR(__xludf.DUMMYFUNCTION("""COMPUTED_VALUE"""),45358)</f>
        <v>45358</v>
      </c>
      <c r="K177" s="8" t="str">
        <f ca="1">IFERROR(__xludf.DUMMYFUNCTION("""COMPUTED_VALUE"""),"AM")</f>
        <v>AM</v>
      </c>
      <c r="L177" s="8" t="str">
        <f ca="1">IFERROR(__xludf.DUMMYFUNCTION("""COMPUTED_VALUE"""),"8th Grade")</f>
        <v>8th Grade</v>
      </c>
      <c r="M177" s="8" t="str">
        <f ca="1">IFERROR(__xludf.DUMMYFUNCTION("""COMPUTED_VALUE"""),"Math")</f>
        <v>Math</v>
      </c>
      <c r="N177" s="8">
        <f ca="1">IFERROR(__xludf.DUMMYFUNCTION("""COMPUTED_VALUE"""),9.5)</f>
        <v>9.5</v>
      </c>
      <c r="O177" s="8" t="str">
        <f ca="1">IFERROR(__xludf.DUMMYFUNCTION("""COMPUTED_VALUE"""),"Exemplary")</f>
        <v>Exemplary</v>
      </c>
      <c r="P177" s="8">
        <f ca="1">IFERROR(__xludf.DUMMYFUNCTION("""COMPUTED_VALUE"""),1)</f>
        <v>1</v>
      </c>
      <c r="Q177" s="8">
        <f ca="1">IFERROR(__xludf.DUMMYFUNCTION("""COMPUTED_VALUE"""),3)</f>
        <v>3</v>
      </c>
      <c r="R177" s="8">
        <f ca="1">IFERROR(__xludf.DUMMYFUNCTION("""COMPUTED_VALUE"""),3.5)</f>
        <v>3.5</v>
      </c>
      <c r="S177" s="8">
        <f ca="1">IFERROR(__xludf.DUMMYFUNCTION("""COMPUTED_VALUE"""),2)</f>
        <v>2</v>
      </c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</row>
    <row r="178" spans="1:31" ht="13.15" x14ac:dyDescent="0.4">
      <c r="A178" s="8"/>
      <c r="B178" s="8"/>
      <c r="C178" s="8"/>
      <c r="D178" s="8"/>
      <c r="E178" s="8" t="str">
        <f ca="1">IFERROR(__xludf.DUMMYFUNCTION("""COMPUTED_VALUE"""),"ECTOR")</f>
        <v>ECTOR</v>
      </c>
      <c r="F178" s="8" t="str">
        <f ca="1">IFERROR(__xludf.DUMMYFUNCTION("""COMPUTED_VALUE"""),"Learning Coach")</f>
        <v>Learning Coach</v>
      </c>
      <c r="G178" s="8" t="str">
        <f ca="1">IFERROR(__xludf.DUMMYFUNCTION("""COMPUTED_VALUE"""),"Brenda Hardin")</f>
        <v>Brenda Hardin</v>
      </c>
      <c r="H178" s="8" t="str">
        <f ca="1">IFERROR(__xludf.DUMMYFUNCTION("""COMPUTED_VALUE"""),"Tracy Avery")</f>
        <v>Tracy Avery</v>
      </c>
      <c r="I178" s="9">
        <f ca="1">IFERROR(__xludf.DUMMYFUNCTION("""COMPUTED_VALUE"""),45358)</f>
        <v>45358</v>
      </c>
      <c r="J178" s="9"/>
      <c r="K178" s="8" t="str">
        <f ca="1">IFERROR(__xludf.DUMMYFUNCTION("""COMPUTED_VALUE"""),"AM")</f>
        <v>AM</v>
      </c>
      <c r="L178" s="8"/>
      <c r="M178" s="8"/>
      <c r="N178" s="8">
        <f ca="1">IFERROR(__xludf.DUMMYFUNCTION("""COMPUTED_VALUE"""),8)</f>
        <v>8</v>
      </c>
      <c r="O178" s="8" t="str">
        <f ca="1">IFERROR(__xludf.DUMMYFUNCTION("""COMPUTED_VALUE"""),"Proficient II")</f>
        <v>Proficient II</v>
      </c>
      <c r="P178" s="8">
        <f ca="1">IFERROR(__xludf.DUMMYFUNCTION("""COMPUTED_VALUE"""),1.5)</f>
        <v>1.5</v>
      </c>
      <c r="Q178" s="8">
        <f ca="1">IFERROR(__xludf.DUMMYFUNCTION("""COMPUTED_VALUE"""),4)</f>
        <v>4</v>
      </c>
      <c r="R178" s="8">
        <f ca="1">IFERROR(__xludf.DUMMYFUNCTION("""COMPUTED_VALUE"""),2.5)</f>
        <v>2.5</v>
      </c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</row>
    <row r="179" spans="1:31" ht="13.15" x14ac:dyDescent="0.4">
      <c r="A179" s="8"/>
      <c r="B179" s="8"/>
      <c r="C179" s="8"/>
      <c r="D179" s="8"/>
      <c r="E179" s="8" t="str">
        <f ca="1">IFERROR(__xludf.DUMMYFUNCTION("""COMPUTED_VALUE"""),"ECTOR")</f>
        <v>ECTOR</v>
      </c>
      <c r="F179" s="8" t="str">
        <f ca="1">IFERROR(__xludf.DUMMYFUNCTION("""COMPUTED_VALUE"""),"Teacher Apprentice")</f>
        <v>Teacher Apprentice</v>
      </c>
      <c r="G179" s="8" t="str">
        <f ca="1">IFERROR(__xludf.DUMMYFUNCTION("""COMPUTED_VALUE"""),"Audrey Johnson")</f>
        <v>Audrey Johnson</v>
      </c>
      <c r="H179" s="8" t="str">
        <f ca="1">IFERROR(__xludf.DUMMYFUNCTION("""COMPUTED_VALUE"""),"Tracy Avery")</f>
        <v>Tracy Avery</v>
      </c>
      <c r="I179" s="9">
        <f ca="1">IFERROR(__xludf.DUMMYFUNCTION("""COMPUTED_VALUE"""),45358)</f>
        <v>45358</v>
      </c>
      <c r="J179" s="9">
        <f ca="1">IFERROR(__xludf.DUMMYFUNCTION("""COMPUTED_VALUE"""),45359)</f>
        <v>45359</v>
      </c>
      <c r="K179" s="8" t="str">
        <f ca="1">IFERROR(__xludf.DUMMYFUNCTION("""COMPUTED_VALUE"""),"PM")</f>
        <v>PM</v>
      </c>
      <c r="L179" s="8" t="str">
        <f ca="1">IFERROR(__xludf.DUMMYFUNCTION("""COMPUTED_VALUE"""),"8th Grade")</f>
        <v>8th Grade</v>
      </c>
      <c r="M179" s="8" t="str">
        <f ca="1">IFERROR(__xludf.DUMMYFUNCTION("""COMPUTED_VALUE"""),"Science")</f>
        <v>Science</v>
      </c>
      <c r="N179" s="8">
        <f ca="1">IFERROR(__xludf.DUMMYFUNCTION("""COMPUTED_VALUE"""),6)</f>
        <v>6</v>
      </c>
      <c r="O179" s="8" t="str">
        <f ca="1">IFERROR(__xludf.DUMMYFUNCTION("""COMPUTED_VALUE"""),"Proficient I")</f>
        <v>Proficient I</v>
      </c>
      <c r="P179" s="8">
        <f ca="1">IFERROR(__xludf.DUMMYFUNCTION("""COMPUTED_VALUE"""),1)</f>
        <v>1</v>
      </c>
      <c r="Q179" s="8">
        <f ca="1">IFERROR(__xludf.DUMMYFUNCTION("""COMPUTED_VALUE"""),1.5)</f>
        <v>1.5</v>
      </c>
      <c r="R179" s="8">
        <f ca="1">IFERROR(__xludf.DUMMYFUNCTION("""COMPUTED_VALUE"""),2)</f>
        <v>2</v>
      </c>
      <c r="S179" s="8">
        <f ca="1">IFERROR(__xludf.DUMMYFUNCTION("""COMPUTED_VALUE"""),1.5)</f>
        <v>1.5</v>
      </c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</row>
    <row r="180" spans="1:31" ht="13.15" x14ac:dyDescent="0.4">
      <c r="A180" s="8"/>
      <c r="B180" s="8"/>
      <c r="C180" s="8"/>
      <c r="D180" s="8"/>
      <c r="E180" s="8" t="str">
        <f ca="1">IFERROR(__xludf.DUMMYFUNCTION("""COMPUTED_VALUE"""),"FEHL-PRICE")</f>
        <v>FEHL-PRICE</v>
      </c>
      <c r="F180" s="8" t="str">
        <f ca="1">IFERROR(__xludf.DUMMYFUNCTION("""COMPUTED_VALUE"""),"K-1")</f>
        <v>K-1</v>
      </c>
      <c r="G180" s="8" t="str">
        <f ca="1">IFERROR(__xludf.DUMMYFUNCTION("""COMPUTED_VALUE"""),"Payton Cooper")</f>
        <v>Payton Cooper</v>
      </c>
      <c r="H180" s="8" t="str">
        <f ca="1">IFERROR(__xludf.DUMMYFUNCTION("""COMPUTED_VALUE"""),"Clarissa Wilson")</f>
        <v>Clarissa Wilson</v>
      </c>
      <c r="I180" s="9">
        <f ca="1">IFERROR(__xludf.DUMMYFUNCTION("""COMPUTED_VALUE"""),45356)</f>
        <v>45356</v>
      </c>
      <c r="J180" s="9">
        <f ca="1">IFERROR(__xludf.DUMMYFUNCTION("""COMPUTED_VALUE"""),45357)</f>
        <v>45357</v>
      </c>
      <c r="K180" s="8" t="str">
        <f ca="1">IFERROR(__xludf.DUMMYFUNCTION("""COMPUTED_VALUE"""),"PM")</f>
        <v>PM</v>
      </c>
      <c r="L180" s="8" t="str">
        <f ca="1">IFERROR(__xludf.DUMMYFUNCTION("""COMPUTED_VALUE"""),"1st Grade")</f>
        <v>1st Grade</v>
      </c>
      <c r="M180" s="8" t="str">
        <f ca="1">IFERROR(__xludf.DUMMYFUNCTION("""COMPUTED_VALUE"""),"ELA")</f>
        <v>ELA</v>
      </c>
      <c r="N180" s="8">
        <f ca="1">IFERROR(__xludf.DUMMYFUNCTION("""COMPUTED_VALUE"""),5.5)</f>
        <v>5.5</v>
      </c>
      <c r="O180" s="8" t="str">
        <f ca="1">IFERROR(__xludf.DUMMYFUNCTION("""COMPUTED_VALUE"""),"Progressing")</f>
        <v>Progressing</v>
      </c>
      <c r="P180" s="8">
        <f ca="1">IFERROR(__xludf.DUMMYFUNCTION("""COMPUTED_VALUE"""),1)</f>
        <v>1</v>
      </c>
      <c r="Q180" s="8">
        <f ca="1">IFERROR(__xludf.DUMMYFUNCTION("""COMPUTED_VALUE"""),1.5)</f>
        <v>1.5</v>
      </c>
      <c r="R180" s="8">
        <f ca="1">IFERROR(__xludf.DUMMYFUNCTION("""COMPUTED_VALUE"""),1.5)</f>
        <v>1.5</v>
      </c>
      <c r="S180" s="8">
        <f ca="1">IFERROR(__xludf.DUMMYFUNCTION("""COMPUTED_VALUE"""),1.5)</f>
        <v>1.5</v>
      </c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</row>
    <row r="181" spans="1:31" ht="13.15" x14ac:dyDescent="0.4">
      <c r="A181" s="8"/>
      <c r="B181" s="8"/>
      <c r="C181" s="8"/>
      <c r="D181" s="8"/>
      <c r="E181" s="8" t="str">
        <f ca="1">IFERROR(__xludf.DUMMYFUNCTION("""COMPUTED_VALUE"""),"FEHL-PRICE")</f>
        <v>FEHL-PRICE</v>
      </c>
      <c r="F181" s="8" t="str">
        <f ca="1">IFERROR(__xludf.DUMMYFUNCTION("""COMPUTED_VALUE"""),"K-1")</f>
        <v>K-1</v>
      </c>
      <c r="G181" s="8" t="str">
        <f ca="1">IFERROR(__xludf.DUMMYFUNCTION("""COMPUTED_VALUE"""),"Sherrie James")</f>
        <v>Sherrie James</v>
      </c>
      <c r="H181" s="8" t="str">
        <f ca="1">IFERROR(__xludf.DUMMYFUNCTION("""COMPUTED_VALUE"""),"Clarissa Wilson")</f>
        <v>Clarissa Wilson</v>
      </c>
      <c r="I181" s="9">
        <f ca="1">IFERROR(__xludf.DUMMYFUNCTION("""COMPUTED_VALUE"""),45356)</f>
        <v>45356</v>
      </c>
      <c r="J181" s="9">
        <f ca="1">IFERROR(__xludf.DUMMYFUNCTION("""COMPUTED_VALUE"""),45358)</f>
        <v>45358</v>
      </c>
      <c r="K181" s="8" t="str">
        <f ca="1">IFERROR(__xludf.DUMMYFUNCTION("""COMPUTED_VALUE"""),"AM")</f>
        <v>AM</v>
      </c>
      <c r="L181" s="8" t="str">
        <f ca="1">IFERROR(__xludf.DUMMYFUNCTION("""COMPUTED_VALUE"""),"1st Grade")</f>
        <v>1st Grade</v>
      </c>
      <c r="M181" s="8" t="str">
        <f ca="1">IFERROR(__xludf.DUMMYFUNCTION("""COMPUTED_VALUE"""),"Math")</f>
        <v>Math</v>
      </c>
      <c r="N181" s="8">
        <f ca="1">IFERROR(__xludf.DUMMYFUNCTION("""COMPUTED_VALUE"""),3.5)</f>
        <v>3.5</v>
      </c>
      <c r="O181" s="8" t="str">
        <f ca="1">IFERROR(__xludf.DUMMYFUNCTION("""COMPUTED_VALUE"""),"Unsatisfactory")</f>
        <v>Unsatisfactory</v>
      </c>
      <c r="P181" s="8">
        <f ca="1">IFERROR(__xludf.DUMMYFUNCTION("""COMPUTED_VALUE"""),1)</f>
        <v>1</v>
      </c>
      <c r="Q181" s="8">
        <f ca="1">IFERROR(__xludf.DUMMYFUNCTION("""COMPUTED_VALUE"""),0.5)</f>
        <v>0.5</v>
      </c>
      <c r="R181" s="8">
        <f ca="1">IFERROR(__xludf.DUMMYFUNCTION("""COMPUTED_VALUE"""),1)</f>
        <v>1</v>
      </c>
      <c r="S181" s="8">
        <f ca="1">IFERROR(__xludf.DUMMYFUNCTION("""COMPUTED_VALUE"""),1)</f>
        <v>1</v>
      </c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</row>
    <row r="182" spans="1:31" ht="13.15" x14ac:dyDescent="0.4">
      <c r="A182" s="8"/>
      <c r="B182" s="8"/>
      <c r="C182" s="8"/>
      <c r="D182" s="8"/>
      <c r="E182" s="8" t="str">
        <f ca="1">IFERROR(__xludf.DUMMYFUNCTION("""COMPUTED_VALUE"""),"FEHL-PRICE")</f>
        <v>FEHL-PRICE</v>
      </c>
      <c r="F182" s="8" t="str">
        <f ca="1">IFERROR(__xludf.DUMMYFUNCTION("""COMPUTED_VALUE"""),"Core Subject With LSAE")</f>
        <v>Core Subject With LSAE</v>
      </c>
      <c r="G182" s="8" t="str">
        <f ca="1">IFERROR(__xludf.DUMMYFUNCTION("""COMPUTED_VALUE"""),"Kayla Bevil")</f>
        <v>Kayla Bevil</v>
      </c>
      <c r="H182" s="8" t="str">
        <f ca="1">IFERROR(__xludf.DUMMYFUNCTION("""COMPUTED_VALUE"""),"Clarissa Wilson")</f>
        <v>Clarissa Wilson</v>
      </c>
      <c r="I182" s="9">
        <f ca="1">IFERROR(__xludf.DUMMYFUNCTION("""COMPUTED_VALUE"""),45357)</f>
        <v>45357</v>
      </c>
      <c r="J182" s="9">
        <f ca="1">IFERROR(__xludf.DUMMYFUNCTION("""COMPUTED_VALUE"""),45358)</f>
        <v>45358</v>
      </c>
      <c r="K182" s="8" t="str">
        <f ca="1">IFERROR(__xludf.DUMMYFUNCTION("""COMPUTED_VALUE"""),"AM")</f>
        <v>AM</v>
      </c>
      <c r="L182" s="8" t="str">
        <f ca="1">IFERROR(__xludf.DUMMYFUNCTION("""COMPUTED_VALUE"""),"4th Grade")</f>
        <v>4th Grade</v>
      </c>
      <c r="M182" s="8" t="str">
        <f ca="1">IFERROR(__xludf.DUMMYFUNCTION("""COMPUTED_VALUE"""),"Math")</f>
        <v>Math</v>
      </c>
      <c r="N182" s="8">
        <f ca="1">IFERROR(__xludf.DUMMYFUNCTION("""COMPUTED_VALUE"""),7)</f>
        <v>7</v>
      </c>
      <c r="O182" s="8" t="str">
        <f ca="1">IFERROR(__xludf.DUMMYFUNCTION("""COMPUTED_VALUE"""),"Proficient I")</f>
        <v>Proficient I</v>
      </c>
      <c r="P182" s="8">
        <f ca="1">IFERROR(__xludf.DUMMYFUNCTION("""COMPUTED_VALUE"""),1)</f>
        <v>1</v>
      </c>
      <c r="Q182" s="8">
        <f ca="1">IFERROR(__xludf.DUMMYFUNCTION("""COMPUTED_VALUE"""),2.5)</f>
        <v>2.5</v>
      </c>
      <c r="R182" s="8">
        <f ca="1">IFERROR(__xludf.DUMMYFUNCTION("""COMPUTED_VALUE"""),2)</f>
        <v>2</v>
      </c>
      <c r="S182" s="8">
        <f ca="1">IFERROR(__xludf.DUMMYFUNCTION("""COMPUTED_VALUE"""),1.5)</f>
        <v>1.5</v>
      </c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</row>
    <row r="183" spans="1:31" ht="13.15" x14ac:dyDescent="0.4">
      <c r="A183" s="8"/>
      <c r="B183" s="8"/>
      <c r="C183" s="8"/>
      <c r="D183" s="8"/>
      <c r="E183" s="8" t="str">
        <f ca="1">IFERROR(__xludf.DUMMYFUNCTION("""COMPUTED_VALUE"""),"FEHL-PRICE")</f>
        <v>FEHL-PRICE</v>
      </c>
      <c r="F183" s="8" t="str">
        <f ca="1">IFERROR(__xludf.DUMMYFUNCTION("""COMPUTED_VALUE"""),"K-1")</f>
        <v>K-1</v>
      </c>
      <c r="G183" s="8" t="str">
        <f ca="1">IFERROR(__xludf.DUMMYFUNCTION("""COMPUTED_VALUE"""),"Raylyn Reynolds")</f>
        <v>Raylyn Reynolds</v>
      </c>
      <c r="H183" s="14" t="str">
        <f ca="1">IFERROR(__xludf.DUMMYFUNCTION("""COMPUTED_VALUE"""),"Clarissa Wilson")</f>
        <v>Clarissa Wilson</v>
      </c>
      <c r="I183" s="9">
        <f ca="1">IFERROR(__xludf.DUMMYFUNCTION("""COMPUTED_VALUE"""),45357)</f>
        <v>45357</v>
      </c>
      <c r="J183" s="9">
        <f ca="1">IFERROR(__xludf.DUMMYFUNCTION("""COMPUTED_VALUE"""),45359)</f>
        <v>45359</v>
      </c>
      <c r="K183" s="8" t="str">
        <f ca="1">IFERROR(__xludf.DUMMYFUNCTION("""COMPUTED_VALUE"""),"AM")</f>
        <v>AM</v>
      </c>
      <c r="L183" s="8" t="str">
        <f ca="1">IFERROR(__xludf.DUMMYFUNCTION("""COMPUTED_VALUE"""),"Kindergarten")</f>
        <v>Kindergarten</v>
      </c>
      <c r="M183" s="8" t="str">
        <f ca="1">IFERROR(__xludf.DUMMYFUNCTION("""COMPUTED_VALUE"""),"ELA")</f>
        <v>ELA</v>
      </c>
      <c r="N183" s="8">
        <f ca="1">IFERROR(__xludf.DUMMYFUNCTION("""COMPUTED_VALUE"""),3)</f>
        <v>3</v>
      </c>
      <c r="O183" s="8" t="str">
        <f ca="1">IFERROR(__xludf.DUMMYFUNCTION("""COMPUTED_VALUE"""),"Unsatisfactory")</f>
        <v>Unsatisfactory</v>
      </c>
      <c r="P183" s="8">
        <f ca="1">IFERROR(__xludf.DUMMYFUNCTION("""COMPUTED_VALUE"""),1)</f>
        <v>1</v>
      </c>
      <c r="Q183" s="8">
        <f ca="1">IFERROR(__xludf.DUMMYFUNCTION("""COMPUTED_VALUE"""),0.5)</f>
        <v>0.5</v>
      </c>
      <c r="R183" s="8">
        <f ca="1">IFERROR(__xludf.DUMMYFUNCTION("""COMPUTED_VALUE"""),1)</f>
        <v>1</v>
      </c>
      <c r="S183" s="8">
        <f ca="1">IFERROR(__xludf.DUMMYFUNCTION("""COMPUTED_VALUE"""),0.5)</f>
        <v>0.5</v>
      </c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</row>
    <row r="184" spans="1:31" ht="13.15" x14ac:dyDescent="0.4">
      <c r="A184" s="8"/>
      <c r="B184" s="8"/>
      <c r="C184" s="8"/>
      <c r="D184" s="8"/>
      <c r="E184" s="8" t="str">
        <f ca="1">IFERROR(__xludf.DUMMYFUNCTION("""COMPUTED_VALUE"""),"FEHL-PRICE")</f>
        <v>FEHL-PRICE</v>
      </c>
      <c r="F184" s="8" t="str">
        <f ca="1">IFERROR(__xludf.DUMMYFUNCTION("""COMPUTED_VALUE"""),"Learning Coach -- Sub")</f>
        <v>Learning Coach -- Sub</v>
      </c>
      <c r="G184" s="8" t="str">
        <f ca="1">IFERROR(__xludf.DUMMYFUNCTION("""COMPUTED_VALUE"""),"Ashley Lavergne")</f>
        <v>Ashley Lavergne</v>
      </c>
      <c r="H184" s="8" t="str">
        <f ca="1">IFERROR(__xludf.DUMMYFUNCTION("""COMPUTED_VALUE"""),"Clarissa Wilson")</f>
        <v>Clarissa Wilson</v>
      </c>
      <c r="I184" s="9">
        <f ca="1">IFERROR(__xludf.DUMMYFUNCTION("""COMPUTED_VALUE"""),45357)</f>
        <v>45357</v>
      </c>
      <c r="J184" s="9">
        <f ca="1">IFERROR(__xludf.DUMMYFUNCTION("""COMPUTED_VALUE"""),45357)</f>
        <v>45357</v>
      </c>
      <c r="K184" s="8" t="str">
        <f ca="1">IFERROR(__xludf.DUMMYFUNCTION("""COMPUTED_VALUE"""),"PM")</f>
        <v>PM</v>
      </c>
      <c r="L184" s="8" t="str">
        <f ca="1">IFERROR(__xludf.DUMMYFUNCTION("""COMPUTED_VALUE"""),"Kindergarten")</f>
        <v>Kindergarten</v>
      </c>
      <c r="M184" s="8" t="str">
        <f ca="1">IFERROR(__xludf.DUMMYFUNCTION("""COMPUTED_VALUE"""),"Math")</f>
        <v>Math</v>
      </c>
      <c r="N184" s="8">
        <f ca="1">IFERROR(__xludf.DUMMYFUNCTION("""COMPUTED_VALUE"""),8)</f>
        <v>8</v>
      </c>
      <c r="O184" s="8" t="str">
        <f ca="1">IFERROR(__xludf.DUMMYFUNCTION("""COMPUTED_VALUE"""),"Proficient II")</f>
        <v>Proficient II</v>
      </c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</row>
    <row r="185" spans="1:31" ht="13.15" x14ac:dyDescent="0.4">
      <c r="A185" s="8"/>
      <c r="B185" s="8"/>
      <c r="C185" s="8"/>
      <c r="D185" s="8"/>
      <c r="E185" s="8" t="str">
        <f ca="1">IFERROR(__xludf.DUMMYFUNCTION("""COMPUTED_VALUE"""),"FEHL-PRICE")</f>
        <v>FEHL-PRICE</v>
      </c>
      <c r="F185" s="8" t="str">
        <f ca="1">IFERROR(__xludf.DUMMYFUNCTION("""COMPUTED_VALUE"""),"Core Subject With LSAE")</f>
        <v>Core Subject With LSAE</v>
      </c>
      <c r="G185" s="8" t="str">
        <f ca="1">IFERROR(__xludf.DUMMYFUNCTION("""COMPUTED_VALUE"""),"Ashlie Holmes")</f>
        <v>Ashlie Holmes</v>
      </c>
      <c r="H185" s="8" t="str">
        <f ca="1">IFERROR(__xludf.DUMMYFUNCTION("""COMPUTED_VALUE"""),"Clarissa Wilson")</f>
        <v>Clarissa Wilson</v>
      </c>
      <c r="I185" s="9">
        <f ca="1">IFERROR(__xludf.DUMMYFUNCTION("""COMPUTED_VALUE"""),45358)</f>
        <v>45358</v>
      </c>
      <c r="J185" s="9">
        <f ca="1">IFERROR(__xludf.DUMMYFUNCTION("""COMPUTED_VALUE"""),45358)</f>
        <v>45358</v>
      </c>
      <c r="K185" s="8" t="str">
        <f ca="1">IFERROR(__xludf.DUMMYFUNCTION("""COMPUTED_VALUE"""),"AM")</f>
        <v>AM</v>
      </c>
      <c r="L185" s="8" t="str">
        <f ca="1">IFERROR(__xludf.DUMMYFUNCTION("""COMPUTED_VALUE"""),"3rd Grade")</f>
        <v>3rd Grade</v>
      </c>
      <c r="M185" s="8" t="str">
        <f ca="1">IFERROR(__xludf.DUMMYFUNCTION("""COMPUTED_VALUE"""),"Math")</f>
        <v>Math</v>
      </c>
      <c r="N185" s="8">
        <f ca="1">IFERROR(__xludf.DUMMYFUNCTION("""COMPUTED_VALUE"""),5)</f>
        <v>5</v>
      </c>
      <c r="O185" s="8" t="str">
        <f ca="1">IFERROR(__xludf.DUMMYFUNCTION("""COMPUTED_VALUE"""),"Progressing")</f>
        <v>Progressing</v>
      </c>
      <c r="P185" s="8">
        <f ca="1">IFERROR(__xludf.DUMMYFUNCTION("""COMPUTED_VALUE"""),1)</f>
        <v>1</v>
      </c>
      <c r="Q185" s="8">
        <f ca="1">IFERROR(__xludf.DUMMYFUNCTION("""COMPUTED_VALUE"""),1.5)</f>
        <v>1.5</v>
      </c>
      <c r="R185" s="8">
        <f ca="1">IFERROR(__xludf.DUMMYFUNCTION("""COMPUTED_VALUE"""),1.5)</f>
        <v>1.5</v>
      </c>
      <c r="S185" s="8">
        <f ca="1">IFERROR(__xludf.DUMMYFUNCTION("""COMPUTED_VALUE"""),1)</f>
        <v>1</v>
      </c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</row>
    <row r="186" spans="1:31" ht="13.15" x14ac:dyDescent="0.4">
      <c r="A186" s="8"/>
      <c r="B186" s="8"/>
      <c r="C186" s="8"/>
      <c r="D186" s="8"/>
      <c r="E186" s="8" t="str">
        <f ca="1">IFERROR(__xludf.DUMMYFUNCTION("""COMPUTED_VALUE"""),"FEHL-PRICE")</f>
        <v>FEHL-PRICE</v>
      </c>
      <c r="F186" s="8" t="str">
        <f ca="1">IFERROR(__xludf.DUMMYFUNCTION("""COMPUTED_VALUE"""),"Core Subject With LSAE")</f>
        <v>Core Subject With LSAE</v>
      </c>
      <c r="G186" s="8" t="str">
        <f ca="1">IFERROR(__xludf.DUMMYFUNCTION("""COMPUTED_VALUE"""),"Whitney Hudson")</f>
        <v>Whitney Hudson</v>
      </c>
      <c r="H186" s="8" t="str">
        <f ca="1">IFERROR(__xludf.DUMMYFUNCTION("""COMPUTED_VALUE"""),"Clarissa Wilson")</f>
        <v>Clarissa Wilson</v>
      </c>
      <c r="I186" s="9">
        <f ca="1">IFERROR(__xludf.DUMMYFUNCTION("""COMPUTED_VALUE"""),45358)</f>
        <v>45358</v>
      </c>
      <c r="J186" s="9">
        <f ca="1">IFERROR(__xludf.DUMMYFUNCTION("""COMPUTED_VALUE"""),45359)</f>
        <v>45359</v>
      </c>
      <c r="K186" s="8" t="str">
        <f ca="1">IFERROR(__xludf.DUMMYFUNCTION("""COMPUTED_VALUE"""),"AM")</f>
        <v>AM</v>
      </c>
      <c r="L186" s="8" t="str">
        <f ca="1">IFERROR(__xludf.DUMMYFUNCTION("""COMPUTED_VALUE"""),"3rd Grade")</f>
        <v>3rd Grade</v>
      </c>
      <c r="M186" s="8" t="str">
        <f ca="1">IFERROR(__xludf.DUMMYFUNCTION("""COMPUTED_VALUE"""),"ELA")</f>
        <v>ELA</v>
      </c>
      <c r="N186" s="8">
        <f ca="1">IFERROR(__xludf.DUMMYFUNCTION("""COMPUTED_VALUE"""),6)</f>
        <v>6</v>
      </c>
      <c r="O186" s="8" t="str">
        <f ca="1">IFERROR(__xludf.DUMMYFUNCTION("""COMPUTED_VALUE"""),"Proficient I")</f>
        <v>Proficient I</v>
      </c>
      <c r="P186" s="8">
        <f ca="1">IFERROR(__xludf.DUMMYFUNCTION("""COMPUTED_VALUE"""),1)</f>
        <v>1</v>
      </c>
      <c r="Q186" s="8">
        <f ca="1">IFERROR(__xludf.DUMMYFUNCTION("""COMPUTED_VALUE"""),1.5)</f>
        <v>1.5</v>
      </c>
      <c r="R186" s="8">
        <f ca="1">IFERROR(__xludf.DUMMYFUNCTION("""COMPUTED_VALUE"""),2)</f>
        <v>2</v>
      </c>
      <c r="S186" s="8">
        <f ca="1">IFERROR(__xludf.DUMMYFUNCTION("""COMPUTED_VALUE"""),1.5)</f>
        <v>1.5</v>
      </c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</row>
    <row r="187" spans="1:31" ht="13.15" x14ac:dyDescent="0.4">
      <c r="A187" s="8"/>
      <c r="B187" s="8"/>
      <c r="C187" s="8"/>
      <c r="D187" s="8"/>
      <c r="E187" s="8" t="str">
        <f ca="1">IFERROR(__xludf.DUMMYFUNCTION("""COMPUTED_VALUE"""),"FEHL-PRICE")</f>
        <v>FEHL-PRICE</v>
      </c>
      <c r="F187" s="8" t="str">
        <f ca="1">IFERROR(__xludf.DUMMYFUNCTION("""COMPUTED_VALUE"""),"Core Subject No LSAE")</f>
        <v>Core Subject No LSAE</v>
      </c>
      <c r="G187" s="8" t="str">
        <f ca="1">IFERROR(__xludf.DUMMYFUNCTION("""COMPUTED_VALUE"""),"Anitra Smith")</f>
        <v>Anitra Smith</v>
      </c>
      <c r="H187" s="8" t="str">
        <f ca="1">IFERROR(__xludf.DUMMYFUNCTION("""COMPUTED_VALUE"""),"Clarissa Wilson")</f>
        <v>Clarissa Wilson</v>
      </c>
      <c r="I187" s="9">
        <f ca="1">IFERROR(__xludf.DUMMYFUNCTION("""COMPUTED_VALUE"""),45359)</f>
        <v>45359</v>
      </c>
      <c r="J187" s="9">
        <f ca="1">IFERROR(__xludf.DUMMYFUNCTION("""COMPUTED_VALUE"""),45359)</f>
        <v>45359</v>
      </c>
      <c r="K187" s="8" t="str">
        <f ca="1">IFERROR(__xludf.DUMMYFUNCTION("""COMPUTED_VALUE"""),"AM")</f>
        <v>AM</v>
      </c>
      <c r="L187" s="8" t="str">
        <f ca="1">IFERROR(__xludf.DUMMYFUNCTION("""COMPUTED_VALUE"""),"3rd Grade")</f>
        <v>3rd Grade</v>
      </c>
      <c r="M187" s="8" t="str">
        <f ca="1">IFERROR(__xludf.DUMMYFUNCTION("""COMPUTED_VALUE"""),"ELA")</f>
        <v>ELA</v>
      </c>
      <c r="N187" s="8">
        <f ca="1">IFERROR(__xludf.DUMMYFUNCTION("""COMPUTED_VALUE"""),7)</f>
        <v>7</v>
      </c>
      <c r="O187" s="8" t="str">
        <f ca="1">IFERROR(__xludf.DUMMYFUNCTION("""COMPUTED_VALUE"""),"Proficient I")</f>
        <v>Proficient I</v>
      </c>
      <c r="P187" s="8">
        <f ca="1">IFERROR(__xludf.DUMMYFUNCTION("""COMPUTED_VALUE"""),2)</f>
        <v>2</v>
      </c>
      <c r="Q187" s="8">
        <f ca="1">IFERROR(__xludf.DUMMYFUNCTION("""COMPUTED_VALUE"""),2.5)</f>
        <v>2.5</v>
      </c>
      <c r="R187" s="8">
        <f ca="1">IFERROR(__xludf.DUMMYFUNCTION("""COMPUTED_VALUE"""),2.5)</f>
        <v>2.5</v>
      </c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</row>
    <row r="188" spans="1:31" ht="13.15" x14ac:dyDescent="0.4">
      <c r="A188" s="8"/>
      <c r="B188" s="8"/>
      <c r="C188" s="8"/>
      <c r="D188" s="8"/>
      <c r="E188" s="8" t="str">
        <f ca="1">IFERROR(__xludf.DUMMYFUNCTION("""COMPUTED_VALUE"""),"FEHL-PRICE")</f>
        <v>FEHL-PRICE</v>
      </c>
      <c r="F188" s="8" t="str">
        <f ca="1">IFERROR(__xludf.DUMMYFUNCTION("""COMPUTED_VALUE"""),"Electives")</f>
        <v>Electives</v>
      </c>
      <c r="G188" s="8" t="str">
        <f ca="1">IFERROR(__xludf.DUMMYFUNCTION("""COMPUTED_VALUE"""),"Carrie Bryant")</f>
        <v>Carrie Bryant</v>
      </c>
      <c r="H188" s="8" t="str">
        <f ca="1">IFERROR(__xludf.DUMMYFUNCTION("""COMPUTED_VALUE"""),"Clarissa Wilson")</f>
        <v>Clarissa Wilson</v>
      </c>
      <c r="I188" s="9">
        <f ca="1">IFERROR(__xludf.DUMMYFUNCTION("""COMPUTED_VALUE"""),45359)</f>
        <v>45359</v>
      </c>
      <c r="J188" s="9">
        <f ca="1">IFERROR(__xludf.DUMMYFUNCTION("""COMPUTED_VALUE"""),45359)</f>
        <v>45359</v>
      </c>
      <c r="K188" s="8" t="str">
        <f ca="1">IFERROR(__xludf.DUMMYFUNCTION("""COMPUTED_VALUE"""),"AM")</f>
        <v>AM</v>
      </c>
      <c r="L188" s="8" t="str">
        <f ca="1">IFERROR(__xludf.DUMMYFUNCTION("""COMPUTED_VALUE"""),"Kindergarten")</f>
        <v>Kindergarten</v>
      </c>
      <c r="M188" s="8" t="str">
        <f ca="1">IFERROR(__xludf.DUMMYFUNCTION("""COMPUTED_VALUE"""),"Art")</f>
        <v>Art</v>
      </c>
      <c r="N188" s="8">
        <f ca="1">IFERROR(__xludf.DUMMYFUNCTION("""COMPUTED_VALUE"""),9)</f>
        <v>9</v>
      </c>
      <c r="O188" s="8" t="str">
        <f ca="1">IFERROR(__xludf.DUMMYFUNCTION("""COMPUTED_VALUE"""),"Proficient II")</f>
        <v>Proficient II</v>
      </c>
      <c r="P188" s="8">
        <f ca="1">IFERROR(__xludf.DUMMYFUNCTION("""COMPUTED_VALUE"""),2)</f>
        <v>2</v>
      </c>
      <c r="Q188" s="8">
        <f ca="1">IFERROR(__xludf.DUMMYFUNCTION("""COMPUTED_VALUE"""),4.5)</f>
        <v>4.5</v>
      </c>
      <c r="R188" s="8">
        <f ca="1">IFERROR(__xludf.DUMMYFUNCTION("""COMPUTED_VALUE"""),2.5)</f>
        <v>2.5</v>
      </c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</row>
    <row r="189" spans="1:31" ht="13.15" x14ac:dyDescent="0.4">
      <c r="A189" s="8"/>
      <c r="B189" s="8"/>
      <c r="C189" s="8"/>
      <c r="D189" s="8"/>
      <c r="E189" s="8" t="str">
        <f ca="1">IFERROR(__xludf.DUMMYFUNCTION("""COMPUTED_VALUE"""),"FEHL-PRICE")</f>
        <v>FEHL-PRICE</v>
      </c>
      <c r="F189" s="8" t="str">
        <f ca="1">IFERROR(__xludf.DUMMYFUNCTION("""COMPUTED_VALUE"""),"K-1")</f>
        <v>K-1</v>
      </c>
      <c r="G189" s="8" t="str">
        <f ca="1">IFERROR(__xludf.DUMMYFUNCTION("""COMPUTED_VALUE"""),"Erica Day")</f>
        <v>Erica Day</v>
      </c>
      <c r="H189" s="8" t="str">
        <f ca="1">IFERROR(__xludf.DUMMYFUNCTION("""COMPUTED_VALUE"""),"Clarissa Wilson")</f>
        <v>Clarissa Wilson</v>
      </c>
      <c r="I189" s="9">
        <f ca="1">IFERROR(__xludf.DUMMYFUNCTION("""COMPUTED_VALUE"""),45359)</f>
        <v>45359</v>
      </c>
      <c r="J189" s="9">
        <f ca="1">IFERROR(__xludf.DUMMYFUNCTION("""COMPUTED_VALUE"""),45359)</f>
        <v>45359</v>
      </c>
      <c r="K189" s="8" t="str">
        <f ca="1">IFERROR(__xludf.DUMMYFUNCTION("""COMPUTED_VALUE"""),"AM")</f>
        <v>AM</v>
      </c>
      <c r="L189" s="8" t="str">
        <f ca="1">IFERROR(__xludf.DUMMYFUNCTION("""COMPUTED_VALUE"""),"Kindergarten")</f>
        <v>Kindergarten</v>
      </c>
      <c r="M189" s="8" t="str">
        <f ca="1">IFERROR(__xludf.DUMMYFUNCTION("""COMPUTED_VALUE"""),"Math")</f>
        <v>Math</v>
      </c>
      <c r="N189" s="8">
        <f ca="1">IFERROR(__xludf.DUMMYFUNCTION("""COMPUTED_VALUE"""),6)</f>
        <v>6</v>
      </c>
      <c r="O189" s="8" t="str">
        <f ca="1">IFERROR(__xludf.DUMMYFUNCTION("""COMPUTED_VALUE"""),"Proficient I")</f>
        <v>Proficient I</v>
      </c>
      <c r="P189" s="8">
        <f ca="1">IFERROR(__xludf.DUMMYFUNCTION("""COMPUTED_VALUE"""),1)</f>
        <v>1</v>
      </c>
      <c r="Q189" s="8">
        <f ca="1">IFERROR(__xludf.DUMMYFUNCTION("""COMPUTED_VALUE"""),1.5)</f>
        <v>1.5</v>
      </c>
      <c r="R189" s="8">
        <f ca="1">IFERROR(__xludf.DUMMYFUNCTION("""COMPUTED_VALUE"""),2)</f>
        <v>2</v>
      </c>
      <c r="S189" s="8">
        <f ca="1">IFERROR(__xludf.DUMMYFUNCTION("""COMPUTED_VALUE"""),1.5)</f>
        <v>1.5</v>
      </c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</row>
    <row r="190" spans="1:31" ht="13.15" x14ac:dyDescent="0.4">
      <c r="A190" s="8"/>
      <c r="B190" s="8"/>
      <c r="C190" s="8"/>
      <c r="D190" s="8"/>
      <c r="E190" s="8" t="str">
        <f ca="1">IFERROR(__xludf.DUMMYFUNCTION("""COMPUTED_VALUE"""),"FEHL-PRICE")</f>
        <v>FEHL-PRICE</v>
      </c>
      <c r="F190" s="8" t="str">
        <f ca="1">IFERROR(__xludf.DUMMYFUNCTION("""COMPUTED_VALUE"""),"Learning Coach")</f>
        <v>Learning Coach</v>
      </c>
      <c r="G190" s="8" t="str">
        <f ca="1">IFERROR(__xludf.DUMMYFUNCTION("""COMPUTED_VALUE"""),"Nevada Washington")</f>
        <v>Nevada Washington</v>
      </c>
      <c r="H190" s="8" t="str">
        <f ca="1">IFERROR(__xludf.DUMMYFUNCTION("""COMPUTED_VALUE"""),"Clarissa Wilson")</f>
        <v>Clarissa Wilson</v>
      </c>
      <c r="I190" s="9">
        <f ca="1">IFERROR(__xludf.DUMMYFUNCTION("""COMPUTED_VALUE"""),45359)</f>
        <v>45359</v>
      </c>
      <c r="J190" s="9">
        <f ca="1">IFERROR(__xludf.DUMMYFUNCTION("""COMPUTED_VALUE"""),45359)</f>
        <v>45359</v>
      </c>
      <c r="K190" s="8" t="str">
        <f ca="1">IFERROR(__xludf.DUMMYFUNCTION("""COMPUTED_VALUE"""),"PM")</f>
        <v>PM</v>
      </c>
      <c r="L190" s="8"/>
      <c r="M190" s="8"/>
      <c r="N190" s="8">
        <f ca="1">IFERROR(__xludf.DUMMYFUNCTION("""COMPUTED_VALUE"""),7)</f>
        <v>7</v>
      </c>
      <c r="O190" s="8" t="str">
        <f ca="1">IFERROR(__xludf.DUMMYFUNCTION("""COMPUTED_VALUE"""),"Proficient I")</f>
        <v>Proficient I</v>
      </c>
      <c r="P190" s="8">
        <f ca="1">IFERROR(__xludf.DUMMYFUNCTION("""COMPUTED_VALUE"""),2)</f>
        <v>2</v>
      </c>
      <c r="Q190" s="8">
        <f ca="1">IFERROR(__xludf.DUMMYFUNCTION("""COMPUTED_VALUE"""),2)</f>
        <v>2</v>
      </c>
      <c r="R190" s="8">
        <f ca="1">IFERROR(__xludf.DUMMYFUNCTION("""COMPUTED_VALUE"""),3)</f>
        <v>3</v>
      </c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</row>
    <row r="191" spans="1:31" ht="13.15" x14ac:dyDescent="0.4">
      <c r="A191" s="8"/>
      <c r="B191" s="8"/>
      <c r="C191" s="8"/>
      <c r="D191" s="8"/>
      <c r="E191" s="8" t="str">
        <f ca="1">IFERROR(__xludf.DUMMYFUNCTION("""COMPUTED_VALUE"""),"FEHL-PRICE")</f>
        <v>FEHL-PRICE</v>
      </c>
      <c r="F191" s="8" t="str">
        <f ca="1">IFERROR(__xludf.DUMMYFUNCTION("""COMPUTED_VALUE"""),"Core Subject With LSAE")</f>
        <v>Core Subject With LSAE</v>
      </c>
      <c r="G191" s="8" t="str">
        <f ca="1">IFERROR(__xludf.DUMMYFUNCTION("""COMPUTED_VALUE"""),"Sarina White")</f>
        <v>Sarina White</v>
      </c>
      <c r="H191" s="8" t="str">
        <f ca="1">IFERROR(__xludf.DUMMYFUNCTION("""COMPUTED_VALUE"""),"D.Thibedeaux")</f>
        <v>D.Thibedeaux</v>
      </c>
      <c r="I191" s="9">
        <f ca="1">IFERROR(__xludf.DUMMYFUNCTION("""COMPUTED_VALUE"""),45355)</f>
        <v>45355</v>
      </c>
      <c r="J191" s="9">
        <f ca="1">IFERROR(__xludf.DUMMYFUNCTION("""COMPUTED_VALUE"""),45355)</f>
        <v>45355</v>
      </c>
      <c r="K191" s="8" t="str">
        <f ca="1">IFERROR(__xludf.DUMMYFUNCTION("""COMPUTED_VALUE"""),"AM")</f>
        <v>AM</v>
      </c>
      <c r="L191" s="8" t="str">
        <f ca="1">IFERROR(__xludf.DUMMYFUNCTION("""COMPUTED_VALUE"""),"5th Grade")</f>
        <v>5th Grade</v>
      </c>
      <c r="M191" s="8" t="str">
        <f ca="1">IFERROR(__xludf.DUMMYFUNCTION("""COMPUTED_VALUE"""),"ELA")</f>
        <v>ELA</v>
      </c>
      <c r="N191" s="8">
        <f ca="1">IFERROR(__xludf.DUMMYFUNCTION("""COMPUTED_VALUE"""),6)</f>
        <v>6</v>
      </c>
      <c r="O191" s="8" t="str">
        <f ca="1">IFERROR(__xludf.DUMMYFUNCTION("""COMPUTED_VALUE"""),"Proficient I")</f>
        <v>Proficient I</v>
      </c>
      <c r="P191" s="8">
        <f ca="1">IFERROR(__xludf.DUMMYFUNCTION("""COMPUTED_VALUE"""),1)</f>
        <v>1</v>
      </c>
      <c r="Q191" s="8">
        <f ca="1">IFERROR(__xludf.DUMMYFUNCTION("""COMPUTED_VALUE"""),1.5)</f>
        <v>1.5</v>
      </c>
      <c r="R191" s="8">
        <f ca="1">IFERROR(__xludf.DUMMYFUNCTION("""COMPUTED_VALUE"""),2)</f>
        <v>2</v>
      </c>
      <c r="S191" s="8">
        <f ca="1">IFERROR(__xludf.DUMMYFUNCTION("""COMPUTED_VALUE"""),1.5)</f>
        <v>1.5</v>
      </c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</row>
    <row r="192" spans="1:31" ht="13.15" x14ac:dyDescent="0.4">
      <c r="A192" s="8"/>
      <c r="B192" s="8"/>
      <c r="C192" s="8"/>
      <c r="D192" s="8"/>
      <c r="E192" s="8" t="str">
        <f ca="1">IFERROR(__xludf.DUMMYFUNCTION("""COMPUTED_VALUE"""),"FEHL-PRICE")</f>
        <v>FEHL-PRICE</v>
      </c>
      <c r="F192" s="8" t="str">
        <f ca="1">IFERROR(__xludf.DUMMYFUNCTION("""COMPUTED_VALUE"""),"Learning Coach")</f>
        <v>Learning Coach</v>
      </c>
      <c r="G192" s="8" t="str">
        <f ca="1">IFERROR(__xludf.DUMMYFUNCTION("""COMPUTED_VALUE"""),"Adria Richard")</f>
        <v>Adria Richard</v>
      </c>
      <c r="H192" s="8" t="str">
        <f ca="1">IFERROR(__xludf.DUMMYFUNCTION("""COMPUTED_VALUE"""),"D.Thibedeaux")</f>
        <v>D.Thibedeaux</v>
      </c>
      <c r="I192" s="9">
        <f ca="1">IFERROR(__xludf.DUMMYFUNCTION("""COMPUTED_VALUE"""),45355)</f>
        <v>45355</v>
      </c>
      <c r="J192" s="9">
        <f ca="1">IFERROR(__xludf.DUMMYFUNCTION("""COMPUTED_VALUE"""),45356)</f>
        <v>45356</v>
      </c>
      <c r="K192" s="8" t="str">
        <f ca="1">IFERROR(__xludf.DUMMYFUNCTION("""COMPUTED_VALUE"""),"AM")</f>
        <v>AM</v>
      </c>
      <c r="L192" s="8"/>
      <c r="M192" s="8"/>
      <c r="N192" s="8">
        <f ca="1">IFERROR(__xludf.DUMMYFUNCTION("""COMPUTED_VALUE"""),8)</f>
        <v>8</v>
      </c>
      <c r="O192" s="8" t="str">
        <f ca="1">IFERROR(__xludf.DUMMYFUNCTION("""COMPUTED_VALUE"""),"Proficient II")</f>
        <v>Proficient II</v>
      </c>
      <c r="P192" s="8">
        <f ca="1">IFERROR(__xludf.DUMMYFUNCTION("""COMPUTED_VALUE"""),2)</f>
        <v>2</v>
      </c>
      <c r="Q192" s="8">
        <f ca="1">IFERROR(__xludf.DUMMYFUNCTION("""COMPUTED_VALUE"""),3)</f>
        <v>3</v>
      </c>
      <c r="R192" s="8">
        <f ca="1">IFERROR(__xludf.DUMMYFUNCTION("""COMPUTED_VALUE"""),3)</f>
        <v>3</v>
      </c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</row>
    <row r="193" spans="1:31" ht="13.15" x14ac:dyDescent="0.4">
      <c r="A193" s="8"/>
      <c r="B193" s="8"/>
      <c r="C193" s="8"/>
      <c r="D193" s="8"/>
      <c r="E193" s="8" t="str">
        <f ca="1">IFERROR(__xludf.DUMMYFUNCTION("""COMPUTED_VALUE"""),"FEHL-PRICE")</f>
        <v>FEHL-PRICE</v>
      </c>
      <c r="F193" s="8" t="str">
        <f ca="1">IFERROR(__xludf.DUMMYFUNCTION("""COMPUTED_VALUE"""),"Core Subject No LSAE")</f>
        <v>Core Subject No LSAE</v>
      </c>
      <c r="G193" s="8" t="str">
        <f ca="1">IFERROR(__xludf.DUMMYFUNCTION("""COMPUTED_VALUE"""),"Latoya Weary")</f>
        <v>Latoya Weary</v>
      </c>
      <c r="H193" s="8" t="str">
        <f ca="1">IFERROR(__xludf.DUMMYFUNCTION("""COMPUTED_VALUE"""),"D.Thibedeaux")</f>
        <v>D.Thibedeaux</v>
      </c>
      <c r="I193" s="9">
        <f ca="1">IFERROR(__xludf.DUMMYFUNCTION("""COMPUTED_VALUE"""),45356)</f>
        <v>45356</v>
      </c>
      <c r="J193" s="9">
        <f ca="1">IFERROR(__xludf.DUMMYFUNCTION("""COMPUTED_VALUE"""),45357)</f>
        <v>45357</v>
      </c>
      <c r="K193" s="8" t="str">
        <f ca="1">IFERROR(__xludf.DUMMYFUNCTION("""COMPUTED_VALUE"""),"AM")</f>
        <v>AM</v>
      </c>
      <c r="L193" s="8" t="str">
        <f ca="1">IFERROR(__xludf.DUMMYFUNCTION("""COMPUTED_VALUE"""),"3rd Grade")</f>
        <v>3rd Grade</v>
      </c>
      <c r="M193" s="8" t="str">
        <f ca="1">IFERROR(__xludf.DUMMYFUNCTION("""COMPUTED_VALUE"""),"Art of Thinking")</f>
        <v>Art of Thinking</v>
      </c>
      <c r="N193" s="8">
        <f ca="1">IFERROR(__xludf.DUMMYFUNCTION("""COMPUTED_VALUE"""),6)</f>
        <v>6</v>
      </c>
      <c r="O193" s="8" t="str">
        <f ca="1">IFERROR(__xludf.DUMMYFUNCTION("""COMPUTED_VALUE"""),"Proficient I")</f>
        <v>Proficient I</v>
      </c>
      <c r="P193" s="8">
        <f ca="1">IFERROR(__xludf.DUMMYFUNCTION("""COMPUTED_VALUE"""),2)</f>
        <v>2</v>
      </c>
      <c r="Q193" s="8">
        <f ca="1">IFERROR(__xludf.DUMMYFUNCTION("""COMPUTED_VALUE"""),1.5)</f>
        <v>1.5</v>
      </c>
      <c r="R193" s="8">
        <f ca="1">IFERROR(__xludf.DUMMYFUNCTION("""COMPUTED_VALUE"""),2.5)</f>
        <v>2.5</v>
      </c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</row>
    <row r="194" spans="1:31" ht="13.15" x14ac:dyDescent="0.4">
      <c r="A194" s="8"/>
      <c r="B194" s="8"/>
      <c r="C194" s="8"/>
      <c r="D194" s="8"/>
      <c r="E194" s="8" t="str">
        <f ca="1">IFERROR(__xludf.DUMMYFUNCTION("""COMPUTED_VALUE"""),"FEHL-PRICE")</f>
        <v>FEHL-PRICE</v>
      </c>
      <c r="F194" s="8" t="str">
        <f ca="1">IFERROR(__xludf.DUMMYFUNCTION("""COMPUTED_VALUE"""),"Core Subject No LSAE")</f>
        <v>Core Subject No LSAE</v>
      </c>
      <c r="G194" s="8" t="str">
        <f ca="1">IFERROR(__xludf.DUMMYFUNCTION("""COMPUTED_VALUE"""),"Briana Jones")</f>
        <v>Briana Jones</v>
      </c>
      <c r="H194" s="8" t="str">
        <f ca="1">IFERROR(__xludf.DUMMYFUNCTION("""COMPUTED_VALUE"""),"D.Thibedeaux")</f>
        <v>D.Thibedeaux</v>
      </c>
      <c r="I194" s="9">
        <f ca="1">IFERROR(__xludf.DUMMYFUNCTION("""COMPUTED_VALUE"""),45356)</f>
        <v>45356</v>
      </c>
      <c r="J194" s="9">
        <f ca="1">IFERROR(__xludf.DUMMYFUNCTION("""COMPUTED_VALUE"""),45358)</f>
        <v>45358</v>
      </c>
      <c r="K194" s="8" t="str">
        <f ca="1">IFERROR(__xludf.DUMMYFUNCTION("""COMPUTED_VALUE"""),"PM")</f>
        <v>PM</v>
      </c>
      <c r="L194" s="8" t="str">
        <f ca="1">IFERROR(__xludf.DUMMYFUNCTION("""COMPUTED_VALUE"""),"5th Grade")</f>
        <v>5th Grade</v>
      </c>
      <c r="M194" s="8" t="str">
        <f ca="1">IFERROR(__xludf.DUMMYFUNCTION("""COMPUTED_VALUE"""),"Math")</f>
        <v>Math</v>
      </c>
      <c r="N194" s="8">
        <f ca="1">IFERROR(__xludf.DUMMYFUNCTION("""COMPUTED_VALUE"""),3.5)</f>
        <v>3.5</v>
      </c>
      <c r="O194" s="8" t="str">
        <f ca="1">IFERROR(__xludf.DUMMYFUNCTION("""COMPUTED_VALUE"""),"Unsatisfactory")</f>
        <v>Unsatisfactory</v>
      </c>
      <c r="P194" s="8">
        <f ca="1">IFERROR(__xludf.DUMMYFUNCTION("""COMPUTED_VALUE"""),2)</f>
        <v>2</v>
      </c>
      <c r="Q194" s="8">
        <f ca="1">IFERROR(__xludf.DUMMYFUNCTION("""COMPUTED_VALUE"""),0.5)</f>
        <v>0.5</v>
      </c>
      <c r="R194" s="8">
        <f ca="1">IFERROR(__xludf.DUMMYFUNCTION("""COMPUTED_VALUE"""),1)</f>
        <v>1</v>
      </c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</row>
    <row r="195" spans="1:31" ht="13.15" x14ac:dyDescent="0.4">
      <c r="A195" s="8"/>
      <c r="B195" s="8"/>
      <c r="C195" s="8"/>
      <c r="D195" s="8"/>
      <c r="E195" s="8" t="str">
        <f ca="1">IFERROR(__xludf.DUMMYFUNCTION("""COMPUTED_VALUE"""),"FEHL-PRICE")</f>
        <v>FEHL-PRICE</v>
      </c>
      <c r="F195" s="8" t="str">
        <f ca="1">IFERROR(__xludf.DUMMYFUNCTION("""COMPUTED_VALUE"""),"Core Subject With LSAE")</f>
        <v>Core Subject With LSAE</v>
      </c>
      <c r="G195" s="8" t="str">
        <f ca="1">IFERROR(__xludf.DUMMYFUNCTION("""COMPUTED_VALUE"""),"Kayla Bevil")</f>
        <v>Kayla Bevil</v>
      </c>
      <c r="H195" s="8" t="str">
        <f ca="1">IFERROR(__xludf.DUMMYFUNCTION("""COMPUTED_VALUE"""),"D.Thibedeaux")</f>
        <v>D.Thibedeaux</v>
      </c>
      <c r="I195" s="9">
        <f ca="1">IFERROR(__xludf.DUMMYFUNCTION("""COMPUTED_VALUE"""),45356)</f>
        <v>45356</v>
      </c>
      <c r="J195" s="9">
        <f ca="1">IFERROR(__xludf.DUMMYFUNCTION("""COMPUTED_VALUE"""),45357)</f>
        <v>45357</v>
      </c>
      <c r="K195" s="8" t="str">
        <f ca="1">IFERROR(__xludf.DUMMYFUNCTION("""COMPUTED_VALUE"""),"AM")</f>
        <v>AM</v>
      </c>
      <c r="L195" s="8" t="str">
        <f ca="1">IFERROR(__xludf.DUMMYFUNCTION("""COMPUTED_VALUE"""),"4th Grade")</f>
        <v>4th Grade</v>
      </c>
      <c r="M195" s="8" t="str">
        <f ca="1">IFERROR(__xludf.DUMMYFUNCTION("""COMPUTED_VALUE"""),"Math")</f>
        <v>Math</v>
      </c>
      <c r="N195" s="8">
        <f ca="1">IFERROR(__xludf.DUMMYFUNCTION("""COMPUTED_VALUE"""),7.5)</f>
        <v>7.5</v>
      </c>
      <c r="O195" s="8" t="str">
        <f ca="1">IFERROR(__xludf.DUMMYFUNCTION("""COMPUTED_VALUE"""),"Proficient I")</f>
        <v>Proficient I</v>
      </c>
      <c r="P195" s="8">
        <f ca="1">IFERROR(__xludf.DUMMYFUNCTION("""COMPUTED_VALUE"""),1)</f>
        <v>1</v>
      </c>
      <c r="Q195" s="8">
        <f ca="1">IFERROR(__xludf.DUMMYFUNCTION("""COMPUTED_VALUE"""),2)</f>
        <v>2</v>
      </c>
      <c r="R195" s="8">
        <f ca="1">IFERROR(__xludf.DUMMYFUNCTION("""COMPUTED_VALUE"""),3)</f>
        <v>3</v>
      </c>
      <c r="S195" s="8">
        <f ca="1">IFERROR(__xludf.DUMMYFUNCTION("""COMPUTED_VALUE"""),1.5)</f>
        <v>1.5</v>
      </c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</row>
    <row r="196" spans="1:31" ht="13.15" x14ac:dyDescent="0.4">
      <c r="A196" s="8"/>
      <c r="B196" s="8"/>
      <c r="C196" s="8"/>
      <c r="D196" s="8"/>
      <c r="E196" s="8" t="str">
        <f ca="1">IFERROR(__xludf.DUMMYFUNCTION("""COMPUTED_VALUE"""),"FEHL-PRICE")</f>
        <v>FEHL-PRICE</v>
      </c>
      <c r="F196" s="8" t="str">
        <f ca="1">IFERROR(__xludf.DUMMYFUNCTION("""COMPUTED_VALUE"""),"Core Subject With LSAE")</f>
        <v>Core Subject With LSAE</v>
      </c>
      <c r="G196" s="8" t="str">
        <f ca="1">IFERROR(__xludf.DUMMYFUNCTION("""COMPUTED_VALUE"""),"Ashlie Holmes")</f>
        <v>Ashlie Holmes</v>
      </c>
      <c r="H196" s="8" t="str">
        <f ca="1">IFERROR(__xludf.DUMMYFUNCTION("""COMPUTED_VALUE"""),"D.Thibedeaux")</f>
        <v>D.Thibedeaux</v>
      </c>
      <c r="I196" s="9">
        <f ca="1">IFERROR(__xludf.DUMMYFUNCTION("""COMPUTED_VALUE"""),45357)</f>
        <v>45357</v>
      </c>
      <c r="J196" s="9">
        <f ca="1">IFERROR(__xludf.DUMMYFUNCTION("""COMPUTED_VALUE"""),45358)</f>
        <v>45358</v>
      </c>
      <c r="K196" s="8" t="str">
        <f ca="1">IFERROR(__xludf.DUMMYFUNCTION("""COMPUTED_VALUE"""),"AM")</f>
        <v>AM</v>
      </c>
      <c r="L196" s="11" t="str">
        <f ca="1">IFERROR(__xludf.DUMMYFUNCTION("""COMPUTED_VALUE"""),"3rd Grade")</f>
        <v>3rd Grade</v>
      </c>
      <c r="M196" s="8" t="str">
        <f ca="1">IFERROR(__xludf.DUMMYFUNCTION("""COMPUTED_VALUE"""),"Math")</f>
        <v>Math</v>
      </c>
      <c r="N196" s="8">
        <f ca="1">IFERROR(__xludf.DUMMYFUNCTION("""COMPUTED_VALUE"""),6)</f>
        <v>6</v>
      </c>
      <c r="O196" s="8" t="str">
        <f ca="1">IFERROR(__xludf.DUMMYFUNCTION("""COMPUTED_VALUE"""),"Proficient I")</f>
        <v>Proficient I</v>
      </c>
      <c r="P196" s="8">
        <f ca="1">IFERROR(__xludf.DUMMYFUNCTION("""COMPUTED_VALUE"""),1)</f>
        <v>1</v>
      </c>
      <c r="Q196" s="8">
        <f ca="1">IFERROR(__xludf.DUMMYFUNCTION("""COMPUTED_VALUE"""),2)</f>
        <v>2</v>
      </c>
      <c r="R196" s="8">
        <f ca="1">IFERROR(__xludf.DUMMYFUNCTION("""COMPUTED_VALUE"""),1.5)</f>
        <v>1.5</v>
      </c>
      <c r="S196" s="8">
        <f ca="1">IFERROR(__xludf.DUMMYFUNCTION("""COMPUTED_VALUE"""),1.5)</f>
        <v>1.5</v>
      </c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</row>
    <row r="197" spans="1:31" ht="13.15" x14ac:dyDescent="0.4">
      <c r="A197" s="8"/>
      <c r="B197" s="8"/>
      <c r="C197" s="8"/>
      <c r="D197" s="8"/>
      <c r="E197" s="8" t="str">
        <f ca="1">IFERROR(__xludf.DUMMYFUNCTION("""COMPUTED_VALUE"""),"FEHL-PRICE")</f>
        <v>FEHL-PRICE</v>
      </c>
      <c r="F197" s="8" t="str">
        <f ca="1">IFERROR(__xludf.DUMMYFUNCTION("""COMPUTED_VALUE"""),"Core Subject With LSAE")</f>
        <v>Core Subject With LSAE</v>
      </c>
      <c r="G197" s="8" t="str">
        <f ca="1">IFERROR(__xludf.DUMMYFUNCTION("""COMPUTED_VALUE"""),"Kristy Esme")</f>
        <v>Kristy Esme</v>
      </c>
      <c r="H197" s="8" t="str">
        <f ca="1">IFERROR(__xludf.DUMMYFUNCTION("""COMPUTED_VALUE"""),"D.Thibedeaux")</f>
        <v>D.Thibedeaux</v>
      </c>
      <c r="I197" s="9">
        <f ca="1">IFERROR(__xludf.DUMMYFUNCTION("""COMPUTED_VALUE"""),45357)</f>
        <v>45357</v>
      </c>
      <c r="J197" s="9">
        <f ca="1">IFERROR(__xludf.DUMMYFUNCTION("""COMPUTED_VALUE"""),45358)</f>
        <v>45358</v>
      </c>
      <c r="K197" s="8" t="str">
        <f ca="1">IFERROR(__xludf.DUMMYFUNCTION("""COMPUTED_VALUE"""),"AM")</f>
        <v>AM</v>
      </c>
      <c r="L197" s="11" t="str">
        <f ca="1">IFERROR(__xludf.DUMMYFUNCTION("""COMPUTED_VALUE"""),"2nd Grade")</f>
        <v>2nd Grade</v>
      </c>
      <c r="M197" s="8" t="str">
        <f ca="1">IFERROR(__xludf.DUMMYFUNCTION("""COMPUTED_VALUE"""),"Science")</f>
        <v>Science</v>
      </c>
      <c r="N197" s="8">
        <f ca="1">IFERROR(__xludf.DUMMYFUNCTION("""COMPUTED_VALUE"""),6)</f>
        <v>6</v>
      </c>
      <c r="O197" s="8" t="str">
        <f ca="1">IFERROR(__xludf.DUMMYFUNCTION("""COMPUTED_VALUE"""),"Proficient I")</f>
        <v>Proficient I</v>
      </c>
      <c r="P197" s="8">
        <f ca="1">IFERROR(__xludf.DUMMYFUNCTION("""COMPUTED_VALUE"""),1)</f>
        <v>1</v>
      </c>
      <c r="Q197" s="8">
        <f ca="1">IFERROR(__xludf.DUMMYFUNCTION("""COMPUTED_VALUE"""),2)</f>
        <v>2</v>
      </c>
      <c r="R197" s="8">
        <f ca="1">IFERROR(__xludf.DUMMYFUNCTION("""COMPUTED_VALUE"""),2)</f>
        <v>2</v>
      </c>
      <c r="S197" s="8">
        <f ca="1">IFERROR(__xludf.DUMMYFUNCTION("""COMPUTED_VALUE"""),1)</f>
        <v>1</v>
      </c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</row>
    <row r="198" spans="1:31" ht="13.15" x14ac:dyDescent="0.4">
      <c r="A198" s="8"/>
      <c r="B198" s="8"/>
      <c r="C198" s="8"/>
      <c r="D198" s="8"/>
      <c r="E198" s="8" t="str">
        <f ca="1">IFERROR(__xludf.DUMMYFUNCTION("""COMPUTED_VALUE"""),"FEHL-PRICE")</f>
        <v>FEHL-PRICE</v>
      </c>
      <c r="F198" s="8" t="str">
        <f ca="1">IFERROR(__xludf.DUMMYFUNCTION("""COMPUTED_VALUE"""),"Core Subject No LSAE")</f>
        <v>Core Subject No LSAE</v>
      </c>
      <c r="G198" s="8" t="str">
        <f ca="1">IFERROR(__xludf.DUMMYFUNCTION("""COMPUTED_VALUE"""),"Anitra Smith")</f>
        <v>Anitra Smith</v>
      </c>
      <c r="H198" s="8" t="str">
        <f ca="1">IFERROR(__xludf.DUMMYFUNCTION("""COMPUTED_VALUE"""),"D.Thibedeaux")</f>
        <v>D.Thibedeaux</v>
      </c>
      <c r="I198" s="9">
        <f ca="1">IFERROR(__xludf.DUMMYFUNCTION("""COMPUTED_VALUE"""),45358)</f>
        <v>45358</v>
      </c>
      <c r="J198" s="9">
        <f ca="1">IFERROR(__xludf.DUMMYFUNCTION("""COMPUTED_VALUE"""),45359)</f>
        <v>45359</v>
      </c>
      <c r="K198" s="8" t="str">
        <f ca="1">IFERROR(__xludf.DUMMYFUNCTION("""COMPUTED_VALUE"""),"PM")</f>
        <v>PM</v>
      </c>
      <c r="L198" s="11" t="str">
        <f ca="1">IFERROR(__xludf.DUMMYFUNCTION("""COMPUTED_VALUE"""),"3rd Grade")</f>
        <v>3rd Grade</v>
      </c>
      <c r="M198" s="8" t="str">
        <f ca="1">IFERROR(__xludf.DUMMYFUNCTION("""COMPUTED_VALUE"""),"Art of Thinking")</f>
        <v>Art of Thinking</v>
      </c>
      <c r="N198" s="8">
        <f ca="1">IFERROR(__xludf.DUMMYFUNCTION("""COMPUTED_VALUE"""),6)</f>
        <v>6</v>
      </c>
      <c r="O198" s="8" t="str">
        <f ca="1">IFERROR(__xludf.DUMMYFUNCTION("""COMPUTED_VALUE"""),"Proficient I")</f>
        <v>Proficient I</v>
      </c>
      <c r="P198" s="8">
        <f ca="1">IFERROR(__xludf.DUMMYFUNCTION("""COMPUTED_VALUE"""),2)</f>
        <v>2</v>
      </c>
      <c r="Q198" s="8">
        <f ca="1">IFERROR(__xludf.DUMMYFUNCTION("""COMPUTED_VALUE"""),2)</f>
        <v>2</v>
      </c>
      <c r="R198" s="8">
        <f ca="1">IFERROR(__xludf.DUMMYFUNCTION("""COMPUTED_VALUE"""),2)</f>
        <v>2</v>
      </c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</row>
    <row r="199" spans="1:31" ht="13.15" x14ac:dyDescent="0.4">
      <c r="A199" s="8"/>
      <c r="B199" s="8"/>
      <c r="C199" s="8"/>
      <c r="D199" s="8"/>
      <c r="E199" s="8" t="str">
        <f ca="1">IFERROR(__xludf.DUMMYFUNCTION("""COMPUTED_VALUE"""),"FEHL-PRICE")</f>
        <v>FEHL-PRICE</v>
      </c>
      <c r="F199" s="8" t="str">
        <f ca="1">IFERROR(__xludf.DUMMYFUNCTION("""COMPUTED_VALUE"""),"Core Subject No LSAE")</f>
        <v>Core Subject No LSAE</v>
      </c>
      <c r="G199" s="8" t="str">
        <f ca="1">IFERROR(__xludf.DUMMYFUNCTION("""COMPUTED_VALUE"""),"Connie Hart")</f>
        <v>Connie Hart</v>
      </c>
      <c r="H199" s="8" t="str">
        <f ca="1">IFERROR(__xludf.DUMMYFUNCTION("""COMPUTED_VALUE"""),"D.Thibedeaux")</f>
        <v>D.Thibedeaux</v>
      </c>
      <c r="I199" s="9">
        <f ca="1">IFERROR(__xludf.DUMMYFUNCTION("""COMPUTED_VALUE"""),45358)</f>
        <v>45358</v>
      </c>
      <c r="J199" s="9">
        <f ca="1">IFERROR(__xludf.DUMMYFUNCTION("""COMPUTED_VALUE"""),45358)</f>
        <v>45358</v>
      </c>
      <c r="K199" s="8" t="str">
        <f ca="1">IFERROR(__xludf.DUMMYFUNCTION("""COMPUTED_VALUE"""),"PM")</f>
        <v>PM</v>
      </c>
      <c r="L199" s="8" t="str">
        <f ca="1">IFERROR(__xludf.DUMMYFUNCTION("""COMPUTED_VALUE"""),"5th Grade")</f>
        <v>5th Grade</v>
      </c>
      <c r="M199" s="8" t="str">
        <f ca="1">IFERROR(__xludf.DUMMYFUNCTION("""COMPUTED_VALUE"""),"Science")</f>
        <v>Science</v>
      </c>
      <c r="N199" s="8">
        <f ca="1">IFERROR(__xludf.DUMMYFUNCTION("""COMPUTED_VALUE"""),7)</f>
        <v>7</v>
      </c>
      <c r="O199" s="8" t="str">
        <f ca="1">IFERROR(__xludf.DUMMYFUNCTION("""COMPUTED_VALUE"""),"Proficient I")</f>
        <v>Proficient I</v>
      </c>
      <c r="P199" s="8">
        <f ca="1">IFERROR(__xludf.DUMMYFUNCTION("""COMPUTED_VALUE"""),2)</f>
        <v>2</v>
      </c>
      <c r="Q199" s="8">
        <f ca="1">IFERROR(__xludf.DUMMYFUNCTION("""COMPUTED_VALUE"""),2.5)</f>
        <v>2.5</v>
      </c>
      <c r="R199" s="8">
        <f ca="1">IFERROR(__xludf.DUMMYFUNCTION("""COMPUTED_VALUE"""),2.5)</f>
        <v>2.5</v>
      </c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</row>
    <row r="200" spans="1:31" ht="13.15" x14ac:dyDescent="0.4">
      <c r="A200" s="8"/>
      <c r="B200" s="8"/>
      <c r="C200" s="8"/>
      <c r="D200" s="8"/>
      <c r="E200" s="8" t="str">
        <f ca="1">IFERROR(__xludf.DUMMYFUNCTION("""COMPUTED_VALUE"""),"FEHL-PRICE")</f>
        <v>FEHL-PRICE</v>
      </c>
      <c r="F200" s="8" t="str">
        <f ca="1">IFERROR(__xludf.DUMMYFUNCTION("""COMPUTED_VALUE"""),"Core Subject With LSAE")</f>
        <v>Core Subject With LSAE</v>
      </c>
      <c r="G200" s="8" t="str">
        <f ca="1">IFERROR(__xludf.DUMMYFUNCTION("""COMPUTED_VALUE"""),"Whitney Braxter")</f>
        <v>Whitney Braxter</v>
      </c>
      <c r="H200" s="8" t="str">
        <f ca="1">IFERROR(__xludf.DUMMYFUNCTION("""COMPUTED_VALUE"""),"D.Thibedeaux")</f>
        <v>D.Thibedeaux</v>
      </c>
      <c r="I200" s="9">
        <f ca="1">IFERROR(__xludf.DUMMYFUNCTION("""COMPUTED_VALUE"""),45358)</f>
        <v>45358</v>
      </c>
      <c r="J200" s="9">
        <f ca="1">IFERROR(__xludf.DUMMYFUNCTION("""COMPUTED_VALUE"""),45358)</f>
        <v>45358</v>
      </c>
      <c r="K200" s="8" t="str">
        <f ca="1">IFERROR(__xludf.DUMMYFUNCTION("""COMPUTED_VALUE"""),"AM")</f>
        <v>AM</v>
      </c>
      <c r="L200" s="8" t="str">
        <f ca="1">IFERROR(__xludf.DUMMYFUNCTION("""COMPUTED_VALUE"""),"5th Grade")</f>
        <v>5th Grade</v>
      </c>
      <c r="M200" s="8" t="str">
        <f ca="1">IFERROR(__xludf.DUMMYFUNCTION("""COMPUTED_VALUE"""),"Math")</f>
        <v>Math</v>
      </c>
      <c r="N200" s="8">
        <f ca="1">IFERROR(__xludf.DUMMYFUNCTION("""COMPUTED_VALUE"""),6.5)</f>
        <v>6.5</v>
      </c>
      <c r="O200" s="8" t="str">
        <f ca="1">IFERROR(__xludf.DUMMYFUNCTION("""COMPUTED_VALUE"""),"Proficient I")</f>
        <v>Proficient I</v>
      </c>
      <c r="P200" s="8">
        <f ca="1">IFERROR(__xludf.DUMMYFUNCTION("""COMPUTED_VALUE"""),1)</f>
        <v>1</v>
      </c>
      <c r="Q200" s="8">
        <f ca="1">IFERROR(__xludf.DUMMYFUNCTION("""COMPUTED_VALUE"""),2)</f>
        <v>2</v>
      </c>
      <c r="R200" s="8">
        <f ca="1">IFERROR(__xludf.DUMMYFUNCTION("""COMPUTED_VALUE"""),1.5)</f>
        <v>1.5</v>
      </c>
      <c r="S200" s="8">
        <f ca="1">IFERROR(__xludf.DUMMYFUNCTION("""COMPUTED_VALUE"""),2)</f>
        <v>2</v>
      </c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</row>
    <row r="201" spans="1:31" ht="13.15" x14ac:dyDescent="0.4">
      <c r="A201" s="8"/>
      <c r="B201" s="8"/>
      <c r="C201" s="8"/>
      <c r="D201" s="8"/>
      <c r="E201" s="8" t="str">
        <f ca="1">IFERROR(__xludf.DUMMYFUNCTION("""COMPUTED_VALUE"""),"FEHL-PRICE")</f>
        <v>FEHL-PRICE</v>
      </c>
      <c r="F201" s="8" t="str">
        <f ca="1">IFERROR(__xludf.DUMMYFUNCTION("""COMPUTED_VALUE"""),"ELL/SPED")</f>
        <v>ELL/SPED</v>
      </c>
      <c r="G201" s="8" t="str">
        <f ca="1">IFERROR(__xludf.DUMMYFUNCTION("""COMPUTED_VALUE"""),"Pamela Chavis")</f>
        <v>Pamela Chavis</v>
      </c>
      <c r="H201" s="8" t="str">
        <f ca="1">IFERROR(__xludf.DUMMYFUNCTION("""COMPUTED_VALUE"""),"D.Thibedeaux")</f>
        <v>D.Thibedeaux</v>
      </c>
      <c r="I201" s="9">
        <f ca="1">IFERROR(__xludf.DUMMYFUNCTION("""COMPUTED_VALUE"""),45359)</f>
        <v>45359</v>
      </c>
      <c r="J201" s="9">
        <f ca="1">IFERROR(__xludf.DUMMYFUNCTION("""COMPUTED_VALUE"""),45359)</f>
        <v>45359</v>
      </c>
      <c r="K201" s="8" t="str">
        <f ca="1">IFERROR(__xludf.DUMMYFUNCTION("""COMPUTED_VALUE"""),"PM")</f>
        <v>PM</v>
      </c>
      <c r="L201" s="8" t="str">
        <f ca="1">IFERROR(__xludf.DUMMYFUNCTION("""COMPUTED_VALUE"""),"3rd Grade")</f>
        <v>3rd Grade</v>
      </c>
      <c r="M201" s="8"/>
      <c r="N201" s="8">
        <f ca="1">IFERROR(__xludf.DUMMYFUNCTION("""COMPUTED_VALUE"""),7)</f>
        <v>7</v>
      </c>
      <c r="O201" s="8" t="str">
        <f ca="1">IFERROR(__xludf.DUMMYFUNCTION("""COMPUTED_VALUE"""),"Proficient II")</f>
        <v>Proficient II</v>
      </c>
      <c r="P201" s="8">
        <f ca="1">IFERROR(__xludf.DUMMYFUNCTION("""COMPUTED_VALUE"""),1)</f>
        <v>1</v>
      </c>
      <c r="Q201" s="8">
        <f ca="1">IFERROR(__xludf.DUMMYFUNCTION("""COMPUTED_VALUE"""),3)</f>
        <v>3</v>
      </c>
      <c r="R201" s="8">
        <f ca="1">IFERROR(__xludf.DUMMYFUNCTION("""COMPUTED_VALUE"""),3)</f>
        <v>3</v>
      </c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</row>
    <row r="202" spans="1:31" ht="13.15" x14ac:dyDescent="0.4">
      <c r="A202" s="8"/>
      <c r="B202" s="8"/>
      <c r="C202" s="8"/>
      <c r="D202" s="8"/>
      <c r="E202" s="8" t="str">
        <f ca="1">IFERROR(__xludf.DUMMYFUNCTION("""COMPUTED_VALUE"""),"FEHL-PRICE")</f>
        <v>FEHL-PRICE</v>
      </c>
      <c r="F202" s="8" t="str">
        <f ca="1">IFERROR(__xludf.DUMMYFUNCTION("""COMPUTED_VALUE"""),"K-1")</f>
        <v>K-1</v>
      </c>
      <c r="G202" s="8" t="str">
        <f ca="1">IFERROR(__xludf.DUMMYFUNCTION("""COMPUTED_VALUE"""),"Jada Gremillon")</f>
        <v>Jada Gremillon</v>
      </c>
      <c r="H202" s="8" t="str">
        <f ca="1">IFERROR(__xludf.DUMMYFUNCTION("""COMPUTED_VALUE"""),"D.Thibedeaux")</f>
        <v>D.Thibedeaux</v>
      </c>
      <c r="I202" s="9">
        <f ca="1">IFERROR(__xludf.DUMMYFUNCTION("""COMPUTED_VALUE"""),45359)</f>
        <v>45359</v>
      </c>
      <c r="J202" s="9">
        <f ca="1">IFERROR(__xludf.DUMMYFUNCTION("""COMPUTED_VALUE"""),45359)</f>
        <v>45359</v>
      </c>
      <c r="K202" s="8" t="str">
        <f ca="1">IFERROR(__xludf.DUMMYFUNCTION("""COMPUTED_VALUE"""),"AM")</f>
        <v>AM</v>
      </c>
      <c r="L202" s="8" t="str">
        <f ca="1">IFERROR(__xludf.DUMMYFUNCTION("""COMPUTED_VALUE"""),"Kindergarten")</f>
        <v>Kindergarten</v>
      </c>
      <c r="M202" s="8" t="str">
        <f ca="1">IFERROR(__xludf.DUMMYFUNCTION("""COMPUTED_VALUE"""),"ELA")</f>
        <v>ELA</v>
      </c>
      <c r="N202" s="8">
        <f ca="1">IFERROR(__xludf.DUMMYFUNCTION("""COMPUTED_VALUE"""),6)</f>
        <v>6</v>
      </c>
      <c r="O202" s="8" t="str">
        <f ca="1">IFERROR(__xludf.DUMMYFUNCTION("""COMPUTED_VALUE"""),"Proficient I")</f>
        <v>Proficient I</v>
      </c>
      <c r="P202" s="8">
        <f ca="1">IFERROR(__xludf.DUMMYFUNCTION("""COMPUTED_VALUE"""),1)</f>
        <v>1</v>
      </c>
      <c r="Q202" s="8">
        <f ca="1">IFERROR(__xludf.DUMMYFUNCTION("""COMPUTED_VALUE"""),2)</f>
        <v>2</v>
      </c>
      <c r="R202" s="8">
        <f ca="1">IFERROR(__xludf.DUMMYFUNCTION("""COMPUTED_VALUE"""),1.5)</f>
        <v>1.5</v>
      </c>
      <c r="S202" s="8">
        <f ca="1">IFERROR(__xludf.DUMMYFUNCTION("""COMPUTED_VALUE"""),1.5)</f>
        <v>1.5</v>
      </c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</row>
    <row r="203" spans="1:31" ht="13.15" x14ac:dyDescent="0.4">
      <c r="A203" s="8"/>
      <c r="B203" s="8"/>
      <c r="C203" s="8"/>
      <c r="D203" s="8"/>
      <c r="E203" s="8" t="str">
        <f ca="1">IFERROR(__xludf.DUMMYFUNCTION("""COMPUTED_VALUE"""),"FEHL-PRICE")</f>
        <v>FEHL-PRICE</v>
      </c>
      <c r="F203" s="8" t="str">
        <f ca="1">IFERROR(__xludf.DUMMYFUNCTION("""COMPUTED_VALUE"""),"Core Subject No LSAE")</f>
        <v>Core Subject No LSAE</v>
      </c>
      <c r="G203" s="8" t="str">
        <f ca="1">IFERROR(__xludf.DUMMYFUNCTION("""COMPUTED_VALUE"""),"Kentrella Shelby")</f>
        <v>Kentrella Shelby</v>
      </c>
      <c r="H203" s="8" t="str">
        <f ca="1">IFERROR(__xludf.DUMMYFUNCTION("""COMPUTED_VALUE"""),"Mersadez Gobert")</f>
        <v>Mersadez Gobert</v>
      </c>
      <c r="I203" s="9">
        <f ca="1">IFERROR(__xludf.DUMMYFUNCTION("""COMPUTED_VALUE"""),45355)</f>
        <v>45355</v>
      </c>
      <c r="J203" s="9">
        <f ca="1">IFERROR(__xludf.DUMMYFUNCTION("""COMPUTED_VALUE"""),45356)</f>
        <v>45356</v>
      </c>
      <c r="K203" s="8" t="str">
        <f ca="1">IFERROR(__xludf.DUMMYFUNCTION("""COMPUTED_VALUE"""),"PM")</f>
        <v>PM</v>
      </c>
      <c r="L203" s="8" t="str">
        <f ca="1">IFERROR(__xludf.DUMMYFUNCTION("""COMPUTED_VALUE"""),"5th Grade")</f>
        <v>5th Grade</v>
      </c>
      <c r="M203" s="8" t="str">
        <f ca="1">IFERROR(__xludf.DUMMYFUNCTION("""COMPUTED_VALUE"""),"ELA")</f>
        <v>ELA</v>
      </c>
      <c r="N203" s="8">
        <f ca="1">IFERROR(__xludf.DUMMYFUNCTION("""COMPUTED_VALUE"""),5)</f>
        <v>5</v>
      </c>
      <c r="O203" s="8" t="str">
        <f ca="1">IFERROR(__xludf.DUMMYFUNCTION("""COMPUTED_VALUE"""),"Progressing")</f>
        <v>Progressing</v>
      </c>
      <c r="P203" s="8">
        <f ca="1">IFERROR(__xludf.DUMMYFUNCTION("""COMPUTED_VALUE"""),2)</f>
        <v>2</v>
      </c>
      <c r="Q203" s="8">
        <f ca="1">IFERROR(__xludf.DUMMYFUNCTION("""COMPUTED_VALUE"""),1.5)</f>
        <v>1.5</v>
      </c>
      <c r="R203" s="8">
        <f ca="1">IFERROR(__xludf.DUMMYFUNCTION("""COMPUTED_VALUE"""),1.5)</f>
        <v>1.5</v>
      </c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</row>
    <row r="204" spans="1:31" ht="13.15" x14ac:dyDescent="0.4">
      <c r="A204" s="8"/>
      <c r="B204" s="8"/>
      <c r="C204" s="8"/>
      <c r="D204" s="8"/>
      <c r="E204" s="8" t="str">
        <f ca="1">IFERROR(__xludf.DUMMYFUNCTION("""COMPUTED_VALUE"""),"FEHL-PRICE")</f>
        <v>FEHL-PRICE</v>
      </c>
      <c r="F204" s="8" t="str">
        <f ca="1">IFERROR(__xludf.DUMMYFUNCTION("""COMPUTED_VALUE"""),"K-1")</f>
        <v>K-1</v>
      </c>
      <c r="G204" s="8" t="str">
        <f ca="1">IFERROR(__xludf.DUMMYFUNCTION("""COMPUTED_VALUE"""),"Aspen Winn")</f>
        <v>Aspen Winn</v>
      </c>
      <c r="H204" s="8" t="str">
        <f ca="1">IFERROR(__xludf.DUMMYFUNCTION("""COMPUTED_VALUE"""),"Mersadez Gobert")</f>
        <v>Mersadez Gobert</v>
      </c>
      <c r="I204" s="9">
        <f ca="1">IFERROR(__xludf.DUMMYFUNCTION("""COMPUTED_VALUE"""),45355)</f>
        <v>45355</v>
      </c>
      <c r="J204" s="9">
        <f ca="1">IFERROR(__xludf.DUMMYFUNCTION("""COMPUTED_VALUE"""),45356)</f>
        <v>45356</v>
      </c>
      <c r="K204" s="8" t="str">
        <f ca="1">IFERROR(__xludf.DUMMYFUNCTION("""COMPUTED_VALUE"""),"AM")</f>
        <v>AM</v>
      </c>
      <c r="L204" s="11" t="str">
        <f ca="1">IFERROR(__xludf.DUMMYFUNCTION("""COMPUTED_VALUE"""),"1st Grade")</f>
        <v>1st Grade</v>
      </c>
      <c r="M204" s="8" t="str">
        <f ca="1">IFERROR(__xludf.DUMMYFUNCTION("""COMPUTED_VALUE"""),"ELA")</f>
        <v>ELA</v>
      </c>
      <c r="N204" s="8">
        <f ca="1">IFERROR(__xludf.DUMMYFUNCTION("""COMPUTED_VALUE"""),5.5)</f>
        <v>5.5</v>
      </c>
      <c r="O204" s="8" t="str">
        <f ca="1">IFERROR(__xludf.DUMMYFUNCTION("""COMPUTED_VALUE"""),"Progressing")</f>
        <v>Progressing</v>
      </c>
      <c r="P204" s="8">
        <f ca="1">IFERROR(__xludf.DUMMYFUNCTION("""COMPUTED_VALUE"""),1)</f>
        <v>1</v>
      </c>
      <c r="Q204" s="8">
        <f ca="1">IFERROR(__xludf.DUMMYFUNCTION("""COMPUTED_VALUE"""),1.5)</f>
        <v>1.5</v>
      </c>
      <c r="R204" s="8">
        <f ca="1">IFERROR(__xludf.DUMMYFUNCTION("""COMPUTED_VALUE"""),1.5)</f>
        <v>1.5</v>
      </c>
      <c r="S204" s="8">
        <f ca="1">IFERROR(__xludf.DUMMYFUNCTION("""COMPUTED_VALUE"""),1.5)</f>
        <v>1.5</v>
      </c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</row>
    <row r="205" spans="1:31" ht="13.15" x14ac:dyDescent="0.4">
      <c r="A205" s="8"/>
      <c r="B205" s="8"/>
      <c r="C205" s="8"/>
      <c r="D205" s="8"/>
      <c r="E205" s="8" t="str">
        <f ca="1">IFERROR(__xludf.DUMMYFUNCTION("""COMPUTED_VALUE"""),"FEHL-PRICE")</f>
        <v>FEHL-PRICE</v>
      </c>
      <c r="F205" s="8" t="str">
        <f ca="1">IFERROR(__xludf.DUMMYFUNCTION("""COMPUTED_VALUE"""),"ELL/SPED")</f>
        <v>ELL/SPED</v>
      </c>
      <c r="G205" s="8" t="str">
        <f ca="1">IFERROR(__xludf.DUMMYFUNCTION("""COMPUTED_VALUE"""),"Pamela Chavis")</f>
        <v>Pamela Chavis</v>
      </c>
      <c r="H205" s="8" t="str">
        <f ca="1">IFERROR(__xludf.DUMMYFUNCTION("""COMPUTED_VALUE"""),"Mersadez Gobert")</f>
        <v>Mersadez Gobert</v>
      </c>
      <c r="I205" s="9">
        <f ca="1">IFERROR(__xludf.DUMMYFUNCTION("""COMPUTED_VALUE"""),45356)</f>
        <v>45356</v>
      </c>
      <c r="J205" s="9">
        <f ca="1">IFERROR(__xludf.DUMMYFUNCTION("""COMPUTED_VALUE"""),45356)</f>
        <v>45356</v>
      </c>
      <c r="K205" s="8" t="str">
        <f ca="1">IFERROR(__xludf.DUMMYFUNCTION("""COMPUTED_VALUE"""),"AM")</f>
        <v>AM</v>
      </c>
      <c r="L205" s="11" t="str">
        <f ca="1">IFERROR(__xludf.DUMMYFUNCTION("""COMPUTED_VALUE"""),"4th Grade")</f>
        <v>4th Grade</v>
      </c>
      <c r="M205" s="8"/>
      <c r="N205" s="8">
        <f ca="1">IFERROR(__xludf.DUMMYFUNCTION("""COMPUTED_VALUE"""),5)</f>
        <v>5</v>
      </c>
      <c r="O205" s="8" t="str">
        <f ca="1">IFERROR(__xludf.DUMMYFUNCTION("""COMPUTED_VALUE"""),"Proficient I")</f>
        <v>Proficient I</v>
      </c>
      <c r="P205" s="8">
        <f ca="1">IFERROR(__xludf.DUMMYFUNCTION("""COMPUTED_VALUE"""),2)</f>
        <v>2</v>
      </c>
      <c r="Q205" s="8">
        <f ca="1">IFERROR(__xludf.DUMMYFUNCTION("""COMPUTED_VALUE"""),3)</f>
        <v>3</v>
      </c>
      <c r="R205" s="8">
        <f ca="1">IFERROR(__xludf.DUMMYFUNCTION("""COMPUTED_VALUE"""),0)</f>
        <v>0</v>
      </c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</row>
    <row r="206" spans="1:31" ht="13.15" x14ac:dyDescent="0.4">
      <c r="A206" s="8"/>
      <c r="B206" s="8"/>
      <c r="C206" s="8"/>
      <c r="D206" s="8"/>
      <c r="E206" s="8" t="str">
        <f ca="1">IFERROR(__xludf.DUMMYFUNCTION("""COMPUTED_VALUE"""),"FEHL-PRICE")</f>
        <v>FEHL-PRICE</v>
      </c>
      <c r="F206" s="8" t="str">
        <f ca="1">IFERROR(__xludf.DUMMYFUNCTION("""COMPUTED_VALUE"""),"K-1")</f>
        <v>K-1</v>
      </c>
      <c r="G206" s="8" t="str">
        <f ca="1">IFERROR(__xludf.DUMMYFUNCTION("""COMPUTED_VALUE"""),"Chasity Arledge")</f>
        <v>Chasity Arledge</v>
      </c>
      <c r="H206" s="8" t="str">
        <f ca="1">IFERROR(__xludf.DUMMYFUNCTION("""COMPUTED_VALUE"""),"Mersadez Gobert")</f>
        <v>Mersadez Gobert</v>
      </c>
      <c r="I206" s="9">
        <f ca="1">IFERROR(__xludf.DUMMYFUNCTION("""COMPUTED_VALUE"""),45356)</f>
        <v>45356</v>
      </c>
      <c r="J206" s="9">
        <f ca="1">IFERROR(__xludf.DUMMYFUNCTION("""COMPUTED_VALUE"""),45356)</f>
        <v>45356</v>
      </c>
      <c r="K206" s="8" t="str">
        <f ca="1">IFERROR(__xludf.DUMMYFUNCTION("""COMPUTED_VALUE"""),"AM")</f>
        <v>AM</v>
      </c>
      <c r="L206" s="11" t="str">
        <f ca="1">IFERROR(__xludf.DUMMYFUNCTION("""COMPUTED_VALUE"""),"Kindergarten")</f>
        <v>Kindergarten</v>
      </c>
      <c r="M206" s="8" t="str">
        <f ca="1">IFERROR(__xludf.DUMMYFUNCTION("""COMPUTED_VALUE"""),"ELA")</f>
        <v>ELA</v>
      </c>
      <c r="N206" s="8">
        <f ca="1">IFERROR(__xludf.DUMMYFUNCTION("""COMPUTED_VALUE"""),4)</f>
        <v>4</v>
      </c>
      <c r="O206" s="8" t="str">
        <f ca="1">IFERROR(__xludf.DUMMYFUNCTION("""COMPUTED_VALUE"""),"Progressing")</f>
        <v>Progressing</v>
      </c>
      <c r="P206" s="8">
        <f ca="1">IFERROR(__xludf.DUMMYFUNCTION("""COMPUTED_VALUE"""),1)</f>
        <v>1</v>
      </c>
      <c r="Q206" s="8">
        <f ca="1">IFERROR(__xludf.DUMMYFUNCTION("""COMPUTED_VALUE"""),1)</f>
        <v>1</v>
      </c>
      <c r="R206" s="8">
        <f ca="1">IFERROR(__xludf.DUMMYFUNCTION("""COMPUTED_VALUE"""),1)</f>
        <v>1</v>
      </c>
      <c r="S206" s="8">
        <f ca="1">IFERROR(__xludf.DUMMYFUNCTION("""COMPUTED_VALUE"""),1)</f>
        <v>1</v>
      </c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</row>
    <row r="207" spans="1:31" ht="13.15" x14ac:dyDescent="0.4">
      <c r="A207" s="8"/>
      <c r="B207" s="8"/>
      <c r="C207" s="8"/>
      <c r="D207" s="8"/>
      <c r="E207" s="8" t="str">
        <f ca="1">IFERROR(__xludf.DUMMYFUNCTION("""COMPUTED_VALUE"""),"FEHL-PRICE")</f>
        <v>FEHL-PRICE</v>
      </c>
      <c r="F207" s="8" t="str">
        <f ca="1">IFERROR(__xludf.DUMMYFUNCTION("""COMPUTED_VALUE"""),"Core Subject No LSAE")</f>
        <v>Core Subject No LSAE</v>
      </c>
      <c r="G207" s="8" t="str">
        <f ca="1">IFERROR(__xludf.DUMMYFUNCTION("""COMPUTED_VALUE"""),"Juron Smith")</f>
        <v>Juron Smith</v>
      </c>
      <c r="H207" s="8" t="str">
        <f ca="1">IFERROR(__xludf.DUMMYFUNCTION("""COMPUTED_VALUE"""),"Mersadez Gobert")</f>
        <v>Mersadez Gobert</v>
      </c>
      <c r="I207" s="9">
        <f ca="1">IFERROR(__xludf.DUMMYFUNCTION("""COMPUTED_VALUE"""),45357)</f>
        <v>45357</v>
      </c>
      <c r="J207" s="9">
        <f ca="1">IFERROR(__xludf.DUMMYFUNCTION("""COMPUTED_VALUE"""),45359)</f>
        <v>45359</v>
      </c>
      <c r="K207" s="8" t="str">
        <f ca="1">IFERROR(__xludf.DUMMYFUNCTION("""COMPUTED_VALUE"""),"PM")</f>
        <v>PM</v>
      </c>
      <c r="L207" s="8" t="str">
        <f ca="1">IFERROR(__xludf.DUMMYFUNCTION("""COMPUTED_VALUE"""),"3rd Grade")</f>
        <v>3rd Grade</v>
      </c>
      <c r="M207" s="8" t="str">
        <f ca="1">IFERROR(__xludf.DUMMYFUNCTION("""COMPUTED_VALUE"""),"Science")</f>
        <v>Science</v>
      </c>
      <c r="N207" s="8">
        <f ca="1">IFERROR(__xludf.DUMMYFUNCTION("""COMPUTED_VALUE"""),4)</f>
        <v>4</v>
      </c>
      <c r="O207" s="8" t="str">
        <f ca="1">IFERROR(__xludf.DUMMYFUNCTION("""COMPUTED_VALUE"""),"Progressing")</f>
        <v>Progressing</v>
      </c>
      <c r="P207" s="8">
        <f ca="1">IFERROR(__xludf.DUMMYFUNCTION("""COMPUTED_VALUE"""),2)</f>
        <v>2</v>
      </c>
      <c r="Q207" s="8">
        <f ca="1">IFERROR(__xludf.DUMMYFUNCTION("""COMPUTED_VALUE"""),1)</f>
        <v>1</v>
      </c>
      <c r="R207" s="8">
        <f ca="1">IFERROR(__xludf.DUMMYFUNCTION("""COMPUTED_VALUE"""),1)</f>
        <v>1</v>
      </c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</row>
    <row r="208" spans="1:31" ht="13.15" x14ac:dyDescent="0.4">
      <c r="A208" s="8"/>
      <c r="B208" s="8"/>
      <c r="C208" s="8"/>
      <c r="D208" s="8"/>
      <c r="E208" s="8" t="str">
        <f ca="1">IFERROR(__xludf.DUMMYFUNCTION("""COMPUTED_VALUE"""),"FEHL-PRICE")</f>
        <v>FEHL-PRICE</v>
      </c>
      <c r="F208" s="8" t="str">
        <f ca="1">IFERROR(__xludf.DUMMYFUNCTION("""COMPUTED_VALUE"""),"Core Subject With LSAE")</f>
        <v>Core Subject With LSAE</v>
      </c>
      <c r="G208" s="8" t="str">
        <f ca="1">IFERROR(__xludf.DUMMYFUNCTION("""COMPUTED_VALUE"""),"Carla Finnell")</f>
        <v>Carla Finnell</v>
      </c>
      <c r="H208" s="8" t="str">
        <f ca="1">IFERROR(__xludf.DUMMYFUNCTION("""COMPUTED_VALUE"""),"Mersadez Gobert")</f>
        <v>Mersadez Gobert</v>
      </c>
      <c r="I208" s="9">
        <f ca="1">IFERROR(__xludf.DUMMYFUNCTION("""COMPUTED_VALUE"""),45357)</f>
        <v>45357</v>
      </c>
      <c r="J208" s="9">
        <f ca="1">IFERROR(__xludf.DUMMYFUNCTION("""COMPUTED_VALUE"""),45358)</f>
        <v>45358</v>
      </c>
      <c r="K208" s="8" t="str">
        <f ca="1">IFERROR(__xludf.DUMMYFUNCTION("""COMPUTED_VALUE"""),"PM")</f>
        <v>PM</v>
      </c>
      <c r="L208" s="8" t="str">
        <f ca="1">IFERROR(__xludf.DUMMYFUNCTION("""COMPUTED_VALUE"""),"2nd Grade")</f>
        <v>2nd Grade</v>
      </c>
      <c r="M208" s="8" t="str">
        <f ca="1">IFERROR(__xludf.DUMMYFUNCTION("""COMPUTED_VALUE"""),"ELA")</f>
        <v>ELA</v>
      </c>
      <c r="N208" s="8">
        <f ca="1">IFERROR(__xludf.DUMMYFUNCTION("""COMPUTED_VALUE"""),3.5)</f>
        <v>3.5</v>
      </c>
      <c r="O208" s="8" t="str">
        <f ca="1">IFERROR(__xludf.DUMMYFUNCTION("""COMPUTED_VALUE"""),"Unsatisfactory")</f>
        <v>Unsatisfactory</v>
      </c>
      <c r="P208" s="8">
        <f ca="1">IFERROR(__xludf.DUMMYFUNCTION("""COMPUTED_VALUE"""),1)</f>
        <v>1</v>
      </c>
      <c r="Q208" s="8">
        <f ca="1">IFERROR(__xludf.DUMMYFUNCTION("""COMPUTED_VALUE"""),1)</f>
        <v>1</v>
      </c>
      <c r="R208" s="8">
        <f ca="1">IFERROR(__xludf.DUMMYFUNCTION("""COMPUTED_VALUE"""),1)</f>
        <v>1</v>
      </c>
      <c r="S208" s="8">
        <f ca="1">IFERROR(__xludf.DUMMYFUNCTION("""COMPUTED_VALUE"""),0.5)</f>
        <v>0.5</v>
      </c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</row>
    <row r="209" spans="1:31" ht="13.15" x14ac:dyDescent="0.4">
      <c r="A209" s="8"/>
      <c r="B209" s="8"/>
      <c r="C209" s="8"/>
      <c r="D209" s="8"/>
      <c r="E209" s="8" t="str">
        <f ca="1">IFERROR(__xludf.DUMMYFUNCTION("""COMPUTED_VALUE"""),"FEHL-PRICE")</f>
        <v>FEHL-PRICE</v>
      </c>
      <c r="F209" s="8" t="str">
        <f ca="1">IFERROR(__xludf.DUMMYFUNCTION("""COMPUTED_VALUE"""),"Core Subject No LSAE")</f>
        <v>Core Subject No LSAE</v>
      </c>
      <c r="G209" s="8" t="str">
        <f ca="1">IFERROR(__xludf.DUMMYFUNCTION("""COMPUTED_VALUE"""),"Latoya Weary")</f>
        <v>Latoya Weary</v>
      </c>
      <c r="H209" s="8" t="str">
        <f ca="1">IFERROR(__xludf.DUMMYFUNCTION("""COMPUTED_VALUE"""),"Mersadez Gobert")</f>
        <v>Mersadez Gobert</v>
      </c>
      <c r="I209" s="9">
        <f ca="1">IFERROR(__xludf.DUMMYFUNCTION("""COMPUTED_VALUE"""),45358)</f>
        <v>45358</v>
      </c>
      <c r="J209" s="9">
        <f ca="1">IFERROR(__xludf.DUMMYFUNCTION("""COMPUTED_VALUE"""),45359)</f>
        <v>45359</v>
      </c>
      <c r="K209" s="8" t="str">
        <f ca="1">IFERROR(__xludf.DUMMYFUNCTION("""COMPUTED_VALUE"""),"PM")</f>
        <v>PM</v>
      </c>
      <c r="L209" s="8" t="str">
        <f ca="1">IFERROR(__xludf.DUMMYFUNCTION("""COMPUTED_VALUE"""),"4th Grade")</f>
        <v>4th Grade</v>
      </c>
      <c r="M209" s="8" t="str">
        <f ca="1">IFERROR(__xludf.DUMMYFUNCTION("""COMPUTED_VALUE"""),"Art of Thinking")</f>
        <v>Art of Thinking</v>
      </c>
      <c r="N209" s="8">
        <f ca="1">IFERROR(__xludf.DUMMYFUNCTION("""COMPUTED_VALUE"""),3.5)</f>
        <v>3.5</v>
      </c>
      <c r="O209" s="8" t="str">
        <f ca="1">IFERROR(__xludf.DUMMYFUNCTION("""COMPUTED_VALUE"""),"Unsatisfactory")</f>
        <v>Unsatisfactory</v>
      </c>
      <c r="P209" s="8">
        <f ca="1">IFERROR(__xludf.DUMMYFUNCTION("""COMPUTED_VALUE"""),2)</f>
        <v>2</v>
      </c>
      <c r="Q209" s="8">
        <f ca="1">IFERROR(__xludf.DUMMYFUNCTION("""COMPUTED_VALUE"""),0.5)</f>
        <v>0.5</v>
      </c>
      <c r="R209" s="8">
        <f ca="1">IFERROR(__xludf.DUMMYFUNCTION("""COMPUTED_VALUE"""),1)</f>
        <v>1</v>
      </c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</row>
    <row r="210" spans="1:31" ht="13.15" x14ac:dyDescent="0.4">
      <c r="A210" s="8"/>
      <c r="B210" s="8"/>
      <c r="C210" s="8"/>
      <c r="D210" s="8"/>
      <c r="E210" s="8" t="str">
        <f ca="1">IFERROR(__xludf.DUMMYFUNCTION("""COMPUTED_VALUE"""),"FEHL-PRICE")</f>
        <v>FEHL-PRICE</v>
      </c>
      <c r="F210" s="8" t="str">
        <f ca="1">IFERROR(__xludf.DUMMYFUNCTION("""COMPUTED_VALUE"""),"Core Subject With LSAE")</f>
        <v>Core Subject With LSAE</v>
      </c>
      <c r="G210" s="8" t="str">
        <f ca="1">IFERROR(__xludf.DUMMYFUNCTION("""COMPUTED_VALUE"""),"Sarina White")</f>
        <v>Sarina White</v>
      </c>
      <c r="H210" s="8" t="str">
        <f ca="1">IFERROR(__xludf.DUMMYFUNCTION("""COMPUTED_VALUE"""),"Mersadez Gobert")</f>
        <v>Mersadez Gobert</v>
      </c>
      <c r="I210" s="9">
        <f ca="1">IFERROR(__xludf.DUMMYFUNCTION("""COMPUTED_VALUE"""),45358)</f>
        <v>45358</v>
      </c>
      <c r="J210" s="9">
        <f ca="1">IFERROR(__xludf.DUMMYFUNCTION("""COMPUTED_VALUE"""),45358)</f>
        <v>45358</v>
      </c>
      <c r="K210" s="8" t="str">
        <f ca="1">IFERROR(__xludf.DUMMYFUNCTION("""COMPUTED_VALUE"""),"AM")</f>
        <v>AM</v>
      </c>
      <c r="L210" s="8" t="str">
        <f ca="1">IFERROR(__xludf.DUMMYFUNCTION("""COMPUTED_VALUE"""),"5th Grade")</f>
        <v>5th Grade</v>
      </c>
      <c r="M210" s="8" t="str">
        <f ca="1">IFERROR(__xludf.DUMMYFUNCTION("""COMPUTED_VALUE"""),"ELA")</f>
        <v>ELA</v>
      </c>
      <c r="N210" s="8">
        <f ca="1">IFERROR(__xludf.DUMMYFUNCTION("""COMPUTED_VALUE"""),4)</f>
        <v>4</v>
      </c>
      <c r="O210" s="8" t="str">
        <f ca="1">IFERROR(__xludf.DUMMYFUNCTION("""COMPUTED_VALUE"""),"Progressing")</f>
        <v>Progressing</v>
      </c>
      <c r="P210" s="8">
        <f ca="1">IFERROR(__xludf.DUMMYFUNCTION("""COMPUTED_VALUE"""),1)</f>
        <v>1</v>
      </c>
      <c r="Q210" s="8">
        <f ca="1">IFERROR(__xludf.DUMMYFUNCTION("""COMPUTED_VALUE"""),1)</f>
        <v>1</v>
      </c>
      <c r="R210" s="8">
        <f ca="1">IFERROR(__xludf.DUMMYFUNCTION("""COMPUTED_VALUE"""),1)</f>
        <v>1</v>
      </c>
      <c r="S210" s="8">
        <f ca="1">IFERROR(__xludf.DUMMYFUNCTION("""COMPUTED_VALUE"""),1)</f>
        <v>1</v>
      </c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</row>
    <row r="211" spans="1:31" ht="13.15" x14ac:dyDescent="0.4">
      <c r="A211" s="8"/>
      <c r="B211" s="8"/>
      <c r="C211" s="8"/>
      <c r="D211" s="8"/>
      <c r="E211" s="8" t="str">
        <f ca="1">IFERROR(__xludf.DUMMYFUNCTION("""COMPUTED_VALUE"""),"FEHL-PRICE")</f>
        <v>FEHL-PRICE</v>
      </c>
      <c r="F211" s="8" t="str">
        <f ca="1">IFERROR(__xludf.DUMMYFUNCTION("""COMPUTED_VALUE"""),"Core Subject With LSAE")</f>
        <v>Core Subject With LSAE</v>
      </c>
      <c r="G211" s="8" t="str">
        <f ca="1">IFERROR(__xludf.DUMMYFUNCTION("""COMPUTED_VALUE"""),"Kristy Esme")</f>
        <v>Kristy Esme</v>
      </c>
      <c r="H211" s="8" t="str">
        <f ca="1">IFERROR(__xludf.DUMMYFUNCTION("""COMPUTED_VALUE"""),"Mersadez Gobert")</f>
        <v>Mersadez Gobert</v>
      </c>
      <c r="I211" s="9">
        <f ca="1">IFERROR(__xludf.DUMMYFUNCTION("""COMPUTED_VALUE"""),45359)</f>
        <v>45359</v>
      </c>
      <c r="J211" s="9">
        <f ca="1">IFERROR(__xludf.DUMMYFUNCTION("""COMPUTED_VALUE"""),45359)</f>
        <v>45359</v>
      </c>
      <c r="K211" s="8" t="str">
        <f ca="1">IFERROR(__xludf.DUMMYFUNCTION("""COMPUTED_VALUE"""),"AM")</f>
        <v>AM</v>
      </c>
      <c r="L211" s="8" t="str">
        <f ca="1">IFERROR(__xludf.DUMMYFUNCTION("""COMPUTED_VALUE"""),"2nd Grade")</f>
        <v>2nd Grade</v>
      </c>
      <c r="M211" s="8" t="str">
        <f ca="1">IFERROR(__xludf.DUMMYFUNCTION("""COMPUTED_VALUE"""),"Science")</f>
        <v>Science</v>
      </c>
      <c r="N211" s="8">
        <f ca="1">IFERROR(__xludf.DUMMYFUNCTION("""COMPUTED_VALUE"""),4)</f>
        <v>4</v>
      </c>
      <c r="O211" s="8" t="str">
        <f ca="1">IFERROR(__xludf.DUMMYFUNCTION("""COMPUTED_VALUE"""),"Progressing")</f>
        <v>Progressing</v>
      </c>
      <c r="P211" s="8">
        <f ca="1">IFERROR(__xludf.DUMMYFUNCTION("""COMPUTED_VALUE"""),1)</f>
        <v>1</v>
      </c>
      <c r="Q211" s="8">
        <f ca="1">IFERROR(__xludf.DUMMYFUNCTION("""COMPUTED_VALUE"""),1)</f>
        <v>1</v>
      </c>
      <c r="R211" s="8">
        <f ca="1">IFERROR(__xludf.DUMMYFUNCTION("""COMPUTED_VALUE"""),1)</f>
        <v>1</v>
      </c>
      <c r="S211" s="8">
        <f ca="1">IFERROR(__xludf.DUMMYFUNCTION("""COMPUTED_VALUE"""),1)</f>
        <v>1</v>
      </c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</row>
    <row r="212" spans="1:31" ht="13.15" x14ac:dyDescent="0.4">
      <c r="A212" s="8"/>
      <c r="B212" s="8"/>
      <c r="C212" s="8"/>
      <c r="D212" s="8"/>
      <c r="E212" s="8" t="str">
        <f ca="1">IFERROR(__xludf.DUMMYFUNCTION("""COMPUTED_VALUE"""),"FEHL-PRICE")</f>
        <v>FEHL-PRICE</v>
      </c>
      <c r="F212" s="8" t="str">
        <f ca="1">IFERROR(__xludf.DUMMYFUNCTION("""COMPUTED_VALUE"""),"Learning Coach")</f>
        <v>Learning Coach</v>
      </c>
      <c r="G212" s="8" t="str">
        <f ca="1">IFERROR(__xludf.DUMMYFUNCTION("""COMPUTED_VALUE"""),"Gloria Certa")</f>
        <v>Gloria Certa</v>
      </c>
      <c r="H212" s="8" t="str">
        <f ca="1">IFERROR(__xludf.DUMMYFUNCTION("""COMPUTED_VALUE"""),"Mersadez Gobert")</f>
        <v>Mersadez Gobert</v>
      </c>
      <c r="I212" s="9">
        <f ca="1">IFERROR(__xludf.DUMMYFUNCTION("""COMPUTED_VALUE"""),45359)</f>
        <v>45359</v>
      </c>
      <c r="J212" s="9">
        <f ca="1">IFERROR(__xludf.DUMMYFUNCTION("""COMPUTED_VALUE"""),45359)</f>
        <v>45359</v>
      </c>
      <c r="K212" s="8" t="str">
        <f ca="1">IFERROR(__xludf.DUMMYFUNCTION("""COMPUTED_VALUE"""),"PM")</f>
        <v>PM</v>
      </c>
      <c r="L212" s="8"/>
      <c r="M212" s="8"/>
      <c r="N212" s="8">
        <f ca="1">IFERROR(__xludf.DUMMYFUNCTION("""COMPUTED_VALUE"""),7)</f>
        <v>7</v>
      </c>
      <c r="O212" s="8" t="str">
        <f ca="1">IFERROR(__xludf.DUMMYFUNCTION("""COMPUTED_VALUE"""),"Proficient I")</f>
        <v>Proficient I</v>
      </c>
      <c r="P212" s="8">
        <f ca="1">IFERROR(__xludf.DUMMYFUNCTION("""COMPUTED_VALUE"""),2)</f>
        <v>2</v>
      </c>
      <c r="Q212" s="8">
        <f ca="1">IFERROR(__xludf.DUMMYFUNCTION("""COMPUTED_VALUE"""),3)</f>
        <v>3</v>
      </c>
      <c r="R212" s="8">
        <f ca="1">IFERROR(__xludf.DUMMYFUNCTION("""COMPUTED_VALUE"""),2)</f>
        <v>2</v>
      </c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</row>
    <row r="213" spans="1:31" ht="13.15" x14ac:dyDescent="0.4">
      <c r="A213" s="8"/>
      <c r="B213" s="8"/>
      <c r="C213" s="8"/>
      <c r="D213" s="8"/>
      <c r="E213" s="8" t="str">
        <f ca="1">IFERROR(__xludf.DUMMYFUNCTION("""COMPUTED_VALUE"""),"FEHL-PRICE")</f>
        <v>FEHL-PRICE</v>
      </c>
      <c r="F213" s="8" t="str">
        <f ca="1">IFERROR(__xludf.DUMMYFUNCTION("""COMPUTED_VALUE"""),"Core Subject With LSAE")</f>
        <v>Core Subject With LSAE</v>
      </c>
      <c r="G213" s="8" t="str">
        <f ca="1">IFERROR(__xludf.DUMMYFUNCTION("""COMPUTED_VALUE"""),"Whitney Braxter")</f>
        <v>Whitney Braxter</v>
      </c>
      <c r="H213" s="8" t="str">
        <f ca="1">IFERROR(__xludf.DUMMYFUNCTION("""COMPUTED_VALUE"""),"Makenzie Vandiver")</f>
        <v>Makenzie Vandiver</v>
      </c>
      <c r="I213" s="9">
        <f ca="1">IFERROR(__xludf.DUMMYFUNCTION("""COMPUTED_VALUE"""),45355)</f>
        <v>45355</v>
      </c>
      <c r="J213" s="9">
        <f ca="1">IFERROR(__xludf.DUMMYFUNCTION("""COMPUTED_VALUE"""),45355)</f>
        <v>45355</v>
      </c>
      <c r="K213" s="8" t="str">
        <f ca="1">IFERROR(__xludf.DUMMYFUNCTION("""COMPUTED_VALUE"""),"AM")</f>
        <v>AM</v>
      </c>
      <c r="L213" s="8" t="str">
        <f ca="1">IFERROR(__xludf.DUMMYFUNCTION("""COMPUTED_VALUE"""),"5th Grade")</f>
        <v>5th Grade</v>
      </c>
      <c r="M213" s="8" t="str">
        <f ca="1">IFERROR(__xludf.DUMMYFUNCTION("""COMPUTED_VALUE"""),"Math")</f>
        <v>Math</v>
      </c>
      <c r="N213" s="8">
        <f ca="1">IFERROR(__xludf.DUMMYFUNCTION("""COMPUTED_VALUE"""),5)</f>
        <v>5</v>
      </c>
      <c r="O213" s="8" t="str">
        <f ca="1">IFERROR(__xludf.DUMMYFUNCTION("""COMPUTED_VALUE"""),"Progressing")</f>
        <v>Progressing</v>
      </c>
      <c r="P213" s="8">
        <f ca="1">IFERROR(__xludf.DUMMYFUNCTION("""COMPUTED_VALUE"""),1)</f>
        <v>1</v>
      </c>
      <c r="Q213" s="8">
        <f ca="1">IFERROR(__xludf.DUMMYFUNCTION("""COMPUTED_VALUE"""),1.5)</f>
        <v>1.5</v>
      </c>
      <c r="R213" s="8">
        <f ca="1">IFERROR(__xludf.DUMMYFUNCTION("""COMPUTED_VALUE"""),1.5)</f>
        <v>1.5</v>
      </c>
      <c r="S213" s="8">
        <f ca="1">IFERROR(__xludf.DUMMYFUNCTION("""COMPUTED_VALUE"""),1)</f>
        <v>1</v>
      </c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</row>
    <row r="214" spans="1:31" ht="13.15" x14ac:dyDescent="0.4">
      <c r="A214" s="8"/>
      <c r="B214" s="8"/>
      <c r="C214" s="8"/>
      <c r="D214" s="8"/>
      <c r="E214" s="8" t="str">
        <f ca="1">IFERROR(__xludf.DUMMYFUNCTION("""COMPUTED_VALUE"""),"FEHL-PRICE")</f>
        <v>FEHL-PRICE</v>
      </c>
      <c r="F214" s="8" t="str">
        <f ca="1">IFERROR(__xludf.DUMMYFUNCTION("""COMPUTED_VALUE"""),"K-1")</f>
        <v>K-1</v>
      </c>
      <c r="G214" s="8" t="str">
        <f ca="1">IFERROR(__xludf.DUMMYFUNCTION("""COMPUTED_VALUE"""),"Fabiola Baca")</f>
        <v>Fabiola Baca</v>
      </c>
      <c r="H214" s="8" t="str">
        <f ca="1">IFERROR(__xludf.DUMMYFUNCTION("""COMPUTED_VALUE"""),"Makenzie Vandiver")</f>
        <v>Makenzie Vandiver</v>
      </c>
      <c r="I214" s="9">
        <f ca="1">IFERROR(__xludf.DUMMYFUNCTION("""COMPUTED_VALUE"""),45355)</f>
        <v>45355</v>
      </c>
      <c r="J214" s="9">
        <f ca="1">IFERROR(__xludf.DUMMYFUNCTION("""COMPUTED_VALUE"""),45355)</f>
        <v>45355</v>
      </c>
      <c r="K214" s="8" t="str">
        <f ca="1">IFERROR(__xludf.DUMMYFUNCTION("""COMPUTED_VALUE"""),"PM")</f>
        <v>PM</v>
      </c>
      <c r="L214" s="8" t="str">
        <f ca="1">IFERROR(__xludf.DUMMYFUNCTION("""COMPUTED_VALUE"""),"1st Grade")</f>
        <v>1st Grade</v>
      </c>
      <c r="M214" s="8" t="str">
        <f ca="1">IFERROR(__xludf.DUMMYFUNCTION("""COMPUTED_VALUE"""),"ELA")</f>
        <v>ELA</v>
      </c>
      <c r="N214" s="8">
        <f ca="1">IFERROR(__xludf.DUMMYFUNCTION("""COMPUTED_VALUE"""),7)</f>
        <v>7</v>
      </c>
      <c r="O214" s="8" t="str">
        <f ca="1">IFERROR(__xludf.DUMMYFUNCTION("""COMPUTED_VALUE"""),"Proficient I")</f>
        <v>Proficient I</v>
      </c>
      <c r="P214" s="8">
        <f ca="1">IFERROR(__xludf.DUMMYFUNCTION("""COMPUTED_VALUE"""),1)</f>
        <v>1</v>
      </c>
      <c r="Q214" s="8">
        <f ca="1">IFERROR(__xludf.DUMMYFUNCTION("""COMPUTED_VALUE"""),1.5)</f>
        <v>1.5</v>
      </c>
      <c r="R214" s="8">
        <f ca="1">IFERROR(__xludf.DUMMYFUNCTION("""COMPUTED_VALUE"""),2.5)</f>
        <v>2.5</v>
      </c>
      <c r="S214" s="8">
        <f ca="1">IFERROR(__xludf.DUMMYFUNCTION("""COMPUTED_VALUE"""),2)</f>
        <v>2</v>
      </c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</row>
    <row r="215" spans="1:31" ht="13.15" x14ac:dyDescent="0.4">
      <c r="A215" s="8"/>
      <c r="B215" s="8"/>
      <c r="C215" s="8"/>
      <c r="D215" s="8"/>
      <c r="E215" s="8" t="str">
        <f ca="1">IFERROR(__xludf.DUMMYFUNCTION("""COMPUTED_VALUE"""),"FEHL-PRICE")</f>
        <v>FEHL-PRICE</v>
      </c>
      <c r="F215" s="8" t="str">
        <f ca="1">IFERROR(__xludf.DUMMYFUNCTION("""COMPUTED_VALUE"""),"Learning Coach")</f>
        <v>Learning Coach</v>
      </c>
      <c r="G215" s="8" t="str">
        <f ca="1">IFERROR(__xludf.DUMMYFUNCTION("""COMPUTED_VALUE"""),"Seirra Solco")</f>
        <v>Seirra Solco</v>
      </c>
      <c r="H215" s="8" t="str">
        <f ca="1">IFERROR(__xludf.DUMMYFUNCTION("""COMPUTED_VALUE"""),"Makenzie Vandiver")</f>
        <v>Makenzie Vandiver</v>
      </c>
      <c r="I215" s="9">
        <f ca="1">IFERROR(__xludf.DUMMYFUNCTION("""COMPUTED_VALUE"""),45355)</f>
        <v>45355</v>
      </c>
      <c r="J215" s="9">
        <f ca="1">IFERROR(__xludf.DUMMYFUNCTION("""COMPUTED_VALUE"""),45356)</f>
        <v>45356</v>
      </c>
      <c r="K215" s="8" t="str">
        <f ca="1">IFERROR(__xludf.DUMMYFUNCTION("""COMPUTED_VALUE"""),"AM")</f>
        <v>AM</v>
      </c>
      <c r="L215" s="8"/>
      <c r="M215" s="8"/>
      <c r="N215" s="8">
        <f ca="1">IFERROR(__xludf.DUMMYFUNCTION("""COMPUTED_VALUE"""),6)</f>
        <v>6</v>
      </c>
      <c r="O215" s="8" t="str">
        <f ca="1">IFERROR(__xludf.DUMMYFUNCTION("""COMPUTED_VALUE"""),"Proficient I")</f>
        <v>Proficient I</v>
      </c>
      <c r="P215" s="8">
        <f ca="1">IFERROR(__xludf.DUMMYFUNCTION("""COMPUTED_VALUE"""),1.5)</f>
        <v>1.5</v>
      </c>
      <c r="Q215" s="8">
        <f ca="1">IFERROR(__xludf.DUMMYFUNCTION("""COMPUTED_VALUE"""),2)</f>
        <v>2</v>
      </c>
      <c r="R215" s="8">
        <f ca="1">IFERROR(__xludf.DUMMYFUNCTION("""COMPUTED_VALUE"""),2.5)</f>
        <v>2.5</v>
      </c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</row>
    <row r="216" spans="1:31" ht="13.15" x14ac:dyDescent="0.4">
      <c r="A216" s="8"/>
      <c r="B216" s="8"/>
      <c r="C216" s="8"/>
      <c r="D216" s="8"/>
      <c r="E216" s="8" t="str">
        <f ca="1">IFERROR(__xludf.DUMMYFUNCTION("""COMPUTED_VALUE"""),"FEHL-PRICE")</f>
        <v>FEHL-PRICE</v>
      </c>
      <c r="F216" s="8" t="str">
        <f ca="1">IFERROR(__xludf.DUMMYFUNCTION("""COMPUTED_VALUE"""),"Core Subject With LSAE")</f>
        <v>Core Subject With LSAE</v>
      </c>
      <c r="G216" s="8" t="str">
        <f ca="1">IFERROR(__xludf.DUMMYFUNCTION("""COMPUTED_VALUE"""),"Whitney Hudson")</f>
        <v>Whitney Hudson</v>
      </c>
      <c r="H216" s="8" t="str">
        <f ca="1">IFERROR(__xludf.DUMMYFUNCTION("""COMPUTED_VALUE"""),"Makenzie Vandiver")</f>
        <v>Makenzie Vandiver</v>
      </c>
      <c r="I216" s="9">
        <f ca="1">IFERROR(__xludf.DUMMYFUNCTION("""COMPUTED_VALUE"""),45356)</f>
        <v>45356</v>
      </c>
      <c r="J216" s="9">
        <f ca="1">IFERROR(__xludf.DUMMYFUNCTION("""COMPUTED_VALUE"""),45356)</f>
        <v>45356</v>
      </c>
      <c r="K216" s="8" t="str">
        <f ca="1">IFERROR(__xludf.DUMMYFUNCTION("""COMPUTED_VALUE"""),"AM")</f>
        <v>AM</v>
      </c>
      <c r="L216" s="8" t="str">
        <f ca="1">IFERROR(__xludf.DUMMYFUNCTION("""COMPUTED_VALUE"""),"3rd Grade")</f>
        <v>3rd Grade</v>
      </c>
      <c r="M216" s="8" t="str">
        <f ca="1">IFERROR(__xludf.DUMMYFUNCTION("""COMPUTED_VALUE"""),"ELA")</f>
        <v>ELA</v>
      </c>
      <c r="N216" s="8">
        <f ca="1">IFERROR(__xludf.DUMMYFUNCTION("""COMPUTED_VALUE"""),4)</f>
        <v>4</v>
      </c>
      <c r="O216" s="8" t="str">
        <f ca="1">IFERROR(__xludf.DUMMYFUNCTION("""COMPUTED_VALUE"""),"Progressing")</f>
        <v>Progressing</v>
      </c>
      <c r="P216" s="8">
        <f ca="1">IFERROR(__xludf.DUMMYFUNCTION("""COMPUTED_VALUE"""),1)</f>
        <v>1</v>
      </c>
      <c r="Q216" s="8">
        <f ca="1">IFERROR(__xludf.DUMMYFUNCTION("""COMPUTED_VALUE"""),0.5)</f>
        <v>0.5</v>
      </c>
      <c r="R216" s="8">
        <f ca="1">IFERROR(__xludf.DUMMYFUNCTION("""COMPUTED_VALUE"""),1.5)</f>
        <v>1.5</v>
      </c>
      <c r="S216" s="8">
        <f ca="1">IFERROR(__xludf.DUMMYFUNCTION("""COMPUTED_VALUE"""),1)</f>
        <v>1</v>
      </c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</row>
    <row r="217" spans="1:31" ht="13.15" x14ac:dyDescent="0.4">
      <c r="A217" s="8"/>
      <c r="B217" s="8"/>
      <c r="C217" s="8"/>
      <c r="D217" s="8"/>
      <c r="E217" s="8" t="str">
        <f ca="1">IFERROR(__xludf.DUMMYFUNCTION("""COMPUTED_VALUE"""),"FEHL-PRICE")</f>
        <v>FEHL-PRICE</v>
      </c>
      <c r="F217" s="8" t="str">
        <f ca="1">IFERROR(__xludf.DUMMYFUNCTION("""COMPUTED_VALUE"""),"Core Subject With LSAE")</f>
        <v>Core Subject With LSAE</v>
      </c>
      <c r="G217" s="8" t="str">
        <f ca="1">IFERROR(__xludf.DUMMYFUNCTION("""COMPUTED_VALUE"""),"Sarina White")</f>
        <v>Sarina White</v>
      </c>
      <c r="H217" s="8" t="str">
        <f ca="1">IFERROR(__xludf.DUMMYFUNCTION("""COMPUTED_VALUE"""),"Makenzie Vandiver")</f>
        <v>Makenzie Vandiver</v>
      </c>
      <c r="I217" s="9">
        <f ca="1">IFERROR(__xludf.DUMMYFUNCTION("""COMPUTED_VALUE"""),45356)</f>
        <v>45356</v>
      </c>
      <c r="J217" s="9">
        <f ca="1">IFERROR(__xludf.DUMMYFUNCTION("""COMPUTED_VALUE"""),45356)</f>
        <v>45356</v>
      </c>
      <c r="K217" s="8" t="str">
        <f ca="1">IFERROR(__xludf.DUMMYFUNCTION("""COMPUTED_VALUE"""),"PM")</f>
        <v>PM</v>
      </c>
      <c r="L217" s="8" t="str">
        <f ca="1">IFERROR(__xludf.DUMMYFUNCTION("""COMPUTED_VALUE"""),"5th Grade")</f>
        <v>5th Grade</v>
      </c>
      <c r="M217" s="8" t="str">
        <f ca="1">IFERROR(__xludf.DUMMYFUNCTION("""COMPUTED_VALUE"""),"ELA")</f>
        <v>ELA</v>
      </c>
      <c r="N217" s="8">
        <f ca="1">IFERROR(__xludf.DUMMYFUNCTION("""COMPUTED_VALUE"""),6)</f>
        <v>6</v>
      </c>
      <c r="O217" s="8" t="str">
        <f ca="1">IFERROR(__xludf.DUMMYFUNCTION("""COMPUTED_VALUE"""),"Proficient I")</f>
        <v>Proficient I</v>
      </c>
      <c r="P217" s="8">
        <f ca="1">IFERROR(__xludf.DUMMYFUNCTION("""COMPUTED_VALUE"""),1)</f>
        <v>1</v>
      </c>
      <c r="Q217" s="8">
        <f ca="1">IFERROR(__xludf.DUMMYFUNCTION("""COMPUTED_VALUE"""),2)</f>
        <v>2</v>
      </c>
      <c r="R217" s="8">
        <f ca="1">IFERROR(__xludf.DUMMYFUNCTION("""COMPUTED_VALUE"""),1.5)</f>
        <v>1.5</v>
      </c>
      <c r="S217" s="8">
        <f ca="1">IFERROR(__xludf.DUMMYFUNCTION("""COMPUTED_VALUE"""),1.5)</f>
        <v>1.5</v>
      </c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</row>
    <row r="218" spans="1:31" ht="13.15" x14ac:dyDescent="0.4">
      <c r="A218" s="8"/>
      <c r="B218" s="8"/>
      <c r="C218" s="8"/>
      <c r="D218" s="8"/>
      <c r="E218" s="8" t="str">
        <f ca="1">IFERROR(__xludf.DUMMYFUNCTION("""COMPUTED_VALUE"""),"FEHL-PRICE")</f>
        <v>FEHL-PRICE</v>
      </c>
      <c r="F218" s="8" t="str">
        <f ca="1">IFERROR(__xludf.DUMMYFUNCTION("""COMPUTED_VALUE"""),"Core Subject With LSAE")</f>
        <v>Core Subject With LSAE</v>
      </c>
      <c r="G218" s="8" t="str">
        <f ca="1">IFERROR(__xludf.DUMMYFUNCTION("""COMPUTED_VALUE"""),"Sharnee Cobb")</f>
        <v>Sharnee Cobb</v>
      </c>
      <c r="H218" s="8" t="str">
        <f ca="1">IFERROR(__xludf.DUMMYFUNCTION("""COMPUTED_VALUE"""),"Makenzie Vandiver")</f>
        <v>Makenzie Vandiver</v>
      </c>
      <c r="I218" s="9">
        <f ca="1">IFERROR(__xludf.DUMMYFUNCTION("""COMPUTED_VALUE"""),45356)</f>
        <v>45356</v>
      </c>
      <c r="J218" s="9">
        <f ca="1">IFERROR(__xludf.DUMMYFUNCTION("""COMPUTED_VALUE"""),45356)</f>
        <v>45356</v>
      </c>
      <c r="K218" s="8" t="str">
        <f ca="1">IFERROR(__xludf.DUMMYFUNCTION("""COMPUTED_VALUE"""),"AM")</f>
        <v>AM</v>
      </c>
      <c r="L218" s="8" t="str">
        <f ca="1">IFERROR(__xludf.DUMMYFUNCTION("""COMPUTED_VALUE"""),"2nd Grade")</f>
        <v>2nd Grade</v>
      </c>
      <c r="M218" s="8" t="str">
        <f ca="1">IFERROR(__xludf.DUMMYFUNCTION("""COMPUTED_VALUE"""),"Math")</f>
        <v>Math</v>
      </c>
      <c r="N218" s="8">
        <f ca="1">IFERROR(__xludf.DUMMYFUNCTION("""COMPUTED_VALUE"""),4)</f>
        <v>4</v>
      </c>
      <c r="O218" s="8" t="str">
        <f ca="1">IFERROR(__xludf.DUMMYFUNCTION("""COMPUTED_VALUE"""),"Progressing")</f>
        <v>Progressing</v>
      </c>
      <c r="P218" s="8">
        <f ca="1">IFERROR(__xludf.DUMMYFUNCTION("""COMPUTED_VALUE"""),1)</f>
        <v>1</v>
      </c>
      <c r="Q218" s="8">
        <f ca="1">IFERROR(__xludf.DUMMYFUNCTION("""COMPUTED_VALUE"""),1)</f>
        <v>1</v>
      </c>
      <c r="R218" s="8">
        <f ca="1">IFERROR(__xludf.DUMMYFUNCTION("""COMPUTED_VALUE"""),1)</f>
        <v>1</v>
      </c>
      <c r="S218" s="8">
        <f ca="1">IFERROR(__xludf.DUMMYFUNCTION("""COMPUTED_VALUE"""),1)</f>
        <v>1</v>
      </c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</row>
    <row r="219" spans="1:31" ht="13.15" x14ac:dyDescent="0.4">
      <c r="A219" s="8"/>
      <c r="B219" s="8"/>
      <c r="C219" s="8"/>
      <c r="D219" s="8"/>
      <c r="E219" s="8" t="str">
        <f ca="1">IFERROR(__xludf.DUMMYFUNCTION("""COMPUTED_VALUE"""),"FEHL-PRICE")</f>
        <v>FEHL-PRICE</v>
      </c>
      <c r="F219" s="8" t="str">
        <f ca="1">IFERROR(__xludf.DUMMYFUNCTION("""COMPUTED_VALUE"""),"Core Subject No LSAE")</f>
        <v>Core Subject No LSAE</v>
      </c>
      <c r="G219" s="8" t="str">
        <f ca="1">IFERROR(__xludf.DUMMYFUNCTION("""COMPUTED_VALUE"""),"Daisy Contreras")</f>
        <v>Daisy Contreras</v>
      </c>
      <c r="H219" s="8" t="str">
        <f ca="1">IFERROR(__xludf.DUMMYFUNCTION("""COMPUTED_VALUE"""),"Makenzie Vandiver")</f>
        <v>Makenzie Vandiver</v>
      </c>
      <c r="I219" s="9">
        <f ca="1">IFERROR(__xludf.DUMMYFUNCTION("""COMPUTED_VALUE"""),45357)</f>
        <v>45357</v>
      </c>
      <c r="J219" s="9">
        <f ca="1">IFERROR(__xludf.DUMMYFUNCTION("""COMPUTED_VALUE"""),45357)</f>
        <v>45357</v>
      </c>
      <c r="K219" s="8" t="str">
        <f ca="1">IFERROR(__xludf.DUMMYFUNCTION("""COMPUTED_VALUE"""),"PM")</f>
        <v>PM</v>
      </c>
      <c r="L219" s="8" t="str">
        <f ca="1">IFERROR(__xludf.DUMMYFUNCTION("""COMPUTED_VALUE"""),"4th Grade")</f>
        <v>4th Grade</v>
      </c>
      <c r="M219" s="8" t="str">
        <f ca="1">IFERROR(__xludf.DUMMYFUNCTION("""COMPUTED_VALUE"""),"Science")</f>
        <v>Science</v>
      </c>
      <c r="N219" s="8">
        <f ca="1">IFERROR(__xludf.DUMMYFUNCTION("""COMPUTED_VALUE"""),4.5)</f>
        <v>4.5</v>
      </c>
      <c r="O219" s="8" t="str">
        <f ca="1">IFERROR(__xludf.DUMMYFUNCTION("""COMPUTED_VALUE"""),"Progressing")</f>
        <v>Progressing</v>
      </c>
      <c r="P219" s="8">
        <f ca="1">IFERROR(__xludf.DUMMYFUNCTION("""COMPUTED_VALUE"""),2)</f>
        <v>2</v>
      </c>
      <c r="Q219" s="8">
        <f ca="1">IFERROR(__xludf.DUMMYFUNCTION("""COMPUTED_VALUE"""),1.5)</f>
        <v>1.5</v>
      </c>
      <c r="R219" s="8">
        <f ca="1">IFERROR(__xludf.DUMMYFUNCTION("""COMPUTED_VALUE"""),1)</f>
        <v>1</v>
      </c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</row>
    <row r="220" spans="1:31" ht="13.15" x14ac:dyDescent="0.4">
      <c r="A220" s="8"/>
      <c r="B220" s="8"/>
      <c r="C220" s="8"/>
      <c r="D220" s="8"/>
      <c r="E220" s="8" t="str">
        <f ca="1">IFERROR(__xludf.DUMMYFUNCTION("""COMPUTED_VALUE"""),"FEHL-PRICE")</f>
        <v>FEHL-PRICE</v>
      </c>
      <c r="F220" s="8" t="str">
        <f ca="1">IFERROR(__xludf.DUMMYFUNCTION("""COMPUTED_VALUE"""),"Core Subject With LSAE")</f>
        <v>Core Subject With LSAE</v>
      </c>
      <c r="G220" s="8" t="str">
        <f ca="1">IFERROR(__xludf.DUMMYFUNCTION("""COMPUTED_VALUE"""),"Taylor Parker")</f>
        <v>Taylor Parker</v>
      </c>
      <c r="H220" s="8" t="str">
        <f ca="1">IFERROR(__xludf.DUMMYFUNCTION("""COMPUTED_VALUE"""),"Makenzie Vandiver")</f>
        <v>Makenzie Vandiver</v>
      </c>
      <c r="I220" s="9">
        <f ca="1">IFERROR(__xludf.DUMMYFUNCTION("""COMPUTED_VALUE"""),45357)</f>
        <v>45357</v>
      </c>
      <c r="J220" s="9">
        <f ca="1">IFERROR(__xludf.DUMMYFUNCTION("""COMPUTED_VALUE"""),45358)</f>
        <v>45358</v>
      </c>
      <c r="K220" s="8" t="str">
        <f ca="1">IFERROR(__xludf.DUMMYFUNCTION("""COMPUTED_VALUE"""),"AM")</f>
        <v>AM</v>
      </c>
      <c r="L220" s="8" t="str">
        <f ca="1">IFERROR(__xludf.DUMMYFUNCTION("""COMPUTED_VALUE"""),"4th Grade")</f>
        <v>4th Grade</v>
      </c>
      <c r="M220" s="8" t="str">
        <f ca="1">IFERROR(__xludf.DUMMYFUNCTION("""COMPUTED_VALUE"""),"ELA")</f>
        <v>ELA</v>
      </c>
      <c r="N220" s="8">
        <f ca="1">IFERROR(__xludf.DUMMYFUNCTION("""COMPUTED_VALUE"""),7.5)</f>
        <v>7.5</v>
      </c>
      <c r="O220" s="8" t="str">
        <f ca="1">IFERROR(__xludf.DUMMYFUNCTION("""COMPUTED_VALUE"""),"Proficient I")</f>
        <v>Proficient I</v>
      </c>
      <c r="P220" s="8">
        <f ca="1">IFERROR(__xludf.DUMMYFUNCTION("""COMPUTED_VALUE"""),1)</f>
        <v>1</v>
      </c>
      <c r="Q220" s="8">
        <f ca="1">IFERROR(__xludf.DUMMYFUNCTION("""COMPUTED_VALUE"""),2)</f>
        <v>2</v>
      </c>
      <c r="R220" s="8">
        <f ca="1">IFERROR(__xludf.DUMMYFUNCTION("""COMPUTED_VALUE"""),3)</f>
        <v>3</v>
      </c>
      <c r="S220" s="8">
        <f ca="1">IFERROR(__xludf.DUMMYFUNCTION("""COMPUTED_VALUE"""),1.5)</f>
        <v>1.5</v>
      </c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</row>
    <row r="221" spans="1:31" ht="13.15" x14ac:dyDescent="0.4">
      <c r="A221" s="8"/>
      <c r="B221" s="8"/>
      <c r="C221" s="8"/>
      <c r="D221" s="8"/>
      <c r="E221" s="8" t="str">
        <f ca="1">IFERROR(__xludf.DUMMYFUNCTION("""COMPUTED_VALUE"""),"FEHL-PRICE")</f>
        <v>FEHL-PRICE</v>
      </c>
      <c r="F221" s="8" t="str">
        <f ca="1">IFERROR(__xludf.DUMMYFUNCTION("""COMPUTED_VALUE"""),"K-1")</f>
        <v>K-1</v>
      </c>
      <c r="G221" s="8" t="str">
        <f ca="1">IFERROR(__xludf.DUMMYFUNCTION("""COMPUTED_VALUE"""),"Aspen Winn")</f>
        <v>Aspen Winn</v>
      </c>
      <c r="H221" s="8" t="str">
        <f ca="1">IFERROR(__xludf.DUMMYFUNCTION("""COMPUTED_VALUE"""),"Makenzie Vandiver")</f>
        <v>Makenzie Vandiver</v>
      </c>
      <c r="I221" s="9">
        <f ca="1">IFERROR(__xludf.DUMMYFUNCTION("""COMPUTED_VALUE"""),45358)</f>
        <v>45358</v>
      </c>
      <c r="J221" s="9">
        <f ca="1">IFERROR(__xludf.DUMMYFUNCTION("""COMPUTED_VALUE"""),45358)</f>
        <v>45358</v>
      </c>
      <c r="K221" s="8" t="str">
        <f ca="1">IFERROR(__xludf.DUMMYFUNCTION("""COMPUTED_VALUE"""),"AM")</f>
        <v>AM</v>
      </c>
      <c r="L221" s="11" t="str">
        <f ca="1">IFERROR(__xludf.DUMMYFUNCTION("""COMPUTED_VALUE"""),"1st Grade")</f>
        <v>1st Grade</v>
      </c>
      <c r="M221" s="8" t="str">
        <f ca="1">IFERROR(__xludf.DUMMYFUNCTION("""COMPUTED_VALUE"""),"Math")</f>
        <v>Math</v>
      </c>
      <c r="N221" s="8">
        <f ca="1">IFERROR(__xludf.DUMMYFUNCTION("""COMPUTED_VALUE"""),7.5)</f>
        <v>7.5</v>
      </c>
      <c r="O221" s="8" t="str">
        <f ca="1">IFERROR(__xludf.DUMMYFUNCTION("""COMPUTED_VALUE"""),"Proficient I")</f>
        <v>Proficient I</v>
      </c>
      <c r="P221" s="8">
        <f ca="1">IFERROR(__xludf.DUMMYFUNCTION("""COMPUTED_VALUE"""),1)</f>
        <v>1</v>
      </c>
      <c r="Q221" s="8">
        <f ca="1">IFERROR(__xludf.DUMMYFUNCTION("""COMPUTED_VALUE"""),2)</f>
        <v>2</v>
      </c>
      <c r="R221" s="8">
        <f ca="1">IFERROR(__xludf.DUMMYFUNCTION("""COMPUTED_VALUE"""),2.5)</f>
        <v>2.5</v>
      </c>
      <c r="S221" s="8">
        <f ca="1">IFERROR(__xludf.DUMMYFUNCTION("""COMPUTED_VALUE"""),2)</f>
        <v>2</v>
      </c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</row>
    <row r="222" spans="1:31" ht="13.15" x14ac:dyDescent="0.4">
      <c r="A222" s="8"/>
      <c r="B222" s="8"/>
      <c r="C222" s="8"/>
      <c r="D222" s="8"/>
      <c r="E222" s="8" t="str">
        <f ca="1">IFERROR(__xludf.DUMMYFUNCTION("""COMPUTED_VALUE"""),"FEHL-PRICE")</f>
        <v>FEHL-PRICE</v>
      </c>
      <c r="F222" s="8" t="str">
        <f ca="1">IFERROR(__xludf.DUMMYFUNCTION("""COMPUTED_VALUE"""),"Learning Coach")</f>
        <v>Learning Coach</v>
      </c>
      <c r="G222" s="8" t="str">
        <f ca="1">IFERROR(__xludf.DUMMYFUNCTION("""COMPUTED_VALUE"""),"Krystol Madison")</f>
        <v>Krystol Madison</v>
      </c>
      <c r="H222" s="8" t="str">
        <f ca="1">IFERROR(__xludf.DUMMYFUNCTION("""COMPUTED_VALUE"""),"Makenzie Vandiver")</f>
        <v>Makenzie Vandiver</v>
      </c>
      <c r="I222" s="9">
        <f ca="1">IFERROR(__xludf.DUMMYFUNCTION("""COMPUTED_VALUE"""),45358)</f>
        <v>45358</v>
      </c>
      <c r="J222" s="9">
        <f ca="1">IFERROR(__xludf.DUMMYFUNCTION("""COMPUTED_VALUE"""),45358)</f>
        <v>45358</v>
      </c>
      <c r="K222" s="8" t="str">
        <f ca="1">IFERROR(__xludf.DUMMYFUNCTION("""COMPUTED_VALUE"""),"PM")</f>
        <v>PM</v>
      </c>
      <c r="L222" s="11"/>
      <c r="M222" s="8"/>
      <c r="N222" s="8">
        <f ca="1">IFERROR(__xludf.DUMMYFUNCTION("""COMPUTED_VALUE"""),8)</f>
        <v>8</v>
      </c>
      <c r="O222" s="8" t="str">
        <f ca="1">IFERROR(__xludf.DUMMYFUNCTION("""COMPUTED_VALUE"""),"Proficient II")</f>
        <v>Proficient II</v>
      </c>
      <c r="P222" s="8">
        <f ca="1">IFERROR(__xludf.DUMMYFUNCTION("""COMPUTED_VALUE"""),2)</f>
        <v>2</v>
      </c>
      <c r="Q222" s="8">
        <f ca="1">IFERROR(__xludf.DUMMYFUNCTION("""COMPUTED_VALUE"""),3.5)</f>
        <v>3.5</v>
      </c>
      <c r="R222" s="8">
        <f ca="1">IFERROR(__xludf.DUMMYFUNCTION("""COMPUTED_VALUE"""),2.5)</f>
        <v>2.5</v>
      </c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</row>
    <row r="223" spans="1:31" ht="13.15" x14ac:dyDescent="0.4">
      <c r="A223" s="8"/>
      <c r="B223" s="8"/>
      <c r="C223" s="8"/>
      <c r="D223" s="8"/>
      <c r="E223" s="8" t="str">
        <f ca="1">IFERROR(__xludf.DUMMYFUNCTION("""COMPUTED_VALUE"""),"FEHL-PRICE")</f>
        <v>FEHL-PRICE</v>
      </c>
      <c r="F223" s="8" t="str">
        <f ca="1">IFERROR(__xludf.DUMMYFUNCTION("""COMPUTED_VALUE"""),"Reading Intervention")</f>
        <v>Reading Intervention</v>
      </c>
      <c r="G223" s="8" t="str">
        <f ca="1">IFERROR(__xludf.DUMMYFUNCTION("""COMPUTED_VALUE"""),"Nkenge Chambers-Costley")</f>
        <v>Nkenge Chambers-Costley</v>
      </c>
      <c r="H223" s="8" t="str">
        <f ca="1">IFERROR(__xludf.DUMMYFUNCTION("""COMPUTED_VALUE"""),"Makenzie Vandiver")</f>
        <v>Makenzie Vandiver</v>
      </c>
      <c r="I223" s="9">
        <f ca="1">IFERROR(__xludf.DUMMYFUNCTION("""COMPUTED_VALUE"""),45358)</f>
        <v>45358</v>
      </c>
      <c r="J223" s="9">
        <f ca="1">IFERROR(__xludf.DUMMYFUNCTION("""COMPUTED_VALUE"""),45358)</f>
        <v>45358</v>
      </c>
      <c r="K223" s="8" t="str">
        <f ca="1">IFERROR(__xludf.DUMMYFUNCTION("""COMPUTED_VALUE"""),"AM")</f>
        <v>AM</v>
      </c>
      <c r="L223" s="8" t="str">
        <f ca="1">IFERROR(__xludf.DUMMYFUNCTION("""COMPUTED_VALUE"""),"3rd Grade")</f>
        <v>3rd Grade</v>
      </c>
      <c r="M223" s="8"/>
      <c r="N223" s="8">
        <f ca="1">IFERROR(__xludf.DUMMYFUNCTION("""COMPUTED_VALUE"""),5)</f>
        <v>5</v>
      </c>
      <c r="O223" s="8" t="str">
        <f ca="1">IFERROR(__xludf.DUMMYFUNCTION("""COMPUTED_VALUE"""),"Proficient I")</f>
        <v>Proficient I</v>
      </c>
      <c r="P223" s="8">
        <f ca="1">IFERROR(__xludf.DUMMYFUNCTION("""COMPUTED_VALUE"""),2)</f>
        <v>2</v>
      </c>
      <c r="Q223" s="8">
        <f ca="1">IFERROR(__xludf.DUMMYFUNCTION("""COMPUTED_VALUE"""),3)</f>
        <v>3</v>
      </c>
      <c r="R223" s="8">
        <f ca="1">IFERROR(__xludf.DUMMYFUNCTION("""COMPUTED_VALUE"""),0)</f>
        <v>0</v>
      </c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</row>
    <row r="224" spans="1:31" ht="13.15" x14ac:dyDescent="0.4">
      <c r="A224" s="8"/>
      <c r="B224" s="8"/>
      <c r="C224" s="8"/>
      <c r="D224" s="8"/>
      <c r="E224" s="8" t="str">
        <f ca="1">IFERROR(__xludf.DUMMYFUNCTION("""COMPUTED_VALUE"""),"FEHL-PRICE")</f>
        <v>FEHL-PRICE</v>
      </c>
      <c r="F224" s="8" t="str">
        <f ca="1">IFERROR(__xludf.DUMMYFUNCTION("""COMPUTED_VALUE"""),"Learning Coach")</f>
        <v>Learning Coach</v>
      </c>
      <c r="G224" s="8" t="str">
        <f ca="1">IFERROR(__xludf.DUMMYFUNCTION("""COMPUTED_VALUE"""),"Krystal Motton")</f>
        <v>Krystal Motton</v>
      </c>
      <c r="H224" s="8" t="str">
        <f ca="1">IFERROR(__xludf.DUMMYFUNCTION("""COMPUTED_VALUE"""),"Makenzie Vandiver")</f>
        <v>Makenzie Vandiver</v>
      </c>
      <c r="I224" s="9">
        <f ca="1">IFERROR(__xludf.DUMMYFUNCTION("""COMPUTED_VALUE"""),45359)</f>
        <v>45359</v>
      </c>
      <c r="J224" s="9">
        <f ca="1">IFERROR(__xludf.DUMMYFUNCTION("""COMPUTED_VALUE"""),45359)</f>
        <v>45359</v>
      </c>
      <c r="K224" s="8" t="str">
        <f ca="1">IFERROR(__xludf.DUMMYFUNCTION("""COMPUTED_VALUE"""),"AM")</f>
        <v>AM</v>
      </c>
      <c r="L224" s="8"/>
      <c r="M224" s="8"/>
      <c r="N224" s="8">
        <f ca="1">IFERROR(__xludf.DUMMYFUNCTION("""COMPUTED_VALUE"""),7.5)</f>
        <v>7.5</v>
      </c>
      <c r="O224" s="8" t="str">
        <f ca="1">IFERROR(__xludf.DUMMYFUNCTION("""COMPUTED_VALUE"""),"Proficient I")</f>
        <v>Proficient I</v>
      </c>
      <c r="P224" s="8">
        <f ca="1">IFERROR(__xludf.DUMMYFUNCTION("""COMPUTED_VALUE"""),1.5)</f>
        <v>1.5</v>
      </c>
      <c r="Q224" s="8">
        <f ca="1">IFERROR(__xludf.DUMMYFUNCTION("""COMPUTED_VALUE"""),4)</f>
        <v>4</v>
      </c>
      <c r="R224" s="8">
        <f ca="1">IFERROR(__xludf.DUMMYFUNCTION("""COMPUTED_VALUE"""),2)</f>
        <v>2</v>
      </c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</row>
    <row r="225" spans="1:31" ht="13.15" x14ac:dyDescent="0.4">
      <c r="A225" s="8"/>
      <c r="B225" s="8"/>
      <c r="C225" s="8"/>
      <c r="D225" s="8"/>
      <c r="E225" s="8" t="str">
        <f ca="1">IFERROR(__xludf.DUMMYFUNCTION("""COMPUTED_VALUE"""),"JONES-CLARK")</f>
        <v>JONES-CLARK</v>
      </c>
      <c r="F225" s="8" t="str">
        <f ca="1">IFERROR(__xludf.DUMMYFUNCTION("""COMPUTED_VALUE"""),"Core Subject With LSAE")</f>
        <v>Core Subject With LSAE</v>
      </c>
      <c r="G225" s="8" t="str">
        <f ca="1">IFERROR(__xludf.DUMMYFUNCTION("""COMPUTED_VALUE"""),"Jolinda Price-Cargile")</f>
        <v>Jolinda Price-Cargile</v>
      </c>
      <c r="H225" s="8" t="str">
        <f ca="1">IFERROR(__xludf.DUMMYFUNCTION("""COMPUTED_VALUE"""),"Da'Lisa Hatcher")</f>
        <v>Da'Lisa Hatcher</v>
      </c>
      <c r="I225" s="9">
        <f ca="1">IFERROR(__xludf.DUMMYFUNCTION("""COMPUTED_VALUE"""),45355)</f>
        <v>45355</v>
      </c>
      <c r="J225" s="9"/>
      <c r="K225" s="8" t="str">
        <f ca="1">IFERROR(__xludf.DUMMYFUNCTION("""COMPUTED_VALUE"""),"AM")</f>
        <v>AM</v>
      </c>
      <c r="L225" s="8" t="str">
        <f ca="1">IFERROR(__xludf.DUMMYFUNCTION("""COMPUTED_VALUE"""),"3rd Grade")</f>
        <v>3rd Grade</v>
      </c>
      <c r="M225" s="8" t="str">
        <f ca="1">IFERROR(__xludf.DUMMYFUNCTION("""COMPUTED_VALUE"""),"Math")</f>
        <v>Math</v>
      </c>
      <c r="N225" s="8">
        <f ca="1">IFERROR(__xludf.DUMMYFUNCTION("""COMPUTED_VALUE"""),5.5)</f>
        <v>5.5</v>
      </c>
      <c r="O225" s="8" t="str">
        <f ca="1">IFERROR(__xludf.DUMMYFUNCTION("""COMPUTED_VALUE"""),"Progressing")</f>
        <v>Progressing</v>
      </c>
      <c r="P225" s="8">
        <f ca="1">IFERROR(__xludf.DUMMYFUNCTION("""COMPUTED_VALUE"""),1)</f>
        <v>1</v>
      </c>
      <c r="Q225" s="8">
        <f ca="1">IFERROR(__xludf.DUMMYFUNCTION("""COMPUTED_VALUE"""),1.5)</f>
        <v>1.5</v>
      </c>
      <c r="R225" s="8">
        <f ca="1">IFERROR(__xludf.DUMMYFUNCTION("""COMPUTED_VALUE"""),1.5)</f>
        <v>1.5</v>
      </c>
      <c r="S225" s="8">
        <f ca="1">IFERROR(__xludf.DUMMYFUNCTION("""COMPUTED_VALUE"""),1.5)</f>
        <v>1.5</v>
      </c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</row>
    <row r="226" spans="1:31" ht="13.15" x14ac:dyDescent="0.4">
      <c r="A226" s="8"/>
      <c r="B226" s="8"/>
      <c r="C226" s="8"/>
      <c r="D226" s="8"/>
      <c r="E226" s="8" t="str">
        <f ca="1">IFERROR(__xludf.DUMMYFUNCTION("""COMPUTED_VALUE"""),"JONES-CLARK")</f>
        <v>JONES-CLARK</v>
      </c>
      <c r="F226" s="8" t="str">
        <f ca="1">IFERROR(__xludf.DUMMYFUNCTION("""COMPUTED_VALUE"""),"Core Subject With LSAE")</f>
        <v>Core Subject With LSAE</v>
      </c>
      <c r="G226" s="8" t="str">
        <f ca="1">IFERROR(__xludf.DUMMYFUNCTION("""COMPUTED_VALUE"""),"Osshanique Woods")</f>
        <v>Osshanique Woods</v>
      </c>
      <c r="H226" s="8" t="str">
        <f ca="1">IFERROR(__xludf.DUMMYFUNCTION("""COMPUTED_VALUE"""),"Da'Lisa Hatcher")</f>
        <v>Da'Lisa Hatcher</v>
      </c>
      <c r="I226" s="9">
        <f ca="1">IFERROR(__xludf.DUMMYFUNCTION("""COMPUTED_VALUE"""),45355)</f>
        <v>45355</v>
      </c>
      <c r="J226" s="9"/>
      <c r="K226" s="8" t="str">
        <f ca="1">IFERROR(__xludf.DUMMYFUNCTION("""COMPUTED_VALUE"""),"PM")</f>
        <v>PM</v>
      </c>
      <c r="L226" s="8" t="str">
        <f ca="1">IFERROR(__xludf.DUMMYFUNCTION("""COMPUTED_VALUE"""),"5th Grade")</f>
        <v>5th Grade</v>
      </c>
      <c r="M226" s="8" t="str">
        <f ca="1">IFERROR(__xludf.DUMMYFUNCTION("""COMPUTED_VALUE"""),"Math")</f>
        <v>Math</v>
      </c>
      <c r="N226" s="8">
        <f ca="1">IFERROR(__xludf.DUMMYFUNCTION("""COMPUTED_VALUE"""),4)</f>
        <v>4</v>
      </c>
      <c r="O226" s="8" t="str">
        <f ca="1">IFERROR(__xludf.DUMMYFUNCTION("""COMPUTED_VALUE"""),"Progressing")</f>
        <v>Progressing</v>
      </c>
      <c r="P226" s="8">
        <f ca="1">IFERROR(__xludf.DUMMYFUNCTION("""COMPUTED_VALUE"""),1)</f>
        <v>1</v>
      </c>
      <c r="Q226" s="8">
        <f ca="1">IFERROR(__xludf.DUMMYFUNCTION("""COMPUTED_VALUE"""),1.5)</f>
        <v>1.5</v>
      </c>
      <c r="R226" s="8">
        <f ca="1">IFERROR(__xludf.DUMMYFUNCTION("""COMPUTED_VALUE"""),1.5)</f>
        <v>1.5</v>
      </c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</row>
    <row r="227" spans="1:31" ht="13.15" x14ac:dyDescent="0.4">
      <c r="A227" s="8"/>
      <c r="B227" s="8"/>
      <c r="C227" s="8"/>
      <c r="D227" s="8"/>
      <c r="E227" s="8" t="str">
        <f ca="1">IFERROR(__xludf.DUMMYFUNCTION("""COMPUTED_VALUE"""),"JONES-CLARK")</f>
        <v>JONES-CLARK</v>
      </c>
      <c r="F227" s="8" t="str">
        <f ca="1">IFERROR(__xludf.DUMMYFUNCTION("""COMPUTED_VALUE"""),"K-1")</f>
        <v>K-1</v>
      </c>
      <c r="G227" s="8" t="str">
        <f ca="1">IFERROR(__xludf.DUMMYFUNCTION("""COMPUTED_VALUE"""),"Bianca Broussard")</f>
        <v>Bianca Broussard</v>
      </c>
      <c r="H227" s="8" t="str">
        <f ca="1">IFERROR(__xludf.DUMMYFUNCTION("""COMPUTED_VALUE"""),"Da'Lisa Hatcher")</f>
        <v>Da'Lisa Hatcher</v>
      </c>
      <c r="I227" s="9">
        <f ca="1">IFERROR(__xludf.DUMMYFUNCTION("""COMPUTED_VALUE"""),45356)</f>
        <v>45356</v>
      </c>
      <c r="J227" s="9">
        <f ca="1">IFERROR(__xludf.DUMMYFUNCTION("""COMPUTED_VALUE"""),45359)</f>
        <v>45359</v>
      </c>
      <c r="K227" s="8" t="str">
        <f ca="1">IFERROR(__xludf.DUMMYFUNCTION("""COMPUTED_VALUE"""),"AM")</f>
        <v>AM</v>
      </c>
      <c r="L227" s="8" t="str">
        <f ca="1">IFERROR(__xludf.DUMMYFUNCTION("""COMPUTED_VALUE"""),"Kindergarten")</f>
        <v>Kindergarten</v>
      </c>
      <c r="M227" s="8" t="str">
        <f ca="1">IFERROR(__xludf.DUMMYFUNCTION("""COMPUTED_VALUE"""),"ELA")</f>
        <v>ELA</v>
      </c>
      <c r="N227" s="8">
        <f ca="1">IFERROR(__xludf.DUMMYFUNCTION("""COMPUTED_VALUE"""),5.5)</f>
        <v>5.5</v>
      </c>
      <c r="O227" s="8" t="str">
        <f ca="1">IFERROR(__xludf.DUMMYFUNCTION("""COMPUTED_VALUE"""),"Progressing")</f>
        <v>Progressing</v>
      </c>
      <c r="P227" s="8">
        <f ca="1">IFERROR(__xludf.DUMMYFUNCTION("""COMPUTED_VALUE"""),0.5)</f>
        <v>0.5</v>
      </c>
      <c r="Q227" s="8">
        <f ca="1">IFERROR(__xludf.DUMMYFUNCTION("""COMPUTED_VALUE"""),2)</f>
        <v>2</v>
      </c>
      <c r="R227" s="8">
        <f ca="1">IFERROR(__xludf.DUMMYFUNCTION("""COMPUTED_VALUE"""),2)</f>
        <v>2</v>
      </c>
      <c r="S227" s="8">
        <f ca="1">IFERROR(__xludf.DUMMYFUNCTION("""COMPUTED_VALUE"""),1)</f>
        <v>1</v>
      </c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</row>
    <row r="228" spans="1:31" ht="13.15" x14ac:dyDescent="0.4">
      <c r="A228" s="8"/>
      <c r="B228" s="8"/>
      <c r="C228" s="8"/>
      <c r="D228" s="8"/>
      <c r="E228" s="8" t="str">
        <f ca="1">IFERROR(__xludf.DUMMYFUNCTION("""COMPUTED_VALUE"""),"JONES-CLARK")</f>
        <v>JONES-CLARK</v>
      </c>
      <c r="F228" s="8" t="str">
        <f ca="1">IFERROR(__xludf.DUMMYFUNCTION("""COMPUTED_VALUE"""),"Core Subject No LSAE")</f>
        <v>Core Subject No LSAE</v>
      </c>
      <c r="G228" s="8" t="str">
        <f ca="1">IFERROR(__xludf.DUMMYFUNCTION("""COMPUTED_VALUE"""),"Dawn Fults")</f>
        <v>Dawn Fults</v>
      </c>
      <c r="H228" s="8" t="str">
        <f ca="1">IFERROR(__xludf.DUMMYFUNCTION("""COMPUTED_VALUE"""),"Da'Lisa Hatcher")</f>
        <v>Da'Lisa Hatcher</v>
      </c>
      <c r="I228" s="9">
        <f ca="1">IFERROR(__xludf.DUMMYFUNCTION("""COMPUTED_VALUE"""),45357)</f>
        <v>45357</v>
      </c>
      <c r="J228" s="9">
        <f ca="1">IFERROR(__xludf.DUMMYFUNCTION("""COMPUTED_VALUE"""),45358)</f>
        <v>45358</v>
      </c>
      <c r="K228" s="8" t="str">
        <f ca="1">IFERROR(__xludf.DUMMYFUNCTION("""COMPUTED_VALUE"""),"PM")</f>
        <v>PM</v>
      </c>
      <c r="L228" s="8" t="str">
        <f ca="1">IFERROR(__xludf.DUMMYFUNCTION("""COMPUTED_VALUE"""),"5th Grade")</f>
        <v>5th Grade</v>
      </c>
      <c r="M228" s="8" t="str">
        <f ca="1">IFERROR(__xludf.DUMMYFUNCTION("""COMPUTED_VALUE"""),"Science")</f>
        <v>Science</v>
      </c>
      <c r="N228" s="8">
        <f ca="1">IFERROR(__xludf.DUMMYFUNCTION("""COMPUTED_VALUE"""),5)</f>
        <v>5</v>
      </c>
      <c r="O228" s="8" t="str">
        <f ca="1">IFERROR(__xludf.DUMMYFUNCTION("""COMPUTED_VALUE"""),"Progressing")</f>
        <v>Progressing</v>
      </c>
      <c r="P228" s="8">
        <f ca="1">IFERROR(__xludf.DUMMYFUNCTION("""COMPUTED_VALUE"""),2)</f>
        <v>2</v>
      </c>
      <c r="Q228" s="8">
        <f ca="1">IFERROR(__xludf.DUMMYFUNCTION("""COMPUTED_VALUE"""),1.5)</f>
        <v>1.5</v>
      </c>
      <c r="R228" s="8">
        <f ca="1">IFERROR(__xludf.DUMMYFUNCTION("""COMPUTED_VALUE"""),1.5)</f>
        <v>1.5</v>
      </c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</row>
    <row r="229" spans="1:31" ht="13.15" x14ac:dyDescent="0.4">
      <c r="A229" s="8"/>
      <c r="B229" s="8"/>
      <c r="C229" s="8"/>
      <c r="D229" s="8"/>
      <c r="E229" s="8" t="str">
        <f ca="1">IFERROR(__xludf.DUMMYFUNCTION("""COMPUTED_VALUE"""),"JONES-CLARK")</f>
        <v>JONES-CLARK</v>
      </c>
      <c r="F229" s="8" t="str">
        <f ca="1">IFERROR(__xludf.DUMMYFUNCTION("""COMPUTED_VALUE"""),"Core Subject With LSAE")</f>
        <v>Core Subject With LSAE</v>
      </c>
      <c r="G229" s="8" t="str">
        <f ca="1">IFERROR(__xludf.DUMMYFUNCTION("""COMPUTED_VALUE"""),"Shannon Trotter")</f>
        <v>Shannon Trotter</v>
      </c>
      <c r="H229" s="8" t="str">
        <f ca="1">IFERROR(__xludf.DUMMYFUNCTION("""COMPUTED_VALUE"""),"Da'Lisa Hatcher")</f>
        <v>Da'Lisa Hatcher</v>
      </c>
      <c r="I229" s="9">
        <f ca="1">IFERROR(__xludf.DUMMYFUNCTION("""COMPUTED_VALUE"""),45357)</f>
        <v>45357</v>
      </c>
      <c r="J229" s="9">
        <f ca="1">IFERROR(__xludf.DUMMYFUNCTION("""COMPUTED_VALUE"""),45358)</f>
        <v>45358</v>
      </c>
      <c r="K229" s="8" t="str">
        <f ca="1">IFERROR(__xludf.DUMMYFUNCTION("""COMPUTED_VALUE"""),"AM")</f>
        <v>AM</v>
      </c>
      <c r="L229" s="8" t="str">
        <f ca="1">IFERROR(__xludf.DUMMYFUNCTION("""COMPUTED_VALUE"""),"3rd Grade")</f>
        <v>3rd Grade</v>
      </c>
      <c r="M229" s="8" t="str">
        <f ca="1">IFERROR(__xludf.DUMMYFUNCTION("""COMPUTED_VALUE"""),"ELA")</f>
        <v>ELA</v>
      </c>
      <c r="N229" s="8">
        <f ca="1">IFERROR(__xludf.DUMMYFUNCTION("""COMPUTED_VALUE"""),6.5)</f>
        <v>6.5</v>
      </c>
      <c r="O229" s="8" t="str">
        <f ca="1">IFERROR(__xludf.DUMMYFUNCTION("""COMPUTED_VALUE"""),"Proficient I")</f>
        <v>Proficient I</v>
      </c>
      <c r="P229" s="8">
        <f ca="1">IFERROR(__xludf.DUMMYFUNCTION("""COMPUTED_VALUE"""),1)</f>
        <v>1</v>
      </c>
      <c r="Q229" s="8">
        <f ca="1">IFERROR(__xludf.DUMMYFUNCTION("""COMPUTED_VALUE"""),2.5)</f>
        <v>2.5</v>
      </c>
      <c r="R229" s="8">
        <f ca="1">IFERROR(__xludf.DUMMYFUNCTION("""COMPUTED_VALUE"""),2)</f>
        <v>2</v>
      </c>
      <c r="S229" s="8">
        <f ca="1">IFERROR(__xludf.DUMMYFUNCTION("""COMPUTED_VALUE"""),1)</f>
        <v>1</v>
      </c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</row>
    <row r="230" spans="1:31" ht="13.15" x14ac:dyDescent="0.4">
      <c r="A230" s="8"/>
      <c r="B230" s="8"/>
      <c r="C230" s="8"/>
      <c r="D230" s="8"/>
      <c r="E230" s="8" t="str">
        <f ca="1">IFERROR(__xludf.DUMMYFUNCTION("""COMPUTED_VALUE"""),"JONES-CLARK")</f>
        <v>JONES-CLARK</v>
      </c>
      <c r="F230" s="8" t="str">
        <f ca="1">IFERROR(__xludf.DUMMYFUNCTION("""COMPUTED_VALUE"""),"Core Subject With LSAE")</f>
        <v>Core Subject With LSAE</v>
      </c>
      <c r="G230" s="8" t="str">
        <f ca="1">IFERROR(__xludf.DUMMYFUNCTION("""COMPUTED_VALUE"""),"Quentina Offord")</f>
        <v>Quentina Offord</v>
      </c>
      <c r="H230" s="8" t="str">
        <f ca="1">IFERROR(__xludf.DUMMYFUNCTION("""COMPUTED_VALUE"""),"Da'Lisa Hatcher")</f>
        <v>Da'Lisa Hatcher</v>
      </c>
      <c r="I230" s="9">
        <f ca="1">IFERROR(__xludf.DUMMYFUNCTION("""COMPUTED_VALUE"""),45358)</f>
        <v>45358</v>
      </c>
      <c r="J230" s="9">
        <f ca="1">IFERROR(__xludf.DUMMYFUNCTION("""COMPUTED_VALUE"""),45358)</f>
        <v>45358</v>
      </c>
      <c r="K230" s="8" t="str">
        <f ca="1">IFERROR(__xludf.DUMMYFUNCTION("""COMPUTED_VALUE"""),"AM")</f>
        <v>AM</v>
      </c>
      <c r="L230" s="8" t="str">
        <f ca="1">IFERROR(__xludf.DUMMYFUNCTION("""COMPUTED_VALUE"""),"4th Grade")</f>
        <v>4th Grade</v>
      </c>
      <c r="M230" s="8" t="str">
        <f ca="1">IFERROR(__xludf.DUMMYFUNCTION("""COMPUTED_VALUE"""),"Math")</f>
        <v>Math</v>
      </c>
      <c r="N230" s="8">
        <f ca="1">IFERROR(__xludf.DUMMYFUNCTION("""COMPUTED_VALUE"""),6.5)</f>
        <v>6.5</v>
      </c>
      <c r="O230" s="8" t="str">
        <f ca="1">IFERROR(__xludf.DUMMYFUNCTION("""COMPUTED_VALUE"""),"Proficient I")</f>
        <v>Proficient I</v>
      </c>
      <c r="P230" s="8">
        <f ca="1">IFERROR(__xludf.DUMMYFUNCTION("""COMPUTED_VALUE"""),0.5)</f>
        <v>0.5</v>
      </c>
      <c r="Q230" s="8">
        <f ca="1">IFERROR(__xludf.DUMMYFUNCTION("""COMPUTED_VALUE"""),2.5)</f>
        <v>2.5</v>
      </c>
      <c r="R230" s="8">
        <f ca="1">IFERROR(__xludf.DUMMYFUNCTION("""COMPUTED_VALUE"""),2.5)</f>
        <v>2.5</v>
      </c>
      <c r="S230" s="8">
        <f ca="1">IFERROR(__xludf.DUMMYFUNCTION("""COMPUTED_VALUE"""),1)</f>
        <v>1</v>
      </c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</row>
    <row r="231" spans="1:31" ht="13.15" x14ac:dyDescent="0.4">
      <c r="A231" s="8"/>
      <c r="B231" s="8"/>
      <c r="C231" s="8"/>
      <c r="D231" s="8"/>
      <c r="E231" s="8" t="str">
        <f ca="1">IFERROR(__xludf.DUMMYFUNCTION("""COMPUTED_VALUE"""),"JONES-CLARK")</f>
        <v>JONES-CLARK</v>
      </c>
      <c r="F231" s="8" t="str">
        <f ca="1">IFERROR(__xludf.DUMMYFUNCTION("""COMPUTED_VALUE"""),"K-1")</f>
        <v>K-1</v>
      </c>
      <c r="G231" s="8" t="str">
        <f ca="1">IFERROR(__xludf.DUMMYFUNCTION("""COMPUTED_VALUE"""),"Blanca Gomez")</f>
        <v>Blanca Gomez</v>
      </c>
      <c r="H231" s="8" t="str">
        <f ca="1">IFERROR(__xludf.DUMMYFUNCTION("""COMPUTED_VALUE"""),"Da'Lisa Hatcher")</f>
        <v>Da'Lisa Hatcher</v>
      </c>
      <c r="I231" s="9">
        <f ca="1">IFERROR(__xludf.DUMMYFUNCTION("""COMPUTED_VALUE"""),45358)</f>
        <v>45358</v>
      </c>
      <c r="J231" s="9"/>
      <c r="K231" s="8" t="str">
        <f ca="1">IFERROR(__xludf.DUMMYFUNCTION("""COMPUTED_VALUE"""),"AM")</f>
        <v>AM</v>
      </c>
      <c r="L231" s="8" t="str">
        <f ca="1">IFERROR(__xludf.DUMMYFUNCTION("""COMPUTED_VALUE"""),"1st Grade")</f>
        <v>1st Grade</v>
      </c>
      <c r="M231" s="8" t="str">
        <f ca="1">IFERROR(__xludf.DUMMYFUNCTION("""COMPUTED_VALUE"""),"Math")</f>
        <v>Math</v>
      </c>
      <c r="N231" s="8">
        <f ca="1">IFERROR(__xludf.DUMMYFUNCTION("""COMPUTED_VALUE"""),5.5)</f>
        <v>5.5</v>
      </c>
      <c r="O231" s="8" t="str">
        <f ca="1">IFERROR(__xludf.DUMMYFUNCTION("""COMPUTED_VALUE"""),"Progressing")</f>
        <v>Progressing</v>
      </c>
      <c r="P231" s="8">
        <f ca="1">IFERROR(__xludf.DUMMYFUNCTION("""COMPUTED_VALUE"""),1)</f>
        <v>1</v>
      </c>
      <c r="Q231" s="8">
        <f ca="1">IFERROR(__xludf.DUMMYFUNCTION("""COMPUTED_VALUE"""),1.5)</f>
        <v>1.5</v>
      </c>
      <c r="R231" s="8">
        <f ca="1">IFERROR(__xludf.DUMMYFUNCTION("""COMPUTED_VALUE"""),2)</f>
        <v>2</v>
      </c>
      <c r="S231" s="8">
        <f ca="1">IFERROR(__xludf.DUMMYFUNCTION("""COMPUTED_VALUE"""),1)</f>
        <v>1</v>
      </c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</row>
    <row r="232" spans="1:31" ht="13.15" x14ac:dyDescent="0.4">
      <c r="A232" s="8"/>
      <c r="B232" s="8"/>
      <c r="C232" s="8"/>
      <c r="D232" s="8"/>
      <c r="E232" s="8" t="str">
        <f ca="1">IFERROR(__xludf.DUMMYFUNCTION("""COMPUTED_VALUE"""),"JONES-CLARK")</f>
        <v>JONES-CLARK</v>
      </c>
      <c r="F232" s="8" t="str">
        <f ca="1">IFERROR(__xludf.DUMMYFUNCTION("""COMPUTED_VALUE"""),"Core Subject No LSAE")</f>
        <v>Core Subject No LSAE</v>
      </c>
      <c r="G232" s="8" t="str">
        <f ca="1">IFERROR(__xludf.DUMMYFUNCTION("""COMPUTED_VALUE"""),"Omisha Richardson")</f>
        <v>Omisha Richardson</v>
      </c>
      <c r="H232" s="8" t="str">
        <f ca="1">IFERROR(__xludf.DUMMYFUNCTION("""COMPUTED_VALUE"""),"Da'Lisa Hatcher")</f>
        <v>Da'Lisa Hatcher</v>
      </c>
      <c r="I232" s="9">
        <f ca="1">IFERROR(__xludf.DUMMYFUNCTION("""COMPUTED_VALUE"""),45355)</f>
        <v>45355</v>
      </c>
      <c r="J232" s="9">
        <f ca="1">IFERROR(__xludf.DUMMYFUNCTION("""COMPUTED_VALUE"""),45355)</f>
        <v>45355</v>
      </c>
      <c r="K232" s="8" t="str">
        <f ca="1">IFERROR(__xludf.DUMMYFUNCTION("""COMPUTED_VALUE"""),"AM")</f>
        <v>AM</v>
      </c>
      <c r="L232" s="8" t="str">
        <f ca="1">IFERROR(__xludf.DUMMYFUNCTION("""COMPUTED_VALUE"""),"2nd Grade")</f>
        <v>2nd Grade</v>
      </c>
      <c r="M232" s="8" t="str">
        <f ca="1">IFERROR(__xludf.DUMMYFUNCTION("""COMPUTED_VALUE"""),"Math")</f>
        <v>Math</v>
      </c>
      <c r="N232" s="8">
        <f ca="1">IFERROR(__xludf.DUMMYFUNCTION("""COMPUTED_VALUE"""),6.5)</f>
        <v>6.5</v>
      </c>
      <c r="O232" s="8" t="str">
        <f ca="1">IFERROR(__xludf.DUMMYFUNCTION("""COMPUTED_VALUE"""),"Proficient I")</f>
        <v>Proficient I</v>
      </c>
      <c r="P232" s="8">
        <f ca="1">IFERROR(__xludf.DUMMYFUNCTION("""COMPUTED_VALUE"""),1.5)</f>
        <v>1.5</v>
      </c>
      <c r="Q232" s="8">
        <f ca="1">IFERROR(__xludf.DUMMYFUNCTION("""COMPUTED_VALUE"""),2.5)</f>
        <v>2.5</v>
      </c>
      <c r="R232" s="8">
        <f ca="1">IFERROR(__xludf.DUMMYFUNCTION("""COMPUTED_VALUE"""),2.5)</f>
        <v>2.5</v>
      </c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</row>
    <row r="233" spans="1:31" ht="13.15" x14ac:dyDescent="0.4">
      <c r="A233" s="8"/>
      <c r="B233" s="8"/>
      <c r="C233" s="8"/>
      <c r="D233" s="8"/>
      <c r="E233" s="8" t="str">
        <f ca="1">IFERROR(__xludf.DUMMYFUNCTION("""COMPUTED_VALUE"""),"JONES-CLARK")</f>
        <v>JONES-CLARK</v>
      </c>
      <c r="F233" s="8" t="str">
        <f ca="1">IFERROR(__xludf.DUMMYFUNCTION("""COMPUTED_VALUE"""),"Core Subject No LSAE")</f>
        <v>Core Subject No LSAE</v>
      </c>
      <c r="G233" s="8" t="str">
        <f ca="1">IFERROR(__xludf.DUMMYFUNCTION("""COMPUTED_VALUE"""),"Tanya Celestine")</f>
        <v>Tanya Celestine</v>
      </c>
      <c r="H233" s="8" t="str">
        <f ca="1">IFERROR(__xludf.DUMMYFUNCTION("""COMPUTED_VALUE"""),"Da'Lisa Hatcher")</f>
        <v>Da'Lisa Hatcher</v>
      </c>
      <c r="I233" s="9">
        <f ca="1">IFERROR(__xludf.DUMMYFUNCTION("""COMPUTED_VALUE"""),45359)</f>
        <v>45359</v>
      </c>
      <c r="J233" s="9"/>
      <c r="K233" s="8" t="str">
        <f ca="1">IFERROR(__xludf.DUMMYFUNCTION("""COMPUTED_VALUE"""),"AM")</f>
        <v>AM</v>
      </c>
      <c r="L233" s="8" t="str">
        <f ca="1">IFERROR(__xludf.DUMMYFUNCTION("""COMPUTED_VALUE"""),"4th Grade")</f>
        <v>4th Grade</v>
      </c>
      <c r="M233" s="8" t="str">
        <f ca="1">IFERROR(__xludf.DUMMYFUNCTION("""COMPUTED_VALUE"""),"Art of Thinking")</f>
        <v>Art of Thinking</v>
      </c>
      <c r="N233" s="8">
        <f ca="1">IFERROR(__xludf.DUMMYFUNCTION("""COMPUTED_VALUE"""),5.5)</f>
        <v>5.5</v>
      </c>
      <c r="O233" s="8" t="str">
        <f ca="1">IFERROR(__xludf.DUMMYFUNCTION("""COMPUTED_VALUE"""),"Progressing")</f>
        <v>Progressing</v>
      </c>
      <c r="P233" s="8">
        <f ca="1">IFERROR(__xludf.DUMMYFUNCTION("""COMPUTED_VALUE"""),2)</f>
        <v>2</v>
      </c>
      <c r="Q233" s="8">
        <f ca="1">IFERROR(__xludf.DUMMYFUNCTION("""COMPUTED_VALUE"""),1.5)</f>
        <v>1.5</v>
      </c>
      <c r="R233" s="8">
        <f ca="1">IFERROR(__xludf.DUMMYFUNCTION("""COMPUTED_VALUE"""),2)</f>
        <v>2</v>
      </c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</row>
    <row r="234" spans="1:31" ht="13.15" x14ac:dyDescent="0.4">
      <c r="A234" s="8"/>
      <c r="B234" s="8"/>
      <c r="C234" s="8"/>
      <c r="D234" s="8"/>
      <c r="E234" s="8" t="str">
        <f ca="1">IFERROR(__xludf.DUMMYFUNCTION("""COMPUTED_VALUE"""),"JONES-CLARK")</f>
        <v>JONES-CLARK</v>
      </c>
      <c r="F234" s="8" t="str">
        <f ca="1">IFERROR(__xludf.DUMMYFUNCTION("""COMPUTED_VALUE"""),"Core Subject No LSAE")</f>
        <v>Core Subject No LSAE</v>
      </c>
      <c r="G234" s="8" t="str">
        <f ca="1">IFERROR(__xludf.DUMMYFUNCTION("""COMPUTED_VALUE"""),"Stephanie Broussard")</f>
        <v>Stephanie Broussard</v>
      </c>
      <c r="H234" s="8" t="str">
        <f ca="1">IFERROR(__xludf.DUMMYFUNCTION("""COMPUTED_VALUE"""),"Da'Lisa Hatcher")</f>
        <v>Da'Lisa Hatcher</v>
      </c>
      <c r="I234" s="9">
        <f ca="1">IFERROR(__xludf.DUMMYFUNCTION("""COMPUTED_VALUE"""),45359)</f>
        <v>45359</v>
      </c>
      <c r="J234" s="9"/>
      <c r="K234" s="8" t="str">
        <f ca="1">IFERROR(__xludf.DUMMYFUNCTION("""COMPUTED_VALUE"""),"PM")</f>
        <v>PM</v>
      </c>
      <c r="L234" s="8" t="str">
        <f ca="1">IFERROR(__xludf.DUMMYFUNCTION("""COMPUTED_VALUE"""),"2nd Grade")</f>
        <v>2nd Grade</v>
      </c>
      <c r="M234" s="8" t="str">
        <f ca="1">IFERROR(__xludf.DUMMYFUNCTION("""COMPUTED_VALUE"""),"ELA")</f>
        <v>ELA</v>
      </c>
      <c r="N234" s="8">
        <f ca="1">IFERROR(__xludf.DUMMYFUNCTION("""COMPUTED_VALUE"""),4.5)</f>
        <v>4.5</v>
      </c>
      <c r="O234" s="8" t="str">
        <f ca="1">IFERROR(__xludf.DUMMYFUNCTION("""COMPUTED_VALUE"""),"Progressing")</f>
        <v>Progressing</v>
      </c>
      <c r="P234" s="8">
        <f ca="1">IFERROR(__xludf.DUMMYFUNCTION("""COMPUTED_VALUE"""),2)</f>
        <v>2</v>
      </c>
      <c r="Q234" s="8">
        <f ca="1">IFERROR(__xludf.DUMMYFUNCTION("""COMPUTED_VALUE"""),1.5)</f>
        <v>1.5</v>
      </c>
      <c r="R234" s="8">
        <f ca="1">IFERROR(__xludf.DUMMYFUNCTION("""COMPUTED_VALUE"""),1)</f>
        <v>1</v>
      </c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</row>
    <row r="235" spans="1:31" ht="13.15" x14ac:dyDescent="0.4">
      <c r="A235" s="8"/>
      <c r="B235" s="8"/>
      <c r="C235" s="8"/>
      <c r="D235" s="8"/>
      <c r="E235" s="8" t="str">
        <f ca="1">IFERROR(__xludf.DUMMYFUNCTION("""COMPUTED_VALUE"""),"JONES-CLARK")</f>
        <v>JONES-CLARK</v>
      </c>
      <c r="F235" s="8" t="str">
        <f ca="1">IFERROR(__xludf.DUMMYFUNCTION("""COMPUTED_VALUE"""),"Core Subject No LSAE")</f>
        <v>Core Subject No LSAE</v>
      </c>
      <c r="G235" s="8" t="str">
        <f ca="1">IFERROR(__xludf.DUMMYFUNCTION("""COMPUTED_VALUE"""),"Jessica Mose")</f>
        <v>Jessica Mose</v>
      </c>
      <c r="H235" s="8" t="str">
        <f ca="1">IFERROR(__xludf.DUMMYFUNCTION("""COMPUTED_VALUE"""),"Da'Lisa Hatcher")</f>
        <v>Da'Lisa Hatcher</v>
      </c>
      <c r="I235" s="9">
        <f ca="1">IFERROR(__xludf.DUMMYFUNCTION("""COMPUTED_VALUE"""),45359)</f>
        <v>45359</v>
      </c>
      <c r="J235" s="9"/>
      <c r="K235" s="8" t="str">
        <f ca="1">IFERROR(__xludf.DUMMYFUNCTION("""COMPUTED_VALUE"""),"AM")</f>
        <v>AM</v>
      </c>
      <c r="L235" s="8" t="str">
        <f ca="1">IFERROR(__xludf.DUMMYFUNCTION("""COMPUTED_VALUE"""),"4th Grade")</f>
        <v>4th Grade</v>
      </c>
      <c r="M235" s="8" t="str">
        <f ca="1">IFERROR(__xludf.DUMMYFUNCTION("""COMPUTED_VALUE"""),"ELA")</f>
        <v>ELA</v>
      </c>
      <c r="N235" s="8">
        <f ca="1">IFERROR(__xludf.DUMMYFUNCTION("""COMPUTED_VALUE"""),3)</f>
        <v>3</v>
      </c>
      <c r="O235" s="8" t="str">
        <f ca="1">IFERROR(__xludf.DUMMYFUNCTION("""COMPUTED_VALUE"""),"Unsatisfactory")</f>
        <v>Unsatisfactory</v>
      </c>
      <c r="P235" s="8">
        <f ca="1">IFERROR(__xludf.DUMMYFUNCTION("""COMPUTED_VALUE"""),0)</f>
        <v>0</v>
      </c>
      <c r="Q235" s="8">
        <f ca="1">IFERROR(__xludf.DUMMYFUNCTION("""COMPUTED_VALUE"""),1.5)</f>
        <v>1.5</v>
      </c>
      <c r="R235" s="8">
        <f ca="1">IFERROR(__xludf.DUMMYFUNCTION("""COMPUTED_VALUE"""),1.5)</f>
        <v>1.5</v>
      </c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</row>
    <row r="236" spans="1:31" ht="13.15" x14ac:dyDescent="0.4">
      <c r="A236" s="8"/>
      <c r="B236" s="8"/>
      <c r="C236" s="8"/>
      <c r="D236" s="8"/>
      <c r="E236" s="8" t="str">
        <f ca="1">IFERROR(__xludf.DUMMYFUNCTION("""COMPUTED_VALUE"""),"JONES-CLARK")</f>
        <v>JONES-CLARK</v>
      </c>
      <c r="F236" s="8" t="str">
        <f ca="1">IFERROR(__xludf.DUMMYFUNCTION("""COMPUTED_VALUE"""),"K-1")</f>
        <v>K-1</v>
      </c>
      <c r="G236" s="8" t="str">
        <f ca="1">IFERROR(__xludf.DUMMYFUNCTION("""COMPUTED_VALUE"""),"Dyron Clark")</f>
        <v>Dyron Clark</v>
      </c>
      <c r="H236" s="8" t="str">
        <f ca="1">IFERROR(__xludf.DUMMYFUNCTION("""COMPUTED_VALUE"""),"Da'Lisa Hatcher")</f>
        <v>Da'Lisa Hatcher</v>
      </c>
      <c r="I236" s="9">
        <f ca="1">IFERROR(__xludf.DUMMYFUNCTION("""COMPUTED_VALUE"""),45359)</f>
        <v>45359</v>
      </c>
      <c r="J236" s="9"/>
      <c r="K236" s="8" t="str">
        <f ca="1">IFERROR(__xludf.DUMMYFUNCTION("""COMPUTED_VALUE"""),"AM")</f>
        <v>AM</v>
      </c>
      <c r="L236" s="8" t="str">
        <f ca="1">IFERROR(__xludf.DUMMYFUNCTION("""COMPUTED_VALUE"""),"1st Grade")</f>
        <v>1st Grade</v>
      </c>
      <c r="M236" s="8" t="str">
        <f ca="1">IFERROR(__xludf.DUMMYFUNCTION("""COMPUTED_VALUE"""),"Math")</f>
        <v>Math</v>
      </c>
      <c r="N236" s="8">
        <f ca="1">IFERROR(__xludf.DUMMYFUNCTION("""COMPUTED_VALUE"""),6.5)</f>
        <v>6.5</v>
      </c>
      <c r="O236" s="8" t="str">
        <f ca="1">IFERROR(__xludf.DUMMYFUNCTION("""COMPUTED_VALUE"""),"Proficient I")</f>
        <v>Proficient I</v>
      </c>
      <c r="P236" s="8">
        <f ca="1">IFERROR(__xludf.DUMMYFUNCTION("""COMPUTED_VALUE"""),1)</f>
        <v>1</v>
      </c>
      <c r="Q236" s="8">
        <f ca="1">IFERROR(__xludf.DUMMYFUNCTION("""COMPUTED_VALUE"""),2)</f>
        <v>2</v>
      </c>
      <c r="R236" s="8">
        <f ca="1">IFERROR(__xludf.DUMMYFUNCTION("""COMPUTED_VALUE"""),2.5)</f>
        <v>2.5</v>
      </c>
      <c r="S236" s="8">
        <f ca="1">IFERROR(__xludf.DUMMYFUNCTION("""COMPUTED_VALUE"""),1)</f>
        <v>1</v>
      </c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</row>
    <row r="237" spans="1:31" ht="13.15" x14ac:dyDescent="0.4">
      <c r="A237" s="8"/>
      <c r="B237" s="8"/>
      <c r="C237" s="8"/>
      <c r="D237" s="8"/>
      <c r="E237" s="8" t="str">
        <f ca="1">IFERROR(__xludf.DUMMYFUNCTION("""COMPUTED_VALUE"""),"JONES-CLARK")</f>
        <v>JONES-CLARK</v>
      </c>
      <c r="F237" s="8" t="str">
        <f ca="1">IFERROR(__xludf.DUMMYFUNCTION("""COMPUTED_VALUE"""),"Reading Intervention")</f>
        <v>Reading Intervention</v>
      </c>
      <c r="G237" s="8" t="str">
        <f ca="1">IFERROR(__xludf.DUMMYFUNCTION("""COMPUTED_VALUE"""),"Larewa Warren")</f>
        <v>Larewa Warren</v>
      </c>
      <c r="H237" s="8" t="str">
        <f ca="1">IFERROR(__xludf.DUMMYFUNCTION("""COMPUTED_VALUE"""),"Da'Lisa Hatcher")</f>
        <v>Da'Lisa Hatcher</v>
      </c>
      <c r="I237" s="9">
        <f ca="1">IFERROR(__xludf.DUMMYFUNCTION("""COMPUTED_VALUE"""),45359)</f>
        <v>45359</v>
      </c>
      <c r="J237" s="9"/>
      <c r="K237" s="8" t="str">
        <f ca="1">IFERROR(__xludf.DUMMYFUNCTION("""COMPUTED_VALUE"""),"PM")</f>
        <v>PM</v>
      </c>
      <c r="L237" s="11" t="str">
        <f ca="1">IFERROR(__xludf.DUMMYFUNCTION("""COMPUTED_VALUE"""),"1st Grade")</f>
        <v>1st Grade</v>
      </c>
      <c r="M237" s="8"/>
      <c r="N237" s="8">
        <f ca="1">IFERROR(__xludf.DUMMYFUNCTION("""COMPUTED_VALUE"""),4)</f>
        <v>4</v>
      </c>
      <c r="O237" s="8" t="str">
        <f ca="1">IFERROR(__xludf.DUMMYFUNCTION("""COMPUTED_VALUE"""),"Progressing")</f>
        <v>Progressing</v>
      </c>
      <c r="P237" s="8">
        <f ca="1">IFERROR(__xludf.DUMMYFUNCTION("""COMPUTED_VALUE"""),1)</f>
        <v>1</v>
      </c>
      <c r="Q237" s="8">
        <f ca="1">IFERROR(__xludf.DUMMYFUNCTION("""COMPUTED_VALUE"""),2)</f>
        <v>2</v>
      </c>
      <c r="R237" s="8">
        <f ca="1">IFERROR(__xludf.DUMMYFUNCTION("""COMPUTED_VALUE"""),1)</f>
        <v>1</v>
      </c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</row>
    <row r="238" spans="1:31" ht="13.15" x14ac:dyDescent="0.4">
      <c r="A238" s="8"/>
      <c r="B238" s="8"/>
      <c r="C238" s="8"/>
      <c r="D238" s="8"/>
      <c r="E238" s="8" t="str">
        <f ca="1">IFERROR(__xludf.DUMMYFUNCTION("""COMPUTED_VALUE"""),"JONES-CLARK")</f>
        <v>JONES-CLARK</v>
      </c>
      <c r="F238" s="8" t="str">
        <f ca="1">IFERROR(__xludf.DUMMYFUNCTION("""COMPUTED_VALUE"""),"Core Subject No LSAE")</f>
        <v>Core Subject No LSAE</v>
      </c>
      <c r="G238" s="8" t="str">
        <f ca="1">IFERROR(__xludf.DUMMYFUNCTION("""COMPUTED_VALUE"""),"Ashley Lee")</f>
        <v>Ashley Lee</v>
      </c>
      <c r="H238" s="8" t="str">
        <f ca="1">IFERROR(__xludf.DUMMYFUNCTION("""COMPUTED_VALUE"""),"Desmond Bridges Sr.")</f>
        <v>Desmond Bridges Sr.</v>
      </c>
      <c r="I238" s="9">
        <f ca="1">IFERROR(__xludf.DUMMYFUNCTION("""COMPUTED_VALUE"""),45356)</f>
        <v>45356</v>
      </c>
      <c r="J238" s="9"/>
      <c r="K238" s="8" t="str">
        <f ca="1">IFERROR(__xludf.DUMMYFUNCTION("""COMPUTED_VALUE"""),"PM")</f>
        <v>PM</v>
      </c>
      <c r="L238" s="8" t="str">
        <f ca="1">IFERROR(__xludf.DUMMYFUNCTION("""COMPUTED_VALUE"""),"3rd Grade")</f>
        <v>3rd Grade</v>
      </c>
      <c r="M238" s="8" t="str">
        <f ca="1">IFERROR(__xludf.DUMMYFUNCTION("""COMPUTED_VALUE"""),"Science")</f>
        <v>Science</v>
      </c>
      <c r="N238" s="8">
        <f ca="1">IFERROR(__xludf.DUMMYFUNCTION("""COMPUTED_VALUE"""),7.5)</f>
        <v>7.5</v>
      </c>
      <c r="O238" s="8" t="str">
        <f ca="1">IFERROR(__xludf.DUMMYFUNCTION("""COMPUTED_VALUE"""),"Proficient I")</f>
        <v>Proficient I</v>
      </c>
      <c r="P238" s="8">
        <f ca="1">IFERROR(__xludf.DUMMYFUNCTION("""COMPUTED_VALUE"""),2)</f>
        <v>2</v>
      </c>
      <c r="Q238" s="8">
        <f ca="1">IFERROR(__xludf.DUMMYFUNCTION("""COMPUTED_VALUE"""),3)</f>
        <v>3</v>
      </c>
      <c r="R238" s="8">
        <f ca="1">IFERROR(__xludf.DUMMYFUNCTION("""COMPUTED_VALUE"""),2.5)</f>
        <v>2.5</v>
      </c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</row>
    <row r="239" spans="1:31" ht="13.15" x14ac:dyDescent="0.4">
      <c r="A239" s="8"/>
      <c r="B239" s="8"/>
      <c r="C239" s="8"/>
      <c r="D239" s="8"/>
      <c r="E239" s="8" t="str">
        <f ca="1">IFERROR(__xludf.DUMMYFUNCTION("""COMPUTED_VALUE"""),"JONES-CLARK")</f>
        <v>JONES-CLARK</v>
      </c>
      <c r="F239" s="8" t="str">
        <f ca="1">IFERROR(__xludf.DUMMYFUNCTION("""COMPUTED_VALUE"""),"Core Subject With LSAE")</f>
        <v>Core Subject With LSAE</v>
      </c>
      <c r="G239" s="8" t="str">
        <f ca="1">IFERROR(__xludf.DUMMYFUNCTION("""COMPUTED_VALUE"""),"Shannon Trotter")</f>
        <v>Shannon Trotter</v>
      </c>
      <c r="H239" s="8" t="str">
        <f ca="1">IFERROR(__xludf.DUMMYFUNCTION("""COMPUTED_VALUE"""),"Desmond Bridges Sr.")</f>
        <v>Desmond Bridges Sr.</v>
      </c>
      <c r="I239" s="9">
        <f ca="1">IFERROR(__xludf.DUMMYFUNCTION("""COMPUTED_VALUE"""),45356)</f>
        <v>45356</v>
      </c>
      <c r="J239" s="9">
        <f ca="1">IFERROR(__xludf.DUMMYFUNCTION("""COMPUTED_VALUE"""),45359)</f>
        <v>45359</v>
      </c>
      <c r="K239" s="8" t="str">
        <f ca="1">IFERROR(__xludf.DUMMYFUNCTION("""COMPUTED_VALUE"""),"AM")</f>
        <v>AM</v>
      </c>
      <c r="L239" s="8" t="str">
        <f ca="1">IFERROR(__xludf.DUMMYFUNCTION("""COMPUTED_VALUE"""),"2nd Grade")</f>
        <v>2nd Grade</v>
      </c>
      <c r="M239" s="8" t="str">
        <f ca="1">IFERROR(__xludf.DUMMYFUNCTION("""COMPUTED_VALUE"""),"ELA")</f>
        <v>ELA</v>
      </c>
      <c r="N239" s="8">
        <f ca="1">IFERROR(__xludf.DUMMYFUNCTION("""COMPUTED_VALUE"""),6.5)</f>
        <v>6.5</v>
      </c>
      <c r="O239" s="8" t="str">
        <f ca="1">IFERROR(__xludf.DUMMYFUNCTION("""COMPUTED_VALUE"""),"Proficient I")</f>
        <v>Proficient I</v>
      </c>
      <c r="P239" s="8">
        <f ca="1">IFERROR(__xludf.DUMMYFUNCTION("""COMPUTED_VALUE"""),1)</f>
        <v>1</v>
      </c>
      <c r="Q239" s="8">
        <f ca="1">IFERROR(__xludf.DUMMYFUNCTION("""COMPUTED_VALUE"""),2)</f>
        <v>2</v>
      </c>
      <c r="R239" s="8">
        <f ca="1">IFERROR(__xludf.DUMMYFUNCTION("""COMPUTED_VALUE"""),2)</f>
        <v>2</v>
      </c>
      <c r="S239" s="8">
        <f ca="1">IFERROR(__xludf.DUMMYFUNCTION("""COMPUTED_VALUE"""),1.5)</f>
        <v>1.5</v>
      </c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</row>
    <row r="240" spans="1:31" ht="13.15" x14ac:dyDescent="0.4">
      <c r="A240" s="8"/>
      <c r="B240" s="8"/>
      <c r="C240" s="8"/>
      <c r="D240" s="8"/>
      <c r="E240" s="8" t="str">
        <f ca="1">IFERROR(__xludf.DUMMYFUNCTION("""COMPUTED_VALUE"""),"JONES-CLARK")</f>
        <v>JONES-CLARK</v>
      </c>
      <c r="F240" s="8" t="str">
        <f ca="1">IFERROR(__xludf.DUMMYFUNCTION("""COMPUTED_VALUE"""),"Core Subject No LSAE")</f>
        <v>Core Subject No LSAE</v>
      </c>
      <c r="G240" s="8" t="str">
        <f ca="1">IFERROR(__xludf.DUMMYFUNCTION("""COMPUTED_VALUE"""),"Shareka Vallier")</f>
        <v>Shareka Vallier</v>
      </c>
      <c r="H240" s="8" t="str">
        <f ca="1">IFERROR(__xludf.DUMMYFUNCTION("""COMPUTED_VALUE"""),"Desmond Bridges Sr.")</f>
        <v>Desmond Bridges Sr.</v>
      </c>
      <c r="I240" s="9">
        <f ca="1">IFERROR(__xludf.DUMMYFUNCTION("""COMPUTED_VALUE"""),45357)</f>
        <v>45357</v>
      </c>
      <c r="J240" s="9">
        <f ca="1">IFERROR(__xludf.DUMMYFUNCTION("""COMPUTED_VALUE"""),45359)</f>
        <v>45359</v>
      </c>
      <c r="K240" s="8" t="str">
        <f ca="1">IFERROR(__xludf.DUMMYFUNCTION("""COMPUTED_VALUE"""),"AM")</f>
        <v>AM</v>
      </c>
      <c r="L240" s="8" t="str">
        <f ca="1">IFERROR(__xludf.DUMMYFUNCTION("""COMPUTED_VALUE"""),"2nd Grade")</f>
        <v>2nd Grade</v>
      </c>
      <c r="M240" s="8" t="str">
        <f ca="1">IFERROR(__xludf.DUMMYFUNCTION("""COMPUTED_VALUE"""),"ELA")</f>
        <v>ELA</v>
      </c>
      <c r="N240" s="8">
        <f ca="1">IFERROR(__xludf.DUMMYFUNCTION("""COMPUTED_VALUE"""),6)</f>
        <v>6</v>
      </c>
      <c r="O240" s="8" t="str">
        <f ca="1">IFERROR(__xludf.DUMMYFUNCTION("""COMPUTED_VALUE"""),"Proficient I")</f>
        <v>Proficient I</v>
      </c>
      <c r="P240" s="8">
        <f ca="1">IFERROR(__xludf.DUMMYFUNCTION("""COMPUTED_VALUE"""),2)</f>
        <v>2</v>
      </c>
      <c r="Q240" s="8">
        <f ca="1">IFERROR(__xludf.DUMMYFUNCTION("""COMPUTED_VALUE"""),2.5)</f>
        <v>2.5</v>
      </c>
      <c r="R240" s="8">
        <f ca="1">IFERROR(__xludf.DUMMYFUNCTION("""COMPUTED_VALUE"""),1.5)</f>
        <v>1.5</v>
      </c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</row>
    <row r="241" spans="1:31" ht="13.15" x14ac:dyDescent="0.4">
      <c r="A241" s="8"/>
      <c r="B241" s="8"/>
      <c r="C241" s="8"/>
      <c r="D241" s="8"/>
      <c r="E241" s="8" t="str">
        <f ca="1">IFERROR(__xludf.DUMMYFUNCTION("""COMPUTED_VALUE"""),"JONES-CLARK")</f>
        <v>JONES-CLARK</v>
      </c>
      <c r="F241" s="8" t="str">
        <f ca="1">IFERROR(__xludf.DUMMYFUNCTION("""COMPUTED_VALUE"""),"Core Subject No LSAE")</f>
        <v>Core Subject No LSAE</v>
      </c>
      <c r="G241" s="8" t="str">
        <f ca="1">IFERROR(__xludf.DUMMYFUNCTION("""COMPUTED_VALUE"""),"Omisha Richardson")</f>
        <v>Omisha Richardson</v>
      </c>
      <c r="H241" s="8" t="str">
        <f ca="1">IFERROR(__xludf.DUMMYFUNCTION("""COMPUTED_VALUE"""),"Desmond Bridges Sr.")</f>
        <v>Desmond Bridges Sr.</v>
      </c>
      <c r="I241" s="9">
        <f ca="1">IFERROR(__xludf.DUMMYFUNCTION("""COMPUTED_VALUE"""),45357)</f>
        <v>45357</v>
      </c>
      <c r="J241" s="9">
        <f ca="1">IFERROR(__xludf.DUMMYFUNCTION("""COMPUTED_VALUE"""),45359)</f>
        <v>45359</v>
      </c>
      <c r="K241" s="8" t="str">
        <f ca="1">IFERROR(__xludf.DUMMYFUNCTION("""COMPUTED_VALUE"""),"AM")</f>
        <v>AM</v>
      </c>
      <c r="L241" s="8" t="str">
        <f ca="1">IFERROR(__xludf.DUMMYFUNCTION("""COMPUTED_VALUE"""),"2nd Grade")</f>
        <v>2nd Grade</v>
      </c>
      <c r="M241" s="8" t="str">
        <f ca="1">IFERROR(__xludf.DUMMYFUNCTION("""COMPUTED_VALUE"""),"Math")</f>
        <v>Math</v>
      </c>
      <c r="N241" s="8">
        <f ca="1">IFERROR(__xludf.DUMMYFUNCTION("""COMPUTED_VALUE"""),6.5)</f>
        <v>6.5</v>
      </c>
      <c r="O241" s="8" t="str">
        <f ca="1">IFERROR(__xludf.DUMMYFUNCTION("""COMPUTED_VALUE"""),"Proficient I")</f>
        <v>Proficient I</v>
      </c>
      <c r="P241" s="8">
        <f ca="1">IFERROR(__xludf.DUMMYFUNCTION("""COMPUTED_VALUE"""),2)</f>
        <v>2</v>
      </c>
      <c r="Q241" s="8">
        <f ca="1">IFERROR(__xludf.DUMMYFUNCTION("""COMPUTED_VALUE"""),3)</f>
        <v>3</v>
      </c>
      <c r="R241" s="8">
        <f ca="1">IFERROR(__xludf.DUMMYFUNCTION("""COMPUTED_VALUE"""),1.5)</f>
        <v>1.5</v>
      </c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</row>
    <row r="242" spans="1:31" ht="13.15" x14ac:dyDescent="0.4">
      <c r="A242" s="8"/>
      <c r="B242" s="8"/>
      <c r="C242" s="8"/>
      <c r="D242" s="8"/>
      <c r="E242" s="8" t="str">
        <f ca="1">IFERROR(__xludf.DUMMYFUNCTION("""COMPUTED_VALUE"""),"JONES-CLARK")</f>
        <v>JONES-CLARK</v>
      </c>
      <c r="F242" s="8" t="str">
        <f ca="1">IFERROR(__xludf.DUMMYFUNCTION("""COMPUTED_VALUE"""),"Learning Coach")</f>
        <v>Learning Coach</v>
      </c>
      <c r="G242" s="8" t="str">
        <f ca="1">IFERROR(__xludf.DUMMYFUNCTION("""COMPUTED_VALUE"""),"Thaddius Rideau")</f>
        <v>Thaddius Rideau</v>
      </c>
      <c r="H242" s="8" t="str">
        <f ca="1">IFERROR(__xludf.DUMMYFUNCTION("""COMPUTED_VALUE"""),"Desmond Bridges Sr.")</f>
        <v>Desmond Bridges Sr.</v>
      </c>
      <c r="I242" s="9">
        <f ca="1">IFERROR(__xludf.DUMMYFUNCTION("""COMPUTED_VALUE"""),45357)</f>
        <v>45357</v>
      </c>
      <c r="J242" s="9"/>
      <c r="K242" s="8" t="str">
        <f ca="1">IFERROR(__xludf.DUMMYFUNCTION("""COMPUTED_VALUE"""),"PM")</f>
        <v>PM</v>
      </c>
      <c r="L242" s="8"/>
      <c r="M242" s="8"/>
      <c r="N242" s="8">
        <f ca="1">IFERROR(__xludf.DUMMYFUNCTION("""COMPUTED_VALUE"""),8)</f>
        <v>8</v>
      </c>
      <c r="O242" s="8" t="str">
        <f ca="1">IFERROR(__xludf.DUMMYFUNCTION("""COMPUTED_VALUE"""),"Proficient II")</f>
        <v>Proficient II</v>
      </c>
      <c r="P242" s="8">
        <f ca="1">IFERROR(__xludf.DUMMYFUNCTION("""COMPUTED_VALUE"""),2)</f>
        <v>2</v>
      </c>
      <c r="Q242" s="8">
        <f ca="1">IFERROR(__xludf.DUMMYFUNCTION("""COMPUTED_VALUE"""),4)</f>
        <v>4</v>
      </c>
      <c r="R242" s="8">
        <f ca="1">IFERROR(__xludf.DUMMYFUNCTION("""COMPUTED_VALUE"""),2)</f>
        <v>2</v>
      </c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</row>
    <row r="243" spans="1:31" ht="13.15" x14ac:dyDescent="0.4">
      <c r="A243" s="8"/>
      <c r="B243" s="8"/>
      <c r="C243" s="8"/>
      <c r="D243" s="8"/>
      <c r="E243" s="8" t="str">
        <f ca="1">IFERROR(__xludf.DUMMYFUNCTION("""COMPUTED_VALUE"""),"JONES-CLARK")</f>
        <v>JONES-CLARK</v>
      </c>
      <c r="F243" s="8" t="str">
        <f ca="1">IFERROR(__xludf.DUMMYFUNCTION("""COMPUTED_VALUE"""),"Core Subject No LSAE")</f>
        <v>Core Subject No LSAE</v>
      </c>
      <c r="G243" s="8" t="str">
        <f ca="1">IFERROR(__xludf.DUMMYFUNCTION("""COMPUTED_VALUE"""),"Latoya Young")</f>
        <v>Latoya Young</v>
      </c>
      <c r="H243" s="8" t="str">
        <f ca="1">IFERROR(__xludf.DUMMYFUNCTION("""COMPUTED_VALUE"""),"Desmond Bridges Sr.")</f>
        <v>Desmond Bridges Sr.</v>
      </c>
      <c r="I243" s="9">
        <f ca="1">IFERROR(__xludf.DUMMYFUNCTION("""COMPUTED_VALUE"""),45358)</f>
        <v>45358</v>
      </c>
      <c r="J243" s="9">
        <f ca="1">IFERROR(__xludf.DUMMYFUNCTION("""COMPUTED_VALUE"""),45359)</f>
        <v>45359</v>
      </c>
      <c r="K243" s="8" t="str">
        <f ca="1">IFERROR(__xludf.DUMMYFUNCTION("""COMPUTED_VALUE"""),"PM")</f>
        <v>PM</v>
      </c>
      <c r="L243" s="8" t="str">
        <f ca="1">IFERROR(__xludf.DUMMYFUNCTION("""COMPUTED_VALUE"""),"5th Grade")</f>
        <v>5th Grade</v>
      </c>
      <c r="M243" s="8" t="str">
        <f ca="1">IFERROR(__xludf.DUMMYFUNCTION("""COMPUTED_VALUE"""),"Art of Thinking")</f>
        <v>Art of Thinking</v>
      </c>
      <c r="N243" s="8">
        <f ca="1">IFERROR(__xludf.DUMMYFUNCTION("""COMPUTED_VALUE"""),6.5)</f>
        <v>6.5</v>
      </c>
      <c r="O243" s="8" t="str">
        <f ca="1">IFERROR(__xludf.DUMMYFUNCTION("""COMPUTED_VALUE"""),"Proficient I")</f>
        <v>Proficient I</v>
      </c>
      <c r="P243" s="8">
        <f ca="1">IFERROR(__xludf.DUMMYFUNCTION("""COMPUTED_VALUE"""),2)</f>
        <v>2</v>
      </c>
      <c r="Q243" s="8">
        <f ca="1">IFERROR(__xludf.DUMMYFUNCTION("""COMPUTED_VALUE"""),2.5)</f>
        <v>2.5</v>
      </c>
      <c r="R243" s="8">
        <f ca="1">IFERROR(__xludf.DUMMYFUNCTION("""COMPUTED_VALUE"""),2)</f>
        <v>2</v>
      </c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</row>
    <row r="244" spans="1:31" ht="13.15" x14ac:dyDescent="0.4">
      <c r="A244" s="8"/>
      <c r="B244" s="8"/>
      <c r="C244" s="8"/>
      <c r="D244" s="8"/>
      <c r="E244" s="8" t="str">
        <f ca="1">IFERROR(__xludf.DUMMYFUNCTION("""COMPUTED_VALUE"""),"JONES-CLARK")</f>
        <v>JONES-CLARK</v>
      </c>
      <c r="F244" s="8" t="str">
        <f ca="1">IFERROR(__xludf.DUMMYFUNCTION("""COMPUTED_VALUE"""),"Core Subject With LSAE")</f>
        <v>Core Subject With LSAE</v>
      </c>
      <c r="G244" s="8" t="str">
        <f ca="1">IFERROR(__xludf.DUMMYFUNCTION("""COMPUTED_VALUE"""),"Quentina Offord")</f>
        <v>Quentina Offord</v>
      </c>
      <c r="H244" s="8" t="str">
        <f ca="1">IFERROR(__xludf.DUMMYFUNCTION("""COMPUTED_VALUE"""),"Desmond Bridges Sr.")</f>
        <v>Desmond Bridges Sr.</v>
      </c>
      <c r="I244" s="9">
        <f ca="1">IFERROR(__xludf.DUMMYFUNCTION("""COMPUTED_VALUE"""),45358)</f>
        <v>45358</v>
      </c>
      <c r="J244" s="9"/>
      <c r="K244" s="8" t="str">
        <f ca="1">IFERROR(__xludf.DUMMYFUNCTION("""COMPUTED_VALUE"""),"PM")</f>
        <v>PM</v>
      </c>
      <c r="L244" s="8" t="str">
        <f ca="1">IFERROR(__xludf.DUMMYFUNCTION("""COMPUTED_VALUE"""),"4th Grade")</f>
        <v>4th Grade</v>
      </c>
      <c r="M244" s="8" t="str">
        <f ca="1">IFERROR(__xludf.DUMMYFUNCTION("""COMPUTED_VALUE"""),"Math")</f>
        <v>Math</v>
      </c>
      <c r="N244" s="8">
        <f ca="1">IFERROR(__xludf.DUMMYFUNCTION("""COMPUTED_VALUE"""),6)</f>
        <v>6</v>
      </c>
      <c r="O244" s="8" t="str">
        <f ca="1">IFERROR(__xludf.DUMMYFUNCTION("""COMPUTED_VALUE"""),"Proficient I")</f>
        <v>Proficient I</v>
      </c>
      <c r="P244" s="8">
        <f ca="1">IFERROR(__xludf.DUMMYFUNCTION("""COMPUTED_VALUE"""),1)</f>
        <v>1</v>
      </c>
      <c r="Q244" s="8">
        <f ca="1">IFERROR(__xludf.DUMMYFUNCTION("""COMPUTED_VALUE"""),2)</f>
        <v>2</v>
      </c>
      <c r="R244" s="8">
        <f ca="1">IFERROR(__xludf.DUMMYFUNCTION("""COMPUTED_VALUE"""),1.5)</f>
        <v>1.5</v>
      </c>
      <c r="S244" s="8">
        <f ca="1">IFERROR(__xludf.DUMMYFUNCTION("""COMPUTED_VALUE"""),1.5)</f>
        <v>1.5</v>
      </c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</row>
    <row r="245" spans="1:31" ht="13.15" x14ac:dyDescent="0.4">
      <c r="A245" s="8"/>
      <c r="B245" s="8"/>
      <c r="C245" s="8"/>
      <c r="D245" s="8"/>
      <c r="E245" s="8" t="str">
        <f ca="1">IFERROR(__xludf.DUMMYFUNCTION("""COMPUTED_VALUE"""),"JONES-CLARK")</f>
        <v>JONES-CLARK</v>
      </c>
      <c r="F245" s="8" t="str">
        <f ca="1">IFERROR(__xludf.DUMMYFUNCTION("""COMPUTED_VALUE"""),"Core Subject No LSAE")</f>
        <v>Core Subject No LSAE</v>
      </c>
      <c r="G245" s="8" t="str">
        <f ca="1">IFERROR(__xludf.DUMMYFUNCTION("""COMPUTED_VALUE"""),"Bianca Broussard")</f>
        <v>Bianca Broussard</v>
      </c>
      <c r="H245" s="8" t="str">
        <f ca="1">IFERROR(__xludf.DUMMYFUNCTION("""COMPUTED_VALUE"""),"Desmond Bridges Sr.")</f>
        <v>Desmond Bridges Sr.</v>
      </c>
      <c r="I245" s="9">
        <f ca="1">IFERROR(__xludf.DUMMYFUNCTION("""COMPUTED_VALUE"""),45359)</f>
        <v>45359</v>
      </c>
      <c r="J245" s="9"/>
      <c r="K245" s="8" t="str">
        <f ca="1">IFERROR(__xludf.DUMMYFUNCTION("""COMPUTED_VALUE"""),"AM")</f>
        <v>AM</v>
      </c>
      <c r="L245" s="8" t="str">
        <f ca="1">IFERROR(__xludf.DUMMYFUNCTION("""COMPUTED_VALUE"""),"2nd Grade")</f>
        <v>2nd Grade</v>
      </c>
      <c r="M245" s="8" t="str">
        <f ca="1">IFERROR(__xludf.DUMMYFUNCTION("""COMPUTED_VALUE"""),"ELA")</f>
        <v>ELA</v>
      </c>
      <c r="N245" s="8">
        <f ca="1">IFERROR(__xludf.DUMMYFUNCTION("""COMPUTED_VALUE"""),5)</f>
        <v>5</v>
      </c>
      <c r="O245" s="8" t="str">
        <f ca="1">IFERROR(__xludf.DUMMYFUNCTION("""COMPUTED_VALUE"""),"Progressing")</f>
        <v>Progressing</v>
      </c>
      <c r="P245" s="8">
        <f ca="1">IFERROR(__xludf.DUMMYFUNCTION("""COMPUTED_VALUE"""),2)</f>
        <v>2</v>
      </c>
      <c r="Q245" s="8">
        <f ca="1">IFERROR(__xludf.DUMMYFUNCTION("""COMPUTED_VALUE"""),1.5)</f>
        <v>1.5</v>
      </c>
      <c r="R245" s="8">
        <f ca="1">IFERROR(__xludf.DUMMYFUNCTION("""COMPUTED_VALUE"""),1.5)</f>
        <v>1.5</v>
      </c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</row>
    <row r="246" spans="1:31" ht="13.15" x14ac:dyDescent="0.4">
      <c r="A246" s="8"/>
      <c r="B246" s="8"/>
      <c r="C246" s="8"/>
      <c r="D246" s="8"/>
      <c r="E246" s="8" t="str">
        <f ca="1">IFERROR(__xludf.DUMMYFUNCTION("""COMPUTED_VALUE"""),"JONES-CLARK")</f>
        <v>JONES-CLARK</v>
      </c>
      <c r="F246" s="8" t="str">
        <f ca="1">IFERROR(__xludf.DUMMYFUNCTION("""COMPUTED_VALUE"""),"Core Subject No LSAE")</f>
        <v>Core Subject No LSAE</v>
      </c>
      <c r="G246" s="8" t="str">
        <f ca="1">IFERROR(__xludf.DUMMYFUNCTION("""COMPUTED_VALUE"""),"Shandilynne Holley")</f>
        <v>Shandilynne Holley</v>
      </c>
      <c r="H246" s="8" t="str">
        <f ca="1">IFERROR(__xludf.DUMMYFUNCTION("""COMPUTED_VALUE"""),"Desmond Bridges Sr.")</f>
        <v>Desmond Bridges Sr.</v>
      </c>
      <c r="I246" s="9">
        <f ca="1">IFERROR(__xludf.DUMMYFUNCTION("""COMPUTED_VALUE"""),45359)</f>
        <v>45359</v>
      </c>
      <c r="J246" s="9"/>
      <c r="K246" s="8" t="str">
        <f ca="1">IFERROR(__xludf.DUMMYFUNCTION("""COMPUTED_VALUE"""),"PM")</f>
        <v>PM</v>
      </c>
      <c r="L246" s="8" t="str">
        <f ca="1">IFERROR(__xludf.DUMMYFUNCTION("""COMPUTED_VALUE"""),"4th Grade")</f>
        <v>4th Grade</v>
      </c>
      <c r="M246" s="8" t="str">
        <f ca="1">IFERROR(__xludf.DUMMYFUNCTION("""COMPUTED_VALUE"""),"Science")</f>
        <v>Science</v>
      </c>
      <c r="N246" s="8">
        <f ca="1">IFERROR(__xludf.DUMMYFUNCTION("""COMPUTED_VALUE"""),8.5)</f>
        <v>8.5</v>
      </c>
      <c r="O246" s="8" t="str">
        <f ca="1">IFERROR(__xludf.DUMMYFUNCTION("""COMPUTED_VALUE"""),"Proficient II")</f>
        <v>Proficient II</v>
      </c>
      <c r="P246" s="8">
        <f ca="1">IFERROR(__xludf.DUMMYFUNCTION("""COMPUTED_VALUE"""),2)</f>
        <v>2</v>
      </c>
      <c r="Q246" s="8">
        <f ca="1">IFERROR(__xludf.DUMMYFUNCTION("""COMPUTED_VALUE"""),3.5)</f>
        <v>3.5</v>
      </c>
      <c r="R246" s="8">
        <f ca="1">IFERROR(__xludf.DUMMYFUNCTION("""COMPUTED_VALUE"""),3)</f>
        <v>3</v>
      </c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</row>
    <row r="247" spans="1:31" ht="13.15" x14ac:dyDescent="0.4">
      <c r="A247" s="8"/>
      <c r="B247" s="8"/>
      <c r="C247" s="8"/>
      <c r="D247" s="8"/>
      <c r="E247" s="8" t="str">
        <f ca="1">IFERROR(__xludf.DUMMYFUNCTION("""COMPUTED_VALUE"""),"JONES-CLARK")</f>
        <v>JONES-CLARK</v>
      </c>
      <c r="F247" s="8" t="str">
        <f ca="1">IFERROR(__xludf.DUMMYFUNCTION("""COMPUTED_VALUE"""),"Core Subject No LSAE")</f>
        <v>Core Subject No LSAE</v>
      </c>
      <c r="G247" s="8" t="str">
        <f ca="1">IFERROR(__xludf.DUMMYFUNCTION("""COMPUTED_VALUE"""),"Stephanie Broussard")</f>
        <v>Stephanie Broussard</v>
      </c>
      <c r="H247" s="8" t="str">
        <f ca="1">IFERROR(__xludf.DUMMYFUNCTION("""COMPUTED_VALUE"""),"Desmond Bridges Sr.")</f>
        <v>Desmond Bridges Sr.</v>
      </c>
      <c r="I247" s="9">
        <f ca="1">IFERROR(__xludf.DUMMYFUNCTION("""COMPUTED_VALUE"""),45359)</f>
        <v>45359</v>
      </c>
      <c r="J247" s="9">
        <f ca="1">IFERROR(__xludf.DUMMYFUNCTION("""COMPUTED_VALUE"""),45359)</f>
        <v>45359</v>
      </c>
      <c r="K247" s="8" t="str">
        <f ca="1">IFERROR(__xludf.DUMMYFUNCTION("""COMPUTED_VALUE"""),"AM")</f>
        <v>AM</v>
      </c>
      <c r="L247" s="8" t="str">
        <f ca="1">IFERROR(__xludf.DUMMYFUNCTION("""COMPUTED_VALUE"""),"2nd Grade")</f>
        <v>2nd Grade</v>
      </c>
      <c r="M247" s="8" t="str">
        <f ca="1">IFERROR(__xludf.DUMMYFUNCTION("""COMPUTED_VALUE"""),"ELA")</f>
        <v>ELA</v>
      </c>
      <c r="N247" s="8">
        <f ca="1">IFERROR(__xludf.DUMMYFUNCTION("""COMPUTED_VALUE"""),5)</f>
        <v>5</v>
      </c>
      <c r="O247" s="8" t="str">
        <f ca="1">IFERROR(__xludf.DUMMYFUNCTION("""COMPUTED_VALUE"""),"Progressing")</f>
        <v>Progressing</v>
      </c>
      <c r="P247" s="8">
        <f ca="1">IFERROR(__xludf.DUMMYFUNCTION("""COMPUTED_VALUE"""),2)</f>
        <v>2</v>
      </c>
      <c r="Q247" s="8">
        <f ca="1">IFERROR(__xludf.DUMMYFUNCTION("""COMPUTED_VALUE"""),1.5)</f>
        <v>1.5</v>
      </c>
      <c r="R247" s="8">
        <f ca="1">IFERROR(__xludf.DUMMYFUNCTION("""COMPUTED_VALUE"""),1.5)</f>
        <v>1.5</v>
      </c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</row>
    <row r="248" spans="1:31" ht="13.15" x14ac:dyDescent="0.4">
      <c r="A248" s="8"/>
      <c r="B248" s="8"/>
      <c r="C248" s="8"/>
      <c r="D248" s="8"/>
      <c r="E248" s="8" t="str">
        <f ca="1">IFERROR(__xludf.DUMMYFUNCTION("""COMPUTED_VALUE"""),"JONES-CLARK")</f>
        <v>JONES-CLARK</v>
      </c>
      <c r="F248" s="8" t="str">
        <f ca="1">IFERROR(__xludf.DUMMYFUNCTION("""COMPUTED_VALUE"""),"Core Subject No LSAE")</f>
        <v>Core Subject No LSAE</v>
      </c>
      <c r="G248" s="8" t="str">
        <f ca="1">IFERROR(__xludf.DUMMYFUNCTION("""COMPUTED_VALUE"""),"Jessica Mose")</f>
        <v>Jessica Mose</v>
      </c>
      <c r="H248" s="8" t="str">
        <f ca="1">IFERROR(__xludf.DUMMYFUNCTION("""COMPUTED_VALUE"""),"Desmond Bridges Sr.")</f>
        <v>Desmond Bridges Sr.</v>
      </c>
      <c r="I248" s="9">
        <f ca="1">IFERROR(__xludf.DUMMYFUNCTION("""COMPUTED_VALUE"""),45359)</f>
        <v>45359</v>
      </c>
      <c r="J248" s="9">
        <f ca="1">IFERROR(__xludf.DUMMYFUNCTION("""COMPUTED_VALUE"""),45359)</f>
        <v>45359</v>
      </c>
      <c r="K248" s="8" t="str">
        <f ca="1">IFERROR(__xludf.DUMMYFUNCTION("""COMPUTED_VALUE"""),"AM")</f>
        <v>AM</v>
      </c>
      <c r="L248" s="8" t="str">
        <f ca="1">IFERROR(__xludf.DUMMYFUNCTION("""COMPUTED_VALUE"""),"4th Grade")</f>
        <v>4th Grade</v>
      </c>
      <c r="M248" s="8" t="str">
        <f ca="1">IFERROR(__xludf.DUMMYFUNCTION("""COMPUTED_VALUE"""),"ELA")</f>
        <v>ELA</v>
      </c>
      <c r="N248" s="8">
        <f ca="1">IFERROR(__xludf.DUMMYFUNCTION("""COMPUTED_VALUE"""),5)</f>
        <v>5</v>
      </c>
      <c r="O248" s="8" t="str">
        <f ca="1">IFERROR(__xludf.DUMMYFUNCTION("""COMPUTED_VALUE"""),"Progressing")</f>
        <v>Progressing</v>
      </c>
      <c r="P248" s="8">
        <f ca="1">IFERROR(__xludf.DUMMYFUNCTION("""COMPUTED_VALUE"""),2)</f>
        <v>2</v>
      </c>
      <c r="Q248" s="8">
        <f ca="1">IFERROR(__xludf.DUMMYFUNCTION("""COMPUTED_VALUE"""),1.5)</f>
        <v>1.5</v>
      </c>
      <c r="R248" s="8">
        <f ca="1">IFERROR(__xludf.DUMMYFUNCTION("""COMPUTED_VALUE"""),1.5)</f>
        <v>1.5</v>
      </c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</row>
    <row r="249" spans="1:31" ht="13.15" x14ac:dyDescent="0.4">
      <c r="A249" s="8"/>
      <c r="B249" s="8"/>
      <c r="C249" s="8"/>
      <c r="D249" s="8"/>
      <c r="E249" s="8" t="str">
        <f ca="1">IFERROR(__xludf.DUMMYFUNCTION("""COMPUTED_VALUE"""),"JONES-CLARK")</f>
        <v>JONES-CLARK</v>
      </c>
      <c r="F249" s="8" t="str">
        <f ca="1">IFERROR(__xludf.DUMMYFUNCTION("""COMPUTED_VALUE"""),"K-1")</f>
        <v>K-1</v>
      </c>
      <c r="G249" s="8" t="str">
        <f ca="1">IFERROR(__xludf.DUMMYFUNCTION("""COMPUTED_VALUE"""),"Shaderika Grant")</f>
        <v>Shaderika Grant</v>
      </c>
      <c r="H249" s="8" t="str">
        <f ca="1">IFERROR(__xludf.DUMMYFUNCTION("""COMPUTED_VALUE"""),"Yvette Isom-Drake")</f>
        <v>Yvette Isom-Drake</v>
      </c>
      <c r="I249" s="15">
        <f ca="1">IFERROR(__xludf.DUMMYFUNCTION("""COMPUTED_VALUE"""),45355)</f>
        <v>45355</v>
      </c>
      <c r="J249" s="9"/>
      <c r="K249" s="8" t="str">
        <f ca="1">IFERROR(__xludf.DUMMYFUNCTION("""COMPUTED_VALUE"""),"AM")</f>
        <v>AM</v>
      </c>
      <c r="L249" s="8" t="str">
        <f ca="1">IFERROR(__xludf.DUMMYFUNCTION("""COMPUTED_VALUE"""),"Kindergarten")</f>
        <v>Kindergarten</v>
      </c>
      <c r="M249" s="8" t="str">
        <f ca="1">IFERROR(__xludf.DUMMYFUNCTION("""COMPUTED_VALUE"""),"ELA")</f>
        <v>ELA</v>
      </c>
      <c r="N249" s="8">
        <f ca="1">IFERROR(__xludf.DUMMYFUNCTION("""COMPUTED_VALUE"""),5.5)</f>
        <v>5.5</v>
      </c>
      <c r="O249" s="8" t="str">
        <f ca="1">IFERROR(__xludf.DUMMYFUNCTION("""COMPUTED_VALUE"""),"Progressing")</f>
        <v>Progressing</v>
      </c>
      <c r="P249" s="8">
        <f ca="1">IFERROR(__xludf.DUMMYFUNCTION("""COMPUTED_VALUE"""),1)</f>
        <v>1</v>
      </c>
      <c r="Q249" s="8">
        <f ca="1">IFERROR(__xludf.DUMMYFUNCTION("""COMPUTED_VALUE"""),2)</f>
        <v>2</v>
      </c>
      <c r="R249" s="8">
        <f ca="1">IFERROR(__xludf.DUMMYFUNCTION("""COMPUTED_VALUE"""),1.5)</f>
        <v>1.5</v>
      </c>
      <c r="S249" s="8">
        <f ca="1">IFERROR(__xludf.DUMMYFUNCTION("""COMPUTED_VALUE"""),1)</f>
        <v>1</v>
      </c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</row>
    <row r="250" spans="1:31" ht="13.15" x14ac:dyDescent="0.4">
      <c r="A250" s="8"/>
      <c r="B250" s="8"/>
      <c r="C250" s="8"/>
      <c r="D250" s="8"/>
      <c r="E250" s="8" t="str">
        <f ca="1">IFERROR(__xludf.DUMMYFUNCTION("""COMPUTED_VALUE"""),"JONES-CLARK")</f>
        <v>JONES-CLARK</v>
      </c>
      <c r="F250" s="8" t="str">
        <f ca="1">IFERROR(__xludf.DUMMYFUNCTION("""COMPUTED_VALUE"""),"K-1")</f>
        <v>K-1</v>
      </c>
      <c r="G250" s="8" t="str">
        <f ca="1">IFERROR(__xludf.DUMMYFUNCTION("""COMPUTED_VALUE"""),"Diamond Pitre")</f>
        <v>Diamond Pitre</v>
      </c>
      <c r="H250" s="8" t="str">
        <f ca="1">IFERROR(__xludf.DUMMYFUNCTION("""COMPUTED_VALUE"""),"Yvette Isom-Drake")</f>
        <v>Yvette Isom-Drake</v>
      </c>
      <c r="I250" s="9">
        <f ca="1">IFERROR(__xludf.DUMMYFUNCTION("""COMPUTED_VALUE"""),45355)</f>
        <v>45355</v>
      </c>
      <c r="J250" s="9"/>
      <c r="K250" s="8" t="str">
        <f ca="1">IFERROR(__xludf.DUMMYFUNCTION("""COMPUTED_VALUE"""),"AM")</f>
        <v>AM</v>
      </c>
      <c r="L250" s="8" t="str">
        <f ca="1">IFERROR(__xludf.DUMMYFUNCTION("""COMPUTED_VALUE"""),"Kindergarten")</f>
        <v>Kindergarten</v>
      </c>
      <c r="M250" s="8" t="str">
        <f ca="1">IFERROR(__xludf.DUMMYFUNCTION("""COMPUTED_VALUE"""),"ELA")</f>
        <v>ELA</v>
      </c>
      <c r="N250" s="8">
        <f ca="1">IFERROR(__xludf.DUMMYFUNCTION("""COMPUTED_VALUE"""),5.5)</f>
        <v>5.5</v>
      </c>
      <c r="O250" s="8" t="str">
        <f ca="1">IFERROR(__xludf.DUMMYFUNCTION("""COMPUTED_VALUE"""),"Progressing")</f>
        <v>Progressing</v>
      </c>
      <c r="P250" s="8">
        <f ca="1">IFERROR(__xludf.DUMMYFUNCTION("""COMPUTED_VALUE"""),1)</f>
        <v>1</v>
      </c>
      <c r="Q250" s="8">
        <f ca="1">IFERROR(__xludf.DUMMYFUNCTION("""COMPUTED_VALUE"""),2)</f>
        <v>2</v>
      </c>
      <c r="R250" s="8">
        <f ca="1">IFERROR(__xludf.DUMMYFUNCTION("""COMPUTED_VALUE"""),1.5)</f>
        <v>1.5</v>
      </c>
      <c r="S250" s="8">
        <f ca="1">IFERROR(__xludf.DUMMYFUNCTION("""COMPUTED_VALUE"""),1)</f>
        <v>1</v>
      </c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</row>
    <row r="251" spans="1:31" ht="13.15" x14ac:dyDescent="0.4">
      <c r="A251" s="8"/>
      <c r="B251" s="8"/>
      <c r="C251" s="8"/>
      <c r="D251" s="8"/>
      <c r="E251" s="8" t="str">
        <f ca="1">IFERROR(__xludf.DUMMYFUNCTION("""COMPUTED_VALUE"""),"JONES-CLARK")</f>
        <v>JONES-CLARK</v>
      </c>
      <c r="F251" s="8" t="str">
        <f ca="1">IFERROR(__xludf.DUMMYFUNCTION("""COMPUTED_VALUE"""),"K-1")</f>
        <v>K-1</v>
      </c>
      <c r="G251" s="8" t="str">
        <f ca="1">IFERROR(__xludf.DUMMYFUNCTION("""COMPUTED_VALUE"""),"Tomeka Johnson")</f>
        <v>Tomeka Johnson</v>
      </c>
      <c r="H251" s="8" t="str">
        <f ca="1">IFERROR(__xludf.DUMMYFUNCTION("""COMPUTED_VALUE"""),"Yvette Isom-Drake")</f>
        <v>Yvette Isom-Drake</v>
      </c>
      <c r="I251" s="9">
        <f ca="1">IFERROR(__xludf.DUMMYFUNCTION("""COMPUTED_VALUE"""),45355)</f>
        <v>45355</v>
      </c>
      <c r="J251" s="9"/>
      <c r="K251" s="8" t="str">
        <f ca="1">IFERROR(__xludf.DUMMYFUNCTION("""COMPUTED_VALUE"""),"AM")</f>
        <v>AM</v>
      </c>
      <c r="L251" s="8" t="str">
        <f ca="1">IFERROR(__xludf.DUMMYFUNCTION("""COMPUTED_VALUE"""),"1st Grade")</f>
        <v>1st Grade</v>
      </c>
      <c r="M251" s="8" t="str">
        <f ca="1">IFERROR(__xludf.DUMMYFUNCTION("""COMPUTED_VALUE"""),"ELA")</f>
        <v>ELA</v>
      </c>
      <c r="N251" s="8">
        <f ca="1">IFERROR(__xludf.DUMMYFUNCTION("""COMPUTED_VALUE"""),5.5)</f>
        <v>5.5</v>
      </c>
      <c r="O251" s="8" t="str">
        <f ca="1">IFERROR(__xludf.DUMMYFUNCTION("""COMPUTED_VALUE"""),"Progressing")</f>
        <v>Progressing</v>
      </c>
      <c r="P251" s="8">
        <f ca="1">IFERROR(__xludf.DUMMYFUNCTION("""COMPUTED_VALUE"""),1)</f>
        <v>1</v>
      </c>
      <c r="Q251" s="8">
        <f ca="1">IFERROR(__xludf.DUMMYFUNCTION("""COMPUTED_VALUE"""),1.5)</f>
        <v>1.5</v>
      </c>
      <c r="R251" s="8">
        <f ca="1">IFERROR(__xludf.DUMMYFUNCTION("""COMPUTED_VALUE"""),1.5)</f>
        <v>1.5</v>
      </c>
      <c r="S251" s="8">
        <f ca="1">IFERROR(__xludf.DUMMYFUNCTION("""COMPUTED_VALUE"""),1.5)</f>
        <v>1.5</v>
      </c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</row>
    <row r="252" spans="1:31" ht="13.15" x14ac:dyDescent="0.4">
      <c r="A252" s="8"/>
      <c r="B252" s="8"/>
      <c r="C252" s="8"/>
      <c r="D252" s="8"/>
      <c r="E252" s="8" t="str">
        <f ca="1">IFERROR(__xludf.DUMMYFUNCTION("""COMPUTED_VALUE"""),"JONES-CLARK")</f>
        <v>JONES-CLARK</v>
      </c>
      <c r="F252" s="8" t="str">
        <f ca="1">IFERROR(__xludf.DUMMYFUNCTION("""COMPUTED_VALUE"""),"K-1")</f>
        <v>K-1</v>
      </c>
      <c r="G252" s="8" t="str">
        <f ca="1">IFERROR(__xludf.DUMMYFUNCTION("""COMPUTED_VALUE"""),"Deana Mitchell")</f>
        <v>Deana Mitchell</v>
      </c>
      <c r="H252" s="8" t="str">
        <f ca="1">IFERROR(__xludf.DUMMYFUNCTION("""COMPUTED_VALUE"""),"Yvette Isom-Drake")</f>
        <v>Yvette Isom-Drake</v>
      </c>
      <c r="I252" s="9">
        <f ca="1">IFERROR(__xludf.DUMMYFUNCTION("""COMPUTED_VALUE"""),45355)</f>
        <v>45355</v>
      </c>
      <c r="J252" s="9">
        <f ca="1">IFERROR(__xludf.DUMMYFUNCTION("""COMPUTED_VALUE"""),45355)</f>
        <v>45355</v>
      </c>
      <c r="K252" s="8" t="str">
        <f ca="1">IFERROR(__xludf.DUMMYFUNCTION("""COMPUTED_VALUE"""),"AM")</f>
        <v>AM</v>
      </c>
      <c r="L252" s="8" t="str">
        <f ca="1">IFERROR(__xludf.DUMMYFUNCTION("""COMPUTED_VALUE"""),"1st Grade")</f>
        <v>1st Grade</v>
      </c>
      <c r="M252" s="8" t="str">
        <f ca="1">IFERROR(__xludf.DUMMYFUNCTION("""COMPUTED_VALUE"""),"ELA")</f>
        <v>ELA</v>
      </c>
      <c r="N252" s="8">
        <f ca="1">IFERROR(__xludf.DUMMYFUNCTION("""COMPUTED_VALUE"""),6)</f>
        <v>6</v>
      </c>
      <c r="O252" s="8" t="str">
        <f ca="1">IFERROR(__xludf.DUMMYFUNCTION("""COMPUTED_VALUE"""),"Proficient I")</f>
        <v>Proficient I</v>
      </c>
      <c r="P252" s="8">
        <f ca="1">IFERROR(__xludf.DUMMYFUNCTION("""COMPUTED_VALUE"""),1)</f>
        <v>1</v>
      </c>
      <c r="Q252" s="8">
        <f ca="1">IFERROR(__xludf.DUMMYFUNCTION("""COMPUTED_VALUE"""),2.5)</f>
        <v>2.5</v>
      </c>
      <c r="R252" s="8">
        <f ca="1">IFERROR(__xludf.DUMMYFUNCTION("""COMPUTED_VALUE"""),1)</f>
        <v>1</v>
      </c>
      <c r="S252" s="8">
        <f ca="1">IFERROR(__xludf.DUMMYFUNCTION("""COMPUTED_VALUE"""),1.5)</f>
        <v>1.5</v>
      </c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</row>
    <row r="253" spans="1:31" ht="13.15" x14ac:dyDescent="0.4">
      <c r="A253" s="8"/>
      <c r="B253" s="8"/>
      <c r="C253" s="8"/>
      <c r="D253" s="8"/>
      <c r="E253" s="8" t="str">
        <f ca="1">IFERROR(__xludf.DUMMYFUNCTION("""COMPUTED_VALUE"""),"JONES-CLARK")</f>
        <v>JONES-CLARK</v>
      </c>
      <c r="F253" s="8" t="str">
        <f ca="1">IFERROR(__xludf.DUMMYFUNCTION("""COMPUTED_VALUE"""),"K-1")</f>
        <v>K-1</v>
      </c>
      <c r="G253" s="8" t="str">
        <f ca="1">IFERROR(__xludf.DUMMYFUNCTION("""COMPUTED_VALUE"""),"Bianca Broussard")</f>
        <v>Bianca Broussard</v>
      </c>
      <c r="H253" s="8" t="str">
        <f ca="1">IFERROR(__xludf.DUMMYFUNCTION("""COMPUTED_VALUE"""),"Yvette Isom-Drake")</f>
        <v>Yvette Isom-Drake</v>
      </c>
      <c r="I253" s="9">
        <f ca="1">IFERROR(__xludf.DUMMYFUNCTION("""COMPUTED_VALUE"""),45356)</f>
        <v>45356</v>
      </c>
      <c r="J253" s="9">
        <f ca="1">IFERROR(__xludf.DUMMYFUNCTION("""COMPUTED_VALUE"""),45359)</f>
        <v>45359</v>
      </c>
      <c r="K253" s="8" t="str">
        <f ca="1">IFERROR(__xludf.DUMMYFUNCTION("""COMPUTED_VALUE"""),"PM")</f>
        <v>PM</v>
      </c>
      <c r="L253" s="8" t="str">
        <f ca="1">IFERROR(__xludf.DUMMYFUNCTION("""COMPUTED_VALUE"""),"Kindergarten")</f>
        <v>Kindergarten</v>
      </c>
      <c r="M253" s="8" t="str">
        <f ca="1">IFERROR(__xludf.DUMMYFUNCTION("""COMPUTED_VALUE"""),"ELA")</f>
        <v>ELA</v>
      </c>
      <c r="N253" s="8">
        <f ca="1">IFERROR(__xludf.DUMMYFUNCTION("""COMPUTED_VALUE"""),6.5)</f>
        <v>6.5</v>
      </c>
      <c r="O253" s="8" t="str">
        <f ca="1">IFERROR(__xludf.DUMMYFUNCTION("""COMPUTED_VALUE"""),"Proficient I")</f>
        <v>Proficient I</v>
      </c>
      <c r="P253" s="8">
        <f ca="1">IFERROR(__xludf.DUMMYFUNCTION("""COMPUTED_VALUE"""),1)</f>
        <v>1</v>
      </c>
      <c r="Q253" s="8">
        <f ca="1">IFERROR(__xludf.DUMMYFUNCTION("""COMPUTED_VALUE"""),2)</f>
        <v>2</v>
      </c>
      <c r="R253" s="8">
        <f ca="1">IFERROR(__xludf.DUMMYFUNCTION("""COMPUTED_VALUE"""),2.5)</f>
        <v>2.5</v>
      </c>
      <c r="S253" s="8">
        <f ca="1">IFERROR(__xludf.DUMMYFUNCTION("""COMPUTED_VALUE"""),1)</f>
        <v>1</v>
      </c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</row>
    <row r="254" spans="1:31" ht="13.15" x14ac:dyDescent="0.4">
      <c r="A254" s="8"/>
      <c r="B254" s="8"/>
      <c r="C254" s="8"/>
      <c r="D254" s="8"/>
      <c r="E254" s="8" t="str">
        <f ca="1">IFERROR(__xludf.DUMMYFUNCTION("""COMPUTED_VALUE"""),"JONES-CLARK")</f>
        <v>JONES-CLARK</v>
      </c>
      <c r="F254" s="8" t="str">
        <f ca="1">IFERROR(__xludf.DUMMYFUNCTION("""COMPUTED_VALUE"""),"K-1")</f>
        <v>K-1</v>
      </c>
      <c r="G254" s="8" t="str">
        <f ca="1">IFERROR(__xludf.DUMMYFUNCTION("""COMPUTED_VALUE"""),"Dyron Clark")</f>
        <v>Dyron Clark</v>
      </c>
      <c r="H254" s="8" t="str">
        <f ca="1">IFERROR(__xludf.DUMMYFUNCTION("""COMPUTED_VALUE"""),"Yvette Isom-Drake")</f>
        <v>Yvette Isom-Drake</v>
      </c>
      <c r="I254" s="9">
        <f ca="1">IFERROR(__xludf.DUMMYFUNCTION("""COMPUTED_VALUE"""),45359)</f>
        <v>45359</v>
      </c>
      <c r="J254" s="9">
        <f ca="1">IFERROR(__xludf.DUMMYFUNCTION("""COMPUTED_VALUE"""),45359)</f>
        <v>45359</v>
      </c>
      <c r="K254" s="8" t="str">
        <f ca="1">IFERROR(__xludf.DUMMYFUNCTION("""COMPUTED_VALUE"""),"AM")</f>
        <v>AM</v>
      </c>
      <c r="L254" s="8" t="str">
        <f ca="1">IFERROR(__xludf.DUMMYFUNCTION("""COMPUTED_VALUE"""),"1st Grade")</f>
        <v>1st Grade</v>
      </c>
      <c r="M254" s="8" t="str">
        <f ca="1">IFERROR(__xludf.DUMMYFUNCTION("""COMPUTED_VALUE"""),"Math")</f>
        <v>Math</v>
      </c>
      <c r="N254" s="8">
        <f ca="1">IFERROR(__xludf.DUMMYFUNCTION("""COMPUTED_VALUE"""),6.5)</f>
        <v>6.5</v>
      </c>
      <c r="O254" s="8" t="str">
        <f ca="1">IFERROR(__xludf.DUMMYFUNCTION("""COMPUTED_VALUE"""),"Proficient I")</f>
        <v>Proficient I</v>
      </c>
      <c r="P254" s="8">
        <f ca="1">IFERROR(__xludf.DUMMYFUNCTION("""COMPUTED_VALUE"""),1)</f>
        <v>1</v>
      </c>
      <c r="Q254" s="8">
        <f ca="1">IFERROR(__xludf.DUMMYFUNCTION("""COMPUTED_VALUE"""),2)</f>
        <v>2</v>
      </c>
      <c r="R254" s="8">
        <f ca="1">IFERROR(__xludf.DUMMYFUNCTION("""COMPUTED_VALUE"""),2)</f>
        <v>2</v>
      </c>
      <c r="S254" s="8">
        <f ca="1">IFERROR(__xludf.DUMMYFUNCTION("""COMPUTED_VALUE"""),1.5)</f>
        <v>1.5</v>
      </c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</row>
    <row r="255" spans="1:31" ht="13.15" x14ac:dyDescent="0.4">
      <c r="A255" s="8"/>
      <c r="B255" s="8"/>
      <c r="C255" s="8"/>
      <c r="D255" s="8"/>
      <c r="E255" s="8" t="str">
        <f ca="1">IFERROR(__xludf.DUMMYFUNCTION("""COMPUTED_VALUE"""),"SMITH")</f>
        <v>SMITH</v>
      </c>
      <c r="F255" s="8" t="str">
        <f ca="1">IFERROR(__xludf.DUMMYFUNCTION("""COMPUTED_VALUE"""),"Core Subject With LSAE")</f>
        <v>Core Subject With LSAE</v>
      </c>
      <c r="G255" s="8" t="str">
        <f ca="1">IFERROR(__xludf.DUMMYFUNCTION("""COMPUTED_VALUE"""),"Jatoria Williams")</f>
        <v>Jatoria Williams</v>
      </c>
      <c r="H255" s="8" t="str">
        <f ca="1">IFERROR(__xludf.DUMMYFUNCTION("""COMPUTED_VALUE"""),"Loretta Mack")</f>
        <v>Loretta Mack</v>
      </c>
      <c r="I255" s="9">
        <f ca="1">IFERROR(__xludf.DUMMYFUNCTION("""COMPUTED_VALUE"""),45355)</f>
        <v>45355</v>
      </c>
      <c r="J255" s="9">
        <f ca="1">IFERROR(__xludf.DUMMYFUNCTION("""COMPUTED_VALUE"""),45355)</f>
        <v>45355</v>
      </c>
      <c r="K255" s="8" t="str">
        <f ca="1">IFERROR(__xludf.DUMMYFUNCTION("""COMPUTED_VALUE"""),"AM")</f>
        <v>AM</v>
      </c>
      <c r="L255" s="8" t="str">
        <f ca="1">IFERROR(__xludf.DUMMYFUNCTION("""COMPUTED_VALUE"""),"7th Grade")</f>
        <v>7th Grade</v>
      </c>
      <c r="M255" s="8" t="str">
        <f ca="1">IFERROR(__xludf.DUMMYFUNCTION("""COMPUTED_VALUE"""),"ELA")</f>
        <v>ELA</v>
      </c>
      <c r="N255" s="8">
        <f ca="1">IFERROR(__xludf.DUMMYFUNCTION("""COMPUTED_VALUE"""),6.5)</f>
        <v>6.5</v>
      </c>
      <c r="O255" s="8" t="str">
        <f ca="1">IFERROR(__xludf.DUMMYFUNCTION("""COMPUTED_VALUE"""),"Proficient I")</f>
        <v>Proficient I</v>
      </c>
      <c r="P255" s="8">
        <f ca="1">IFERROR(__xludf.DUMMYFUNCTION("""COMPUTED_VALUE"""),1)</f>
        <v>1</v>
      </c>
      <c r="Q255" s="8">
        <f ca="1">IFERROR(__xludf.DUMMYFUNCTION("""COMPUTED_VALUE"""),2)</f>
        <v>2</v>
      </c>
      <c r="R255" s="8">
        <f ca="1">IFERROR(__xludf.DUMMYFUNCTION("""COMPUTED_VALUE"""),2)</f>
        <v>2</v>
      </c>
      <c r="S255" s="8">
        <f ca="1">IFERROR(__xludf.DUMMYFUNCTION("""COMPUTED_VALUE"""),1.5)</f>
        <v>1.5</v>
      </c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</row>
    <row r="256" spans="1:31" ht="13.15" x14ac:dyDescent="0.4">
      <c r="A256" s="8"/>
      <c r="B256" s="8"/>
      <c r="C256" s="8"/>
      <c r="D256" s="8"/>
      <c r="E256" s="8" t="str">
        <f ca="1">IFERROR(__xludf.DUMMYFUNCTION("""COMPUTED_VALUE"""),"SMITH")</f>
        <v>SMITH</v>
      </c>
      <c r="F256" s="8" t="str">
        <f ca="1">IFERROR(__xludf.DUMMYFUNCTION("""COMPUTED_VALUE"""),"Learning Coach -- Sub")</f>
        <v>Learning Coach -- Sub</v>
      </c>
      <c r="G256" s="8" t="str">
        <f ca="1">IFERROR(__xludf.DUMMYFUNCTION("""COMPUTED_VALUE"""),"Julis Cullen")</f>
        <v>Julis Cullen</v>
      </c>
      <c r="H256" s="8" t="str">
        <f ca="1">IFERROR(__xludf.DUMMYFUNCTION("""COMPUTED_VALUE"""),"Loretta Mack")</f>
        <v>Loretta Mack</v>
      </c>
      <c r="I256" s="9">
        <f ca="1">IFERROR(__xludf.DUMMYFUNCTION("""COMPUTED_VALUE"""),45355)</f>
        <v>45355</v>
      </c>
      <c r="J256" s="9">
        <f ca="1">IFERROR(__xludf.DUMMYFUNCTION("""COMPUTED_VALUE"""),45356)</f>
        <v>45356</v>
      </c>
      <c r="K256" s="8" t="str">
        <f ca="1">IFERROR(__xludf.DUMMYFUNCTION("""COMPUTED_VALUE"""),"PM")</f>
        <v>PM</v>
      </c>
      <c r="L256" s="8" t="str">
        <f ca="1">IFERROR(__xludf.DUMMYFUNCTION("""COMPUTED_VALUE"""),"8th Grade")</f>
        <v>8th Grade</v>
      </c>
      <c r="M256" s="8" t="str">
        <f ca="1">IFERROR(__xludf.DUMMYFUNCTION("""COMPUTED_VALUE"""),"Science")</f>
        <v>Science</v>
      </c>
      <c r="N256" s="8">
        <f ca="1">IFERROR(__xludf.DUMMYFUNCTION("""COMPUTED_VALUE"""),9)</f>
        <v>9</v>
      </c>
      <c r="O256" s="8" t="str">
        <f ca="1">IFERROR(__xludf.DUMMYFUNCTION("""COMPUTED_VALUE"""),"Proficient II")</f>
        <v>Proficient II</v>
      </c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</row>
    <row r="257" spans="1:31" ht="13.15" x14ac:dyDescent="0.4">
      <c r="A257" s="8"/>
      <c r="B257" s="8"/>
      <c r="C257" s="8"/>
      <c r="D257" s="8"/>
      <c r="E257" s="8" t="str">
        <f ca="1">IFERROR(__xludf.DUMMYFUNCTION("""COMPUTED_VALUE"""),"SMITH")</f>
        <v>SMITH</v>
      </c>
      <c r="F257" s="8" t="str">
        <f ca="1">IFERROR(__xludf.DUMMYFUNCTION("""COMPUTED_VALUE"""),"Teacher Apprentice")</f>
        <v>Teacher Apprentice</v>
      </c>
      <c r="G257" s="8" t="str">
        <f ca="1">IFERROR(__xludf.DUMMYFUNCTION("""COMPUTED_VALUE"""),"Raeven Normand")</f>
        <v>Raeven Normand</v>
      </c>
      <c r="H257" s="8" t="str">
        <f ca="1">IFERROR(__xludf.DUMMYFUNCTION("""COMPUTED_VALUE"""),"Loretta Mack")</f>
        <v>Loretta Mack</v>
      </c>
      <c r="I257" s="9">
        <f ca="1">IFERROR(__xludf.DUMMYFUNCTION("""COMPUTED_VALUE"""),45355)</f>
        <v>45355</v>
      </c>
      <c r="J257" s="9">
        <f ca="1">IFERROR(__xludf.DUMMYFUNCTION("""COMPUTED_VALUE"""),45355)</f>
        <v>45355</v>
      </c>
      <c r="K257" s="8" t="str">
        <f ca="1">IFERROR(__xludf.DUMMYFUNCTION("""COMPUTED_VALUE"""),"AM")</f>
        <v>AM</v>
      </c>
      <c r="L257" s="8" t="str">
        <f ca="1">IFERROR(__xludf.DUMMYFUNCTION("""COMPUTED_VALUE"""),"7th Grade")</f>
        <v>7th Grade</v>
      </c>
      <c r="M257" s="8" t="str">
        <f ca="1">IFERROR(__xludf.DUMMYFUNCTION("""COMPUTED_VALUE"""),"ELA")</f>
        <v>ELA</v>
      </c>
      <c r="N257" s="8">
        <f ca="1">IFERROR(__xludf.DUMMYFUNCTION("""COMPUTED_VALUE"""),6)</f>
        <v>6</v>
      </c>
      <c r="O257" s="8" t="str">
        <f ca="1">IFERROR(__xludf.DUMMYFUNCTION("""COMPUTED_VALUE"""),"Proficient I")</f>
        <v>Proficient I</v>
      </c>
      <c r="P257" s="8">
        <f ca="1">IFERROR(__xludf.DUMMYFUNCTION("""COMPUTED_VALUE"""),1)</f>
        <v>1</v>
      </c>
      <c r="Q257" s="8">
        <f ca="1">IFERROR(__xludf.DUMMYFUNCTION("""COMPUTED_VALUE"""),2)</f>
        <v>2</v>
      </c>
      <c r="R257" s="8">
        <f ca="1">IFERROR(__xludf.DUMMYFUNCTION("""COMPUTED_VALUE"""),1.5)</f>
        <v>1.5</v>
      </c>
      <c r="S257" s="8">
        <f ca="1">IFERROR(__xludf.DUMMYFUNCTION("""COMPUTED_VALUE"""),1.5)</f>
        <v>1.5</v>
      </c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</row>
    <row r="258" spans="1:31" ht="13.15" x14ac:dyDescent="0.4">
      <c r="A258" s="8"/>
      <c r="B258" s="8"/>
      <c r="C258" s="8"/>
      <c r="D258" s="8"/>
      <c r="E258" s="8" t="str">
        <f ca="1">IFERROR(__xludf.DUMMYFUNCTION("""COMPUTED_VALUE"""),"SMITH")</f>
        <v>SMITH</v>
      </c>
      <c r="F258" s="8" t="str">
        <f ca="1">IFERROR(__xludf.DUMMYFUNCTION("""COMPUTED_VALUE"""),"Core Subject No LSAE")</f>
        <v>Core Subject No LSAE</v>
      </c>
      <c r="G258" s="8" t="str">
        <f ca="1">IFERROR(__xludf.DUMMYFUNCTION("""COMPUTED_VALUE"""),"Jamie Mundy Lewis")</f>
        <v>Jamie Mundy Lewis</v>
      </c>
      <c r="H258" s="8" t="str">
        <f ca="1">IFERROR(__xludf.DUMMYFUNCTION("""COMPUTED_VALUE"""),"Loretta Mack")</f>
        <v>Loretta Mack</v>
      </c>
      <c r="I258" s="9">
        <f ca="1">IFERROR(__xludf.DUMMYFUNCTION("""COMPUTED_VALUE"""),45356)</f>
        <v>45356</v>
      </c>
      <c r="J258" s="9">
        <f ca="1">IFERROR(__xludf.DUMMYFUNCTION("""COMPUTED_VALUE"""),45356)</f>
        <v>45356</v>
      </c>
      <c r="K258" s="8" t="str">
        <f ca="1">IFERROR(__xludf.DUMMYFUNCTION("""COMPUTED_VALUE"""),"AM")</f>
        <v>AM</v>
      </c>
      <c r="L258" s="8" t="str">
        <f ca="1">IFERROR(__xludf.DUMMYFUNCTION("""COMPUTED_VALUE"""),"6th Grade")</f>
        <v>6th Grade</v>
      </c>
      <c r="M258" s="8" t="str">
        <f ca="1">IFERROR(__xludf.DUMMYFUNCTION("""COMPUTED_VALUE"""),"Art of Thinking")</f>
        <v>Art of Thinking</v>
      </c>
      <c r="N258" s="8">
        <f ca="1">IFERROR(__xludf.DUMMYFUNCTION("""COMPUTED_VALUE"""),8.5)</f>
        <v>8.5</v>
      </c>
      <c r="O258" s="8" t="str">
        <f ca="1">IFERROR(__xludf.DUMMYFUNCTION("""COMPUTED_VALUE"""),"Proficient II")</f>
        <v>Proficient II</v>
      </c>
      <c r="P258" s="8">
        <f ca="1">IFERROR(__xludf.DUMMYFUNCTION("""COMPUTED_VALUE"""),2)</f>
        <v>2</v>
      </c>
      <c r="Q258" s="8">
        <f ca="1">IFERROR(__xludf.DUMMYFUNCTION("""COMPUTED_VALUE"""),3)</f>
        <v>3</v>
      </c>
      <c r="R258" s="8">
        <f ca="1">IFERROR(__xludf.DUMMYFUNCTION("""COMPUTED_VALUE"""),3.5)</f>
        <v>3.5</v>
      </c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</row>
    <row r="259" spans="1:31" ht="13.15" x14ac:dyDescent="0.4">
      <c r="A259" s="8"/>
      <c r="B259" s="8"/>
      <c r="C259" s="8"/>
      <c r="D259" s="8"/>
      <c r="E259" s="8" t="str">
        <f ca="1">IFERROR(__xludf.DUMMYFUNCTION("""COMPUTED_VALUE"""),"SMITH")</f>
        <v>SMITH</v>
      </c>
      <c r="F259" s="8" t="str">
        <f ca="1">IFERROR(__xludf.DUMMYFUNCTION("""COMPUTED_VALUE"""),"Learning Coach -- Sub")</f>
        <v>Learning Coach -- Sub</v>
      </c>
      <c r="G259" s="8" t="str">
        <f ca="1">IFERROR(__xludf.DUMMYFUNCTION("""COMPUTED_VALUE"""),"Tiffiney Collins")</f>
        <v>Tiffiney Collins</v>
      </c>
      <c r="H259" s="8" t="str">
        <f ca="1">IFERROR(__xludf.DUMMYFUNCTION("""COMPUTED_VALUE"""),"Loretta Mack")</f>
        <v>Loretta Mack</v>
      </c>
      <c r="I259" s="9">
        <f ca="1">IFERROR(__xludf.DUMMYFUNCTION("""COMPUTED_VALUE"""),45356)</f>
        <v>45356</v>
      </c>
      <c r="J259" s="9">
        <f ca="1">IFERROR(__xludf.DUMMYFUNCTION("""COMPUTED_VALUE"""),45356)</f>
        <v>45356</v>
      </c>
      <c r="K259" s="8" t="str">
        <f ca="1">IFERROR(__xludf.DUMMYFUNCTION("""COMPUTED_VALUE"""),"AM")</f>
        <v>AM</v>
      </c>
      <c r="L259" s="11" t="str">
        <f ca="1">IFERROR(__xludf.DUMMYFUNCTION("""COMPUTED_VALUE"""),"6th Grade")</f>
        <v>6th Grade</v>
      </c>
      <c r="M259" s="8" t="str">
        <f ca="1">IFERROR(__xludf.DUMMYFUNCTION("""COMPUTED_VALUE"""),"Math")</f>
        <v>Math</v>
      </c>
      <c r="N259" s="8">
        <f ca="1">IFERROR(__xludf.DUMMYFUNCTION("""COMPUTED_VALUE"""),9)</f>
        <v>9</v>
      </c>
      <c r="O259" s="8" t="str">
        <f ca="1">IFERROR(__xludf.DUMMYFUNCTION("""COMPUTED_VALUE"""),"Proficient II")</f>
        <v>Proficient II</v>
      </c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</row>
    <row r="260" spans="1:31" ht="13.15" x14ac:dyDescent="0.4">
      <c r="A260" s="8"/>
      <c r="B260" s="8"/>
      <c r="C260" s="8"/>
      <c r="D260" s="8"/>
      <c r="E260" s="8" t="str">
        <f ca="1">IFERROR(__xludf.DUMMYFUNCTION("""COMPUTED_VALUE"""),"SMITH")</f>
        <v>SMITH</v>
      </c>
      <c r="F260" s="8" t="str">
        <f ca="1">IFERROR(__xludf.DUMMYFUNCTION("""COMPUTED_VALUE"""),"Core Subject With LSAE")</f>
        <v>Core Subject With LSAE</v>
      </c>
      <c r="G260" s="8" t="str">
        <f ca="1">IFERROR(__xludf.DUMMYFUNCTION("""COMPUTED_VALUE"""),"Ashley Samuel")</f>
        <v>Ashley Samuel</v>
      </c>
      <c r="H260" s="8" t="str">
        <f ca="1">IFERROR(__xludf.DUMMYFUNCTION("""COMPUTED_VALUE"""),"Loretta Mack")</f>
        <v>Loretta Mack</v>
      </c>
      <c r="I260" s="9">
        <f ca="1">IFERROR(__xludf.DUMMYFUNCTION("""COMPUTED_VALUE"""),45357)</f>
        <v>45357</v>
      </c>
      <c r="J260" s="9">
        <f ca="1">IFERROR(__xludf.DUMMYFUNCTION("""COMPUTED_VALUE"""),45359)</f>
        <v>45359</v>
      </c>
      <c r="K260" s="8" t="str">
        <f ca="1">IFERROR(__xludf.DUMMYFUNCTION("""COMPUTED_VALUE"""),"AM")</f>
        <v>AM</v>
      </c>
      <c r="L260" s="11" t="str">
        <f ca="1">IFERROR(__xludf.DUMMYFUNCTION("""COMPUTED_VALUE"""),"8th Grade")</f>
        <v>8th Grade</v>
      </c>
      <c r="M260" s="8" t="str">
        <f ca="1">IFERROR(__xludf.DUMMYFUNCTION("""COMPUTED_VALUE"""),"Art of Thinking")</f>
        <v>Art of Thinking</v>
      </c>
      <c r="N260" s="8">
        <f ca="1">IFERROR(__xludf.DUMMYFUNCTION("""COMPUTED_VALUE"""),6.5)</f>
        <v>6.5</v>
      </c>
      <c r="O260" s="8" t="str">
        <f ca="1">IFERROR(__xludf.DUMMYFUNCTION("""COMPUTED_VALUE"""),"Proficient I")</f>
        <v>Proficient I</v>
      </c>
      <c r="P260" s="8">
        <f ca="1">IFERROR(__xludf.DUMMYFUNCTION("""COMPUTED_VALUE"""),1)</f>
        <v>1</v>
      </c>
      <c r="Q260" s="8">
        <f ca="1">IFERROR(__xludf.DUMMYFUNCTION("""COMPUTED_VALUE"""),2)</f>
        <v>2</v>
      </c>
      <c r="R260" s="8">
        <f ca="1">IFERROR(__xludf.DUMMYFUNCTION("""COMPUTED_VALUE"""),2)</f>
        <v>2</v>
      </c>
      <c r="S260" s="8">
        <f ca="1">IFERROR(__xludf.DUMMYFUNCTION("""COMPUTED_VALUE"""),1.5)</f>
        <v>1.5</v>
      </c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</row>
    <row r="261" spans="1:31" ht="13.15" x14ac:dyDescent="0.4">
      <c r="A261" s="8"/>
      <c r="B261" s="8"/>
      <c r="C261" s="8"/>
      <c r="D261" s="8"/>
      <c r="E261" s="8" t="str">
        <f ca="1">IFERROR(__xludf.DUMMYFUNCTION("""COMPUTED_VALUE"""),"SMITH")</f>
        <v>SMITH</v>
      </c>
      <c r="F261" s="8" t="str">
        <f ca="1">IFERROR(__xludf.DUMMYFUNCTION("""COMPUTED_VALUE"""),"Core Subject With LSAE")</f>
        <v>Core Subject With LSAE</v>
      </c>
      <c r="G261" s="8" t="str">
        <f ca="1">IFERROR(__xludf.DUMMYFUNCTION("""COMPUTED_VALUE"""),"Christina Goss")</f>
        <v>Christina Goss</v>
      </c>
      <c r="H261" s="8" t="str">
        <f ca="1">IFERROR(__xludf.DUMMYFUNCTION("""COMPUTED_VALUE"""),"Loretta Mack")</f>
        <v>Loretta Mack</v>
      </c>
      <c r="I261" s="9">
        <f ca="1">IFERROR(__xludf.DUMMYFUNCTION("""COMPUTED_VALUE"""),45357)</f>
        <v>45357</v>
      </c>
      <c r="J261" s="9"/>
      <c r="K261" s="8" t="str">
        <f ca="1">IFERROR(__xludf.DUMMYFUNCTION("""COMPUTED_VALUE"""),"PM")</f>
        <v>PM</v>
      </c>
      <c r="L261" s="11" t="str">
        <f ca="1">IFERROR(__xludf.DUMMYFUNCTION("""COMPUTED_VALUE"""),"8th Grade")</f>
        <v>8th Grade</v>
      </c>
      <c r="M261" s="8" t="str">
        <f ca="1">IFERROR(__xludf.DUMMYFUNCTION("""COMPUTED_VALUE"""),"Math")</f>
        <v>Math</v>
      </c>
      <c r="N261" s="8">
        <f ca="1">IFERROR(__xludf.DUMMYFUNCTION("""COMPUTED_VALUE"""),5)</f>
        <v>5</v>
      </c>
      <c r="O261" s="8" t="str">
        <f ca="1">IFERROR(__xludf.DUMMYFUNCTION("""COMPUTED_VALUE"""),"Progressing")</f>
        <v>Progressing</v>
      </c>
      <c r="P261" s="8">
        <f ca="1">IFERROR(__xludf.DUMMYFUNCTION("""COMPUTED_VALUE"""),1)</f>
        <v>1</v>
      </c>
      <c r="Q261" s="8">
        <f ca="1">IFERROR(__xludf.DUMMYFUNCTION("""COMPUTED_VALUE"""),1.5)</f>
        <v>1.5</v>
      </c>
      <c r="R261" s="8">
        <f ca="1">IFERROR(__xludf.DUMMYFUNCTION("""COMPUTED_VALUE"""),1.5)</f>
        <v>1.5</v>
      </c>
      <c r="S261" s="8">
        <f ca="1">IFERROR(__xludf.DUMMYFUNCTION("""COMPUTED_VALUE"""),1)</f>
        <v>1</v>
      </c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</row>
    <row r="262" spans="1:31" ht="13.15" x14ac:dyDescent="0.4">
      <c r="A262" s="8"/>
      <c r="B262" s="8"/>
      <c r="C262" s="8"/>
      <c r="D262" s="8"/>
      <c r="E262" s="8" t="str">
        <f ca="1">IFERROR(__xludf.DUMMYFUNCTION("""COMPUTED_VALUE"""),"SMITH")</f>
        <v>SMITH</v>
      </c>
      <c r="F262" s="8" t="str">
        <f ca="1">IFERROR(__xludf.DUMMYFUNCTION("""COMPUTED_VALUE"""),"Core Subject No LSAE")</f>
        <v>Core Subject No LSAE</v>
      </c>
      <c r="G262" s="8" t="str">
        <f ca="1">IFERROR(__xludf.DUMMYFUNCTION("""COMPUTED_VALUE"""),"Eric Brooks")</f>
        <v>Eric Brooks</v>
      </c>
      <c r="H262" s="8" t="str">
        <f ca="1">IFERROR(__xludf.DUMMYFUNCTION("""COMPUTED_VALUE"""),"Loretta Mack")</f>
        <v>Loretta Mack</v>
      </c>
      <c r="I262" s="9">
        <f ca="1">IFERROR(__xludf.DUMMYFUNCTION("""COMPUTED_VALUE"""),45358)</f>
        <v>45358</v>
      </c>
      <c r="J262" s="9">
        <f ca="1">IFERROR(__xludf.DUMMYFUNCTION("""COMPUTED_VALUE"""),45358)</f>
        <v>45358</v>
      </c>
      <c r="K262" s="8" t="str">
        <f ca="1">IFERROR(__xludf.DUMMYFUNCTION("""COMPUTED_VALUE"""),"AM")</f>
        <v>AM</v>
      </c>
      <c r="L262" s="11" t="str">
        <f ca="1">IFERROR(__xludf.DUMMYFUNCTION("""COMPUTED_VALUE"""),"6th Grade")</f>
        <v>6th Grade</v>
      </c>
      <c r="M262" s="8" t="str">
        <f ca="1">IFERROR(__xludf.DUMMYFUNCTION("""COMPUTED_VALUE"""),"ELA")</f>
        <v>ELA</v>
      </c>
      <c r="N262" s="8">
        <f ca="1">IFERROR(__xludf.DUMMYFUNCTION("""COMPUTED_VALUE"""),5)</f>
        <v>5</v>
      </c>
      <c r="O262" s="8" t="str">
        <f ca="1">IFERROR(__xludf.DUMMYFUNCTION("""COMPUTED_VALUE"""),"Progressing")</f>
        <v>Progressing</v>
      </c>
      <c r="P262" s="8">
        <f ca="1">IFERROR(__xludf.DUMMYFUNCTION("""COMPUTED_VALUE"""),2)</f>
        <v>2</v>
      </c>
      <c r="Q262" s="8">
        <f ca="1">IFERROR(__xludf.DUMMYFUNCTION("""COMPUTED_VALUE"""),1.5)</f>
        <v>1.5</v>
      </c>
      <c r="R262" s="8">
        <f ca="1">IFERROR(__xludf.DUMMYFUNCTION("""COMPUTED_VALUE"""),1.5)</f>
        <v>1.5</v>
      </c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</row>
    <row r="263" spans="1:31" ht="13.15" x14ac:dyDescent="0.4">
      <c r="A263" s="8"/>
      <c r="B263" s="8"/>
      <c r="C263" s="8"/>
      <c r="D263" s="8"/>
      <c r="E263" s="8" t="str">
        <f ca="1">IFERROR(__xludf.DUMMYFUNCTION("""COMPUTED_VALUE"""),"SMITH")</f>
        <v>SMITH</v>
      </c>
      <c r="F263" s="8" t="str">
        <f ca="1">IFERROR(__xludf.DUMMYFUNCTION("""COMPUTED_VALUE"""),"Electives")</f>
        <v>Electives</v>
      </c>
      <c r="G263" s="8" t="str">
        <f ca="1">IFERROR(__xludf.DUMMYFUNCTION("""COMPUTED_VALUE"""),"Malena Washington")</f>
        <v>Malena Washington</v>
      </c>
      <c r="H263" s="8" t="str">
        <f ca="1">IFERROR(__xludf.DUMMYFUNCTION("""COMPUTED_VALUE"""),"Loretta Mack")</f>
        <v>Loretta Mack</v>
      </c>
      <c r="I263" s="9">
        <f ca="1">IFERROR(__xludf.DUMMYFUNCTION("""COMPUTED_VALUE"""),45358)</f>
        <v>45358</v>
      </c>
      <c r="J263" s="9"/>
      <c r="K263" s="8" t="str">
        <f ca="1">IFERROR(__xludf.DUMMYFUNCTION("""COMPUTED_VALUE"""),"AM")</f>
        <v>AM</v>
      </c>
      <c r="L263" s="8" t="str">
        <f ca="1">IFERROR(__xludf.DUMMYFUNCTION("""COMPUTED_VALUE"""),"7th Grade")</f>
        <v>7th Grade</v>
      </c>
      <c r="M263" s="8" t="str">
        <f ca="1">IFERROR(__xludf.DUMMYFUNCTION("""COMPUTED_VALUE"""),"P.E.")</f>
        <v>P.E.</v>
      </c>
      <c r="N263" s="8">
        <f ca="1">IFERROR(__xludf.DUMMYFUNCTION("""COMPUTED_VALUE"""),6)</f>
        <v>6</v>
      </c>
      <c r="O263" s="8" t="str">
        <f ca="1">IFERROR(__xludf.DUMMYFUNCTION("""COMPUTED_VALUE"""),"Proficient I")</f>
        <v>Proficient I</v>
      </c>
      <c r="P263" s="8">
        <f ca="1">IFERROR(__xludf.DUMMYFUNCTION("""COMPUTED_VALUE"""),2)</f>
        <v>2</v>
      </c>
      <c r="Q263" s="8">
        <f ca="1">IFERROR(__xludf.DUMMYFUNCTION("""COMPUTED_VALUE"""),2)</f>
        <v>2</v>
      </c>
      <c r="R263" s="8">
        <f ca="1">IFERROR(__xludf.DUMMYFUNCTION("""COMPUTED_VALUE"""),2)</f>
        <v>2</v>
      </c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</row>
    <row r="264" spans="1:31" ht="13.15" x14ac:dyDescent="0.4">
      <c r="A264" s="8"/>
      <c r="B264" s="8"/>
      <c r="C264" s="8"/>
      <c r="D264" s="8"/>
      <c r="E264" s="8" t="str">
        <f ca="1">IFERROR(__xludf.DUMMYFUNCTION("""COMPUTED_VALUE"""),"SMITH")</f>
        <v>SMITH</v>
      </c>
      <c r="F264" s="8" t="str">
        <f ca="1">IFERROR(__xludf.DUMMYFUNCTION("""COMPUTED_VALUE"""),"Core Subject With LSAE")</f>
        <v>Core Subject With LSAE</v>
      </c>
      <c r="G264" s="8" t="str">
        <f ca="1">IFERROR(__xludf.DUMMYFUNCTION("""COMPUTED_VALUE"""),"Shamika Fifer")</f>
        <v>Shamika Fifer</v>
      </c>
      <c r="H264" s="8" t="str">
        <f ca="1">IFERROR(__xludf.DUMMYFUNCTION("""COMPUTED_VALUE"""),"Loretta Mack")</f>
        <v>Loretta Mack</v>
      </c>
      <c r="I264" s="9">
        <f ca="1">IFERROR(__xludf.DUMMYFUNCTION("""COMPUTED_VALUE"""),45359)</f>
        <v>45359</v>
      </c>
      <c r="J264" s="9"/>
      <c r="K264" s="8" t="str">
        <f ca="1">IFERROR(__xludf.DUMMYFUNCTION("""COMPUTED_VALUE"""),"PM")</f>
        <v>PM</v>
      </c>
      <c r="L264" s="8" t="str">
        <f ca="1">IFERROR(__xludf.DUMMYFUNCTION("""COMPUTED_VALUE"""),"6th Grade")</f>
        <v>6th Grade</v>
      </c>
      <c r="M264" s="8" t="str">
        <f ca="1">IFERROR(__xludf.DUMMYFUNCTION("""COMPUTED_VALUE"""),"Math")</f>
        <v>Math</v>
      </c>
      <c r="N264" s="8">
        <f ca="1">IFERROR(__xludf.DUMMYFUNCTION("""COMPUTED_VALUE"""),6)</f>
        <v>6</v>
      </c>
      <c r="O264" s="8" t="str">
        <f ca="1">IFERROR(__xludf.DUMMYFUNCTION("""COMPUTED_VALUE"""),"Proficient I")</f>
        <v>Proficient I</v>
      </c>
      <c r="P264" s="8">
        <f ca="1">IFERROR(__xludf.DUMMYFUNCTION("""COMPUTED_VALUE"""),1)</f>
        <v>1</v>
      </c>
      <c r="Q264" s="8">
        <f ca="1">IFERROR(__xludf.DUMMYFUNCTION("""COMPUTED_VALUE"""),1.5)</f>
        <v>1.5</v>
      </c>
      <c r="R264" s="8">
        <f ca="1">IFERROR(__xludf.DUMMYFUNCTION("""COMPUTED_VALUE"""),2)</f>
        <v>2</v>
      </c>
      <c r="S264" s="8">
        <f ca="1">IFERROR(__xludf.DUMMYFUNCTION("""COMPUTED_VALUE"""),1.5)</f>
        <v>1.5</v>
      </c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</row>
    <row r="265" spans="1:31" ht="13.15" x14ac:dyDescent="0.4">
      <c r="A265" s="8"/>
      <c r="B265" s="8"/>
      <c r="C265" s="8"/>
      <c r="D265" s="8"/>
      <c r="E265" s="8" t="str">
        <f ca="1">IFERROR(__xludf.DUMMYFUNCTION("""COMPUTED_VALUE"""),"SMITH")</f>
        <v>SMITH</v>
      </c>
      <c r="F265" s="8" t="str">
        <f ca="1">IFERROR(__xludf.DUMMYFUNCTION("""COMPUTED_VALUE"""),"Core Subject With LSAE")</f>
        <v>Core Subject With LSAE</v>
      </c>
      <c r="G265" s="8" t="str">
        <f ca="1">IFERROR(__xludf.DUMMYFUNCTION("""COMPUTED_VALUE"""),"Ashley Samuel")</f>
        <v>Ashley Samuel</v>
      </c>
      <c r="H265" s="8" t="str">
        <f ca="1">IFERROR(__xludf.DUMMYFUNCTION("""COMPUTED_VALUE"""),"Pamela Kemajou")</f>
        <v>Pamela Kemajou</v>
      </c>
      <c r="I265" s="9">
        <f ca="1">IFERROR(__xludf.DUMMYFUNCTION("""COMPUTED_VALUE"""),45355)</f>
        <v>45355</v>
      </c>
      <c r="J265" s="9">
        <f ca="1">IFERROR(__xludf.DUMMYFUNCTION("""COMPUTED_VALUE"""),45357)</f>
        <v>45357</v>
      </c>
      <c r="K265" s="8" t="str">
        <f ca="1">IFERROR(__xludf.DUMMYFUNCTION("""COMPUTED_VALUE"""),"PM")</f>
        <v>PM</v>
      </c>
      <c r="L265" s="8" t="str">
        <f ca="1">IFERROR(__xludf.DUMMYFUNCTION("""COMPUTED_VALUE"""),"8th Grade")</f>
        <v>8th Grade</v>
      </c>
      <c r="M265" s="8" t="str">
        <f ca="1">IFERROR(__xludf.DUMMYFUNCTION("""COMPUTED_VALUE"""),"Art of Thinking")</f>
        <v>Art of Thinking</v>
      </c>
      <c r="N265" s="8">
        <f ca="1">IFERROR(__xludf.DUMMYFUNCTION("""COMPUTED_VALUE"""),6.5)</f>
        <v>6.5</v>
      </c>
      <c r="O265" s="8" t="str">
        <f ca="1">IFERROR(__xludf.DUMMYFUNCTION("""COMPUTED_VALUE"""),"Proficient I")</f>
        <v>Proficient I</v>
      </c>
      <c r="P265" s="8">
        <f ca="1">IFERROR(__xludf.DUMMYFUNCTION("""COMPUTED_VALUE"""),1)</f>
        <v>1</v>
      </c>
      <c r="Q265" s="8">
        <f ca="1">IFERROR(__xludf.DUMMYFUNCTION("""COMPUTED_VALUE"""),2)</f>
        <v>2</v>
      </c>
      <c r="R265" s="8">
        <f ca="1">IFERROR(__xludf.DUMMYFUNCTION("""COMPUTED_VALUE"""),1.5)</f>
        <v>1.5</v>
      </c>
      <c r="S265" s="8">
        <f ca="1">IFERROR(__xludf.DUMMYFUNCTION("""COMPUTED_VALUE"""),2)</f>
        <v>2</v>
      </c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</row>
    <row r="266" spans="1:31" ht="13.15" x14ac:dyDescent="0.4">
      <c r="A266" s="8"/>
      <c r="B266" s="8"/>
      <c r="C266" s="8"/>
      <c r="D266" s="8"/>
      <c r="E266" s="8" t="str">
        <f ca="1">IFERROR(__xludf.DUMMYFUNCTION("""COMPUTED_VALUE"""),"SMITH")</f>
        <v>SMITH</v>
      </c>
      <c r="F266" s="8" t="str">
        <f ca="1">IFERROR(__xludf.DUMMYFUNCTION("""COMPUTED_VALUE"""),"Core Subject With LSAE")</f>
        <v>Core Subject With LSAE</v>
      </c>
      <c r="G266" s="8" t="str">
        <f ca="1">IFERROR(__xludf.DUMMYFUNCTION("""COMPUTED_VALUE"""),"Mysheka Bill")</f>
        <v>Mysheka Bill</v>
      </c>
      <c r="H266" s="8" t="str">
        <f ca="1">IFERROR(__xludf.DUMMYFUNCTION("""COMPUTED_VALUE"""),"Pamela Kemajou")</f>
        <v>Pamela Kemajou</v>
      </c>
      <c r="I266" s="9">
        <f ca="1">IFERROR(__xludf.DUMMYFUNCTION("""COMPUTED_VALUE"""),45356)</f>
        <v>45356</v>
      </c>
      <c r="J266" s="9">
        <f ca="1">IFERROR(__xludf.DUMMYFUNCTION("""COMPUTED_VALUE"""),45357)</f>
        <v>45357</v>
      </c>
      <c r="K266" s="8" t="str">
        <f ca="1">IFERROR(__xludf.DUMMYFUNCTION("""COMPUTED_VALUE"""),"AM")</f>
        <v>AM</v>
      </c>
      <c r="L266" s="8" t="str">
        <f ca="1">IFERROR(__xludf.DUMMYFUNCTION("""COMPUTED_VALUE"""),"8th Grade")</f>
        <v>8th Grade</v>
      </c>
      <c r="M266" s="8" t="str">
        <f ca="1">IFERROR(__xludf.DUMMYFUNCTION("""COMPUTED_VALUE"""),"Science")</f>
        <v>Science</v>
      </c>
      <c r="N266" s="8">
        <f ca="1">IFERROR(__xludf.DUMMYFUNCTION("""COMPUTED_VALUE"""),7.5)</f>
        <v>7.5</v>
      </c>
      <c r="O266" s="8" t="str">
        <f ca="1">IFERROR(__xludf.DUMMYFUNCTION("""COMPUTED_VALUE"""),"Proficient I")</f>
        <v>Proficient I</v>
      </c>
      <c r="P266" s="8">
        <f ca="1">IFERROR(__xludf.DUMMYFUNCTION("""COMPUTED_VALUE"""),1)</f>
        <v>1</v>
      </c>
      <c r="Q266" s="8">
        <f ca="1">IFERROR(__xludf.DUMMYFUNCTION("""COMPUTED_VALUE"""),2.5)</f>
        <v>2.5</v>
      </c>
      <c r="R266" s="8">
        <f ca="1">IFERROR(__xludf.DUMMYFUNCTION("""COMPUTED_VALUE"""),2.5)</f>
        <v>2.5</v>
      </c>
      <c r="S266" s="8">
        <f ca="1">IFERROR(__xludf.DUMMYFUNCTION("""COMPUTED_VALUE"""),1.5)</f>
        <v>1.5</v>
      </c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</row>
    <row r="267" spans="1:31" ht="13.15" x14ac:dyDescent="0.4">
      <c r="A267" s="8"/>
      <c r="B267" s="8"/>
      <c r="C267" s="8"/>
      <c r="D267" s="8"/>
      <c r="E267" s="8" t="str">
        <f ca="1">IFERROR(__xludf.DUMMYFUNCTION("""COMPUTED_VALUE"""),"SMITH")</f>
        <v>SMITH</v>
      </c>
      <c r="F267" s="8" t="str">
        <f ca="1">IFERROR(__xludf.DUMMYFUNCTION("""COMPUTED_VALUE"""),"Core Subject With LSAE")</f>
        <v>Core Subject With LSAE</v>
      </c>
      <c r="G267" s="8" t="str">
        <f ca="1">IFERROR(__xludf.DUMMYFUNCTION("""COMPUTED_VALUE"""),"Amonique Warren")</f>
        <v>Amonique Warren</v>
      </c>
      <c r="H267" s="8" t="str">
        <f ca="1">IFERROR(__xludf.DUMMYFUNCTION("""COMPUTED_VALUE"""),"Pamela Kemajou")</f>
        <v>Pamela Kemajou</v>
      </c>
      <c r="I267" s="9">
        <f ca="1">IFERROR(__xludf.DUMMYFUNCTION("""COMPUTED_VALUE"""),45356)</f>
        <v>45356</v>
      </c>
      <c r="J267" s="9"/>
      <c r="K267" s="8" t="str">
        <f ca="1">IFERROR(__xludf.DUMMYFUNCTION("""COMPUTED_VALUE"""),"AM")</f>
        <v>AM</v>
      </c>
      <c r="L267" s="8" t="str">
        <f ca="1">IFERROR(__xludf.DUMMYFUNCTION("""COMPUTED_VALUE"""),"8th Grade")</f>
        <v>8th Grade</v>
      </c>
      <c r="M267" s="8" t="str">
        <f ca="1">IFERROR(__xludf.DUMMYFUNCTION("""COMPUTED_VALUE"""),"Social Studies")</f>
        <v>Social Studies</v>
      </c>
      <c r="N267" s="8">
        <f ca="1">IFERROR(__xludf.DUMMYFUNCTION("""COMPUTED_VALUE"""),7)</f>
        <v>7</v>
      </c>
      <c r="O267" s="8" t="str">
        <f ca="1">IFERROR(__xludf.DUMMYFUNCTION("""COMPUTED_VALUE"""),"Proficient I")</f>
        <v>Proficient I</v>
      </c>
      <c r="P267" s="8">
        <f ca="1">IFERROR(__xludf.DUMMYFUNCTION("""COMPUTED_VALUE"""),1)</f>
        <v>1</v>
      </c>
      <c r="Q267" s="8">
        <f ca="1">IFERROR(__xludf.DUMMYFUNCTION("""COMPUTED_VALUE"""),2)</f>
        <v>2</v>
      </c>
      <c r="R267" s="8">
        <f ca="1">IFERROR(__xludf.DUMMYFUNCTION("""COMPUTED_VALUE"""),2.5)</f>
        <v>2.5</v>
      </c>
      <c r="S267" s="8">
        <f ca="1">IFERROR(__xludf.DUMMYFUNCTION("""COMPUTED_VALUE"""),1.5)</f>
        <v>1.5</v>
      </c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</row>
    <row r="268" spans="1:31" ht="13.15" x14ac:dyDescent="0.4">
      <c r="A268" s="8"/>
      <c r="B268" s="8"/>
      <c r="C268" s="8"/>
      <c r="D268" s="8"/>
      <c r="E268" s="8" t="str">
        <f ca="1">IFERROR(__xludf.DUMMYFUNCTION("""COMPUTED_VALUE"""),"SMITH")</f>
        <v>SMITH</v>
      </c>
      <c r="F268" s="8" t="str">
        <f ca="1">IFERROR(__xludf.DUMMYFUNCTION("""COMPUTED_VALUE"""),"SSN/Life Skills")</f>
        <v>SSN/Life Skills</v>
      </c>
      <c r="G268" s="8" t="str">
        <f ca="1">IFERROR(__xludf.DUMMYFUNCTION("""COMPUTED_VALUE"""),"Wilford Scypion")</f>
        <v>Wilford Scypion</v>
      </c>
      <c r="H268" s="8" t="str">
        <f ca="1">IFERROR(__xludf.DUMMYFUNCTION("""COMPUTED_VALUE"""),"Pamela Kemajou")</f>
        <v>Pamela Kemajou</v>
      </c>
      <c r="I268" s="9">
        <f ca="1">IFERROR(__xludf.DUMMYFUNCTION("""COMPUTED_VALUE"""),45356)</f>
        <v>45356</v>
      </c>
      <c r="J268" s="9">
        <f ca="1">IFERROR(__xludf.DUMMYFUNCTION("""COMPUTED_VALUE"""),45356)</f>
        <v>45356</v>
      </c>
      <c r="K268" s="8" t="str">
        <f ca="1">IFERROR(__xludf.DUMMYFUNCTION("""COMPUTED_VALUE"""),"AM")</f>
        <v>AM</v>
      </c>
      <c r="L268" s="8" t="str">
        <f ca="1">IFERROR(__xludf.DUMMYFUNCTION("""COMPUTED_VALUE"""),"8th Grade")</f>
        <v>8th Grade</v>
      </c>
      <c r="M268" s="8"/>
      <c r="N268" s="8">
        <f ca="1">IFERROR(__xludf.DUMMYFUNCTION("""COMPUTED_VALUE"""),4.5)</f>
        <v>4.5</v>
      </c>
      <c r="O268" s="8" t="str">
        <f ca="1">IFERROR(__xludf.DUMMYFUNCTION("""COMPUTED_VALUE"""),"Progressing")</f>
        <v>Progressing</v>
      </c>
      <c r="P268" s="8">
        <f ca="1">IFERROR(__xludf.DUMMYFUNCTION("""COMPUTED_VALUE"""),1)</f>
        <v>1</v>
      </c>
      <c r="Q268" s="8">
        <f ca="1">IFERROR(__xludf.DUMMYFUNCTION("""COMPUTED_VALUE"""),1.5)</f>
        <v>1.5</v>
      </c>
      <c r="R268" s="8">
        <f ca="1">IFERROR(__xludf.DUMMYFUNCTION("""COMPUTED_VALUE"""),0)</f>
        <v>0</v>
      </c>
      <c r="S268" s="8">
        <f ca="1">IFERROR(__xludf.DUMMYFUNCTION("""COMPUTED_VALUE"""),2)</f>
        <v>2</v>
      </c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</row>
    <row r="269" spans="1:31" ht="13.15" x14ac:dyDescent="0.4">
      <c r="A269" s="8"/>
      <c r="B269" s="8"/>
      <c r="C269" s="8"/>
      <c r="D269" s="8"/>
      <c r="E269" s="8" t="str">
        <f ca="1">IFERROR(__xludf.DUMMYFUNCTION("""COMPUTED_VALUE"""),"SMITH")</f>
        <v>SMITH</v>
      </c>
      <c r="F269" s="8" t="str">
        <f ca="1">IFERROR(__xludf.DUMMYFUNCTION("""COMPUTED_VALUE"""),"Teacher Apprentice")</f>
        <v>Teacher Apprentice</v>
      </c>
      <c r="G269" s="8" t="str">
        <f ca="1">IFERROR(__xludf.DUMMYFUNCTION("""COMPUTED_VALUE"""),"Tamesa Calloway")</f>
        <v>Tamesa Calloway</v>
      </c>
      <c r="H269" s="8" t="str">
        <f ca="1">IFERROR(__xludf.DUMMYFUNCTION("""COMPUTED_VALUE"""),"Pamela Kemajou")</f>
        <v>Pamela Kemajou</v>
      </c>
      <c r="I269" s="9">
        <f ca="1">IFERROR(__xludf.DUMMYFUNCTION("""COMPUTED_VALUE"""),45356)</f>
        <v>45356</v>
      </c>
      <c r="J269" s="9"/>
      <c r="K269" s="8" t="str">
        <f ca="1">IFERROR(__xludf.DUMMYFUNCTION("""COMPUTED_VALUE"""),"AM")</f>
        <v>AM</v>
      </c>
      <c r="L269" s="8" t="str">
        <f ca="1">IFERROR(__xludf.DUMMYFUNCTION("""COMPUTED_VALUE"""),"8th Grade")</f>
        <v>8th Grade</v>
      </c>
      <c r="M269" s="8" t="str">
        <f ca="1">IFERROR(__xludf.DUMMYFUNCTION("""COMPUTED_VALUE"""),"ELA")</f>
        <v>ELA</v>
      </c>
      <c r="N269" s="8">
        <f ca="1">IFERROR(__xludf.DUMMYFUNCTION("""COMPUTED_VALUE"""),6)</f>
        <v>6</v>
      </c>
      <c r="O269" s="8" t="str">
        <f ca="1">IFERROR(__xludf.DUMMYFUNCTION("""COMPUTED_VALUE"""),"Proficient I")</f>
        <v>Proficient I</v>
      </c>
      <c r="P269" s="8">
        <f ca="1">IFERROR(__xludf.DUMMYFUNCTION("""COMPUTED_VALUE"""),1)</f>
        <v>1</v>
      </c>
      <c r="Q269" s="8">
        <f ca="1">IFERROR(__xludf.DUMMYFUNCTION("""COMPUTED_VALUE"""),1.5)</f>
        <v>1.5</v>
      </c>
      <c r="R269" s="8">
        <f ca="1">IFERROR(__xludf.DUMMYFUNCTION("""COMPUTED_VALUE"""),1.5)</f>
        <v>1.5</v>
      </c>
      <c r="S269" s="8">
        <f ca="1">IFERROR(__xludf.DUMMYFUNCTION("""COMPUTED_VALUE"""),2)</f>
        <v>2</v>
      </c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</row>
    <row r="270" spans="1:31" ht="13.15" x14ac:dyDescent="0.4">
      <c r="A270" s="8"/>
      <c r="B270" s="8"/>
      <c r="C270" s="8"/>
      <c r="D270" s="8"/>
      <c r="E270" s="8" t="str">
        <f ca="1">IFERROR(__xludf.DUMMYFUNCTION("""COMPUTED_VALUE"""),"SMITH")</f>
        <v>SMITH</v>
      </c>
      <c r="F270" s="8" t="str">
        <f ca="1">IFERROR(__xludf.DUMMYFUNCTION("""COMPUTED_VALUE"""),"Core Subject With LSAE")</f>
        <v>Core Subject With LSAE</v>
      </c>
      <c r="G270" s="8" t="str">
        <f ca="1">IFERROR(__xludf.DUMMYFUNCTION("""COMPUTED_VALUE"""),"Jeremy Cooper")</f>
        <v>Jeremy Cooper</v>
      </c>
      <c r="H270" s="8" t="str">
        <f ca="1">IFERROR(__xludf.DUMMYFUNCTION("""COMPUTED_VALUE"""),"Pamela Kemajou")</f>
        <v>Pamela Kemajou</v>
      </c>
      <c r="I270" s="9">
        <f ca="1">IFERROR(__xludf.DUMMYFUNCTION("""COMPUTED_VALUE"""),45357)</f>
        <v>45357</v>
      </c>
      <c r="J270" s="9">
        <f ca="1">IFERROR(__xludf.DUMMYFUNCTION("""COMPUTED_VALUE"""),45357)</f>
        <v>45357</v>
      </c>
      <c r="K270" s="8" t="str">
        <f ca="1">IFERROR(__xludf.DUMMYFUNCTION("""COMPUTED_VALUE"""),"AM")</f>
        <v>AM</v>
      </c>
      <c r="L270" s="8" t="str">
        <f ca="1">IFERROR(__xludf.DUMMYFUNCTION("""COMPUTED_VALUE"""),"8th Grade")</f>
        <v>8th Grade</v>
      </c>
      <c r="M270" s="8" t="str">
        <f ca="1">IFERROR(__xludf.DUMMYFUNCTION("""COMPUTED_VALUE"""),"ELA")</f>
        <v>ELA</v>
      </c>
      <c r="N270" s="8">
        <f ca="1">IFERROR(__xludf.DUMMYFUNCTION("""COMPUTED_VALUE"""),5.5)</f>
        <v>5.5</v>
      </c>
      <c r="O270" s="8" t="str">
        <f ca="1">IFERROR(__xludf.DUMMYFUNCTION("""COMPUTED_VALUE"""),"Progressing")</f>
        <v>Progressing</v>
      </c>
      <c r="P270" s="8">
        <f ca="1">IFERROR(__xludf.DUMMYFUNCTION("""COMPUTED_VALUE"""),1)</f>
        <v>1</v>
      </c>
      <c r="Q270" s="8">
        <f ca="1">IFERROR(__xludf.DUMMYFUNCTION("""COMPUTED_VALUE"""),1.5)</f>
        <v>1.5</v>
      </c>
      <c r="R270" s="8">
        <f ca="1">IFERROR(__xludf.DUMMYFUNCTION("""COMPUTED_VALUE"""),1.5)</f>
        <v>1.5</v>
      </c>
      <c r="S270" s="8">
        <f ca="1">IFERROR(__xludf.DUMMYFUNCTION("""COMPUTED_VALUE"""),1.5)</f>
        <v>1.5</v>
      </c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</row>
    <row r="271" spans="1:31" ht="13.15" x14ac:dyDescent="0.4">
      <c r="A271" s="8"/>
      <c r="B271" s="8"/>
      <c r="C271" s="8"/>
      <c r="D271" s="8"/>
      <c r="E271" s="8" t="str">
        <f ca="1">IFERROR(__xludf.DUMMYFUNCTION("""COMPUTED_VALUE"""),"SMITH")</f>
        <v>SMITH</v>
      </c>
      <c r="F271" s="8" t="str">
        <f ca="1">IFERROR(__xludf.DUMMYFUNCTION("""COMPUTED_VALUE"""),"Core Subject With LSAE")</f>
        <v>Core Subject With LSAE</v>
      </c>
      <c r="G271" s="8" t="str">
        <f ca="1">IFERROR(__xludf.DUMMYFUNCTION("""COMPUTED_VALUE"""),"Jasmine Tucker")</f>
        <v>Jasmine Tucker</v>
      </c>
      <c r="H271" s="8" t="str">
        <f ca="1">IFERROR(__xludf.DUMMYFUNCTION("""COMPUTED_VALUE"""),"Pamela Kemajou")</f>
        <v>Pamela Kemajou</v>
      </c>
      <c r="I271" s="9">
        <f ca="1">IFERROR(__xludf.DUMMYFUNCTION("""COMPUTED_VALUE"""),45358)</f>
        <v>45358</v>
      </c>
      <c r="J271" s="9"/>
      <c r="K271" s="8" t="str">
        <f ca="1">IFERROR(__xludf.DUMMYFUNCTION("""COMPUTED_VALUE"""),"AM")</f>
        <v>AM</v>
      </c>
      <c r="L271" s="8" t="str">
        <f ca="1">IFERROR(__xludf.DUMMYFUNCTION("""COMPUTED_VALUE"""),"8th Grade")</f>
        <v>8th Grade</v>
      </c>
      <c r="M271" s="8" t="str">
        <f ca="1">IFERROR(__xludf.DUMMYFUNCTION("""COMPUTED_VALUE"""),"Math")</f>
        <v>Math</v>
      </c>
      <c r="N271" s="8">
        <f ca="1">IFERROR(__xludf.DUMMYFUNCTION("""COMPUTED_VALUE"""),5.5)</f>
        <v>5.5</v>
      </c>
      <c r="O271" s="8" t="str">
        <f ca="1">IFERROR(__xludf.DUMMYFUNCTION("""COMPUTED_VALUE"""),"Progressing")</f>
        <v>Progressing</v>
      </c>
      <c r="P271" s="8">
        <f ca="1">IFERROR(__xludf.DUMMYFUNCTION("""COMPUTED_VALUE"""),1)</f>
        <v>1</v>
      </c>
      <c r="Q271" s="8">
        <f ca="1">IFERROR(__xludf.DUMMYFUNCTION("""COMPUTED_VALUE"""),1.5)</f>
        <v>1.5</v>
      </c>
      <c r="R271" s="8">
        <f ca="1">IFERROR(__xludf.DUMMYFUNCTION("""COMPUTED_VALUE"""),1.5)</f>
        <v>1.5</v>
      </c>
      <c r="S271" s="8">
        <f ca="1">IFERROR(__xludf.DUMMYFUNCTION("""COMPUTED_VALUE"""),1.5)</f>
        <v>1.5</v>
      </c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</row>
    <row r="272" spans="1:31" ht="13.15" x14ac:dyDescent="0.4">
      <c r="A272" s="8"/>
      <c r="B272" s="8"/>
      <c r="C272" s="8"/>
      <c r="D272" s="8"/>
      <c r="E272" s="8" t="str">
        <f ca="1">IFERROR(__xludf.DUMMYFUNCTION("""COMPUTED_VALUE"""),"SMITH")</f>
        <v>SMITH</v>
      </c>
      <c r="F272" s="8" t="str">
        <f ca="1">IFERROR(__xludf.DUMMYFUNCTION("""COMPUTED_VALUE"""),"Core Subject With LSAE")</f>
        <v>Core Subject With LSAE</v>
      </c>
      <c r="G272" s="8" t="str">
        <f ca="1">IFERROR(__xludf.DUMMYFUNCTION("""COMPUTED_VALUE"""),"Nautica Richard")</f>
        <v>Nautica Richard</v>
      </c>
      <c r="H272" s="8" t="str">
        <f ca="1">IFERROR(__xludf.DUMMYFUNCTION("""COMPUTED_VALUE"""),"Pamela Kemajou")</f>
        <v>Pamela Kemajou</v>
      </c>
      <c r="I272" s="9">
        <f ca="1">IFERROR(__xludf.DUMMYFUNCTION("""COMPUTED_VALUE"""),45358)</f>
        <v>45358</v>
      </c>
      <c r="J272" s="9"/>
      <c r="K272" s="8" t="str">
        <f ca="1">IFERROR(__xludf.DUMMYFUNCTION("""COMPUTED_VALUE"""),"PM")</f>
        <v>PM</v>
      </c>
      <c r="L272" s="11" t="str">
        <f ca="1">IFERROR(__xludf.DUMMYFUNCTION("""COMPUTED_VALUE"""),"8th Grade")</f>
        <v>8th Grade</v>
      </c>
      <c r="M272" s="8" t="str">
        <f ca="1">IFERROR(__xludf.DUMMYFUNCTION("""COMPUTED_VALUE"""),"ELA")</f>
        <v>ELA</v>
      </c>
      <c r="N272" s="8">
        <f ca="1">IFERROR(__xludf.DUMMYFUNCTION("""COMPUTED_VALUE"""),7)</f>
        <v>7</v>
      </c>
      <c r="O272" s="8" t="str">
        <f ca="1">IFERROR(__xludf.DUMMYFUNCTION("""COMPUTED_VALUE"""),"Proficient I")</f>
        <v>Proficient I</v>
      </c>
      <c r="P272" s="8">
        <f ca="1">IFERROR(__xludf.DUMMYFUNCTION("""COMPUTED_VALUE"""),1)</f>
        <v>1</v>
      </c>
      <c r="Q272" s="8">
        <f ca="1">IFERROR(__xludf.DUMMYFUNCTION("""COMPUTED_VALUE"""),2)</f>
        <v>2</v>
      </c>
      <c r="R272" s="8">
        <f ca="1">IFERROR(__xludf.DUMMYFUNCTION("""COMPUTED_VALUE"""),2)</f>
        <v>2</v>
      </c>
      <c r="S272" s="8">
        <f ca="1">IFERROR(__xludf.DUMMYFUNCTION("""COMPUTED_VALUE"""),2)</f>
        <v>2</v>
      </c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</row>
    <row r="273" spans="1:31" ht="13.15" x14ac:dyDescent="0.4">
      <c r="A273" s="8"/>
      <c r="B273" s="8"/>
      <c r="C273" s="8"/>
      <c r="D273" s="8"/>
      <c r="E273" s="8" t="str">
        <f ca="1">IFERROR(__xludf.DUMMYFUNCTION("""COMPUTED_VALUE"""),"SMITH")</f>
        <v>SMITH</v>
      </c>
      <c r="F273" s="8" t="str">
        <f ca="1">IFERROR(__xludf.DUMMYFUNCTION("""COMPUTED_VALUE"""),"Electives")</f>
        <v>Electives</v>
      </c>
      <c r="G273" s="8" t="str">
        <f ca="1">IFERROR(__xludf.DUMMYFUNCTION("""COMPUTED_VALUE"""),"Aaron Walker")</f>
        <v>Aaron Walker</v>
      </c>
      <c r="H273" s="8" t="str">
        <f ca="1">IFERROR(__xludf.DUMMYFUNCTION("""COMPUTED_VALUE"""),"Pamela Kemajou")</f>
        <v>Pamela Kemajou</v>
      </c>
      <c r="I273" s="9">
        <f ca="1">IFERROR(__xludf.DUMMYFUNCTION("""COMPUTED_VALUE"""),45358)</f>
        <v>45358</v>
      </c>
      <c r="J273" s="9">
        <f ca="1">IFERROR(__xludf.DUMMYFUNCTION("""COMPUTED_VALUE"""),45358)</f>
        <v>45358</v>
      </c>
      <c r="K273" s="8" t="str">
        <f ca="1">IFERROR(__xludf.DUMMYFUNCTION("""COMPUTED_VALUE"""),"AM")</f>
        <v>AM</v>
      </c>
      <c r="L273" s="11" t="str">
        <f ca="1">IFERROR(__xludf.DUMMYFUNCTION("""COMPUTED_VALUE"""),"8th Grade")</f>
        <v>8th Grade</v>
      </c>
      <c r="M273" s="8" t="str">
        <f ca="1">IFERROR(__xludf.DUMMYFUNCTION("""COMPUTED_VALUE"""),"P.E.")</f>
        <v>P.E.</v>
      </c>
      <c r="N273" s="8">
        <f ca="1">IFERROR(__xludf.DUMMYFUNCTION("""COMPUTED_VALUE"""),6)</f>
        <v>6</v>
      </c>
      <c r="O273" s="8" t="str">
        <f ca="1">IFERROR(__xludf.DUMMYFUNCTION("""COMPUTED_VALUE"""),"Proficient I")</f>
        <v>Proficient I</v>
      </c>
      <c r="P273" s="8">
        <f ca="1">IFERROR(__xludf.DUMMYFUNCTION("""COMPUTED_VALUE"""),2)</f>
        <v>2</v>
      </c>
      <c r="Q273" s="8">
        <f ca="1">IFERROR(__xludf.DUMMYFUNCTION("""COMPUTED_VALUE"""),2)</f>
        <v>2</v>
      </c>
      <c r="R273" s="8">
        <f ca="1">IFERROR(__xludf.DUMMYFUNCTION("""COMPUTED_VALUE"""),2)</f>
        <v>2</v>
      </c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</row>
    <row r="274" spans="1:31" ht="13.15" x14ac:dyDescent="0.4">
      <c r="A274" s="8"/>
      <c r="B274" s="8"/>
      <c r="C274" s="8"/>
      <c r="D274" s="8"/>
      <c r="E274" s="8" t="str">
        <f ca="1">IFERROR(__xludf.DUMMYFUNCTION("""COMPUTED_VALUE"""),"SMITH")</f>
        <v>SMITH</v>
      </c>
      <c r="F274" s="8" t="str">
        <f ca="1">IFERROR(__xludf.DUMMYFUNCTION("""COMPUTED_VALUE"""),"Learning Coach -- Sub")</f>
        <v>Learning Coach -- Sub</v>
      </c>
      <c r="G274" s="8" t="str">
        <f ca="1">IFERROR(__xludf.DUMMYFUNCTION("""COMPUTED_VALUE"""),"Julis Cullen")</f>
        <v>Julis Cullen</v>
      </c>
      <c r="H274" s="8" t="str">
        <f ca="1">IFERROR(__xludf.DUMMYFUNCTION("""COMPUTED_VALUE"""),"Pamela Kemajou")</f>
        <v>Pamela Kemajou</v>
      </c>
      <c r="I274" s="9">
        <f ca="1">IFERROR(__xludf.DUMMYFUNCTION("""COMPUTED_VALUE"""),45358)</f>
        <v>45358</v>
      </c>
      <c r="J274" s="9">
        <f ca="1">IFERROR(__xludf.DUMMYFUNCTION("""COMPUTED_VALUE"""),45358)</f>
        <v>45358</v>
      </c>
      <c r="K274" s="8" t="str">
        <f ca="1">IFERROR(__xludf.DUMMYFUNCTION("""COMPUTED_VALUE"""),"AM")</f>
        <v>AM</v>
      </c>
      <c r="L274" s="8" t="str">
        <f ca="1">IFERROR(__xludf.DUMMYFUNCTION("""COMPUTED_VALUE"""),"8th Grade")</f>
        <v>8th Grade</v>
      </c>
      <c r="M274" s="8" t="str">
        <f ca="1">IFERROR(__xludf.DUMMYFUNCTION("""COMPUTED_VALUE"""),"ELA")</f>
        <v>ELA</v>
      </c>
      <c r="N274" s="8">
        <f ca="1">IFERROR(__xludf.DUMMYFUNCTION("""COMPUTED_VALUE"""),6)</f>
        <v>6</v>
      </c>
      <c r="O274" s="8" t="str">
        <f ca="1">IFERROR(__xludf.DUMMYFUNCTION("""COMPUTED_VALUE"""),"Proficient I")</f>
        <v>Proficient I</v>
      </c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</row>
    <row r="275" spans="1:31" ht="13.15" x14ac:dyDescent="0.4">
      <c r="A275" s="8"/>
      <c r="B275" s="8"/>
      <c r="C275" s="8"/>
      <c r="D275" s="8"/>
      <c r="E275" s="8" t="str">
        <f ca="1">IFERROR(__xludf.DUMMYFUNCTION("""COMPUTED_VALUE"""),"SMITH")</f>
        <v>SMITH</v>
      </c>
      <c r="F275" s="8" t="str">
        <f ca="1">IFERROR(__xludf.DUMMYFUNCTION("""COMPUTED_VALUE"""),"Core Subject No LSAE")</f>
        <v>Core Subject No LSAE</v>
      </c>
      <c r="G275" s="8" t="str">
        <f ca="1">IFERROR(__xludf.DUMMYFUNCTION("""COMPUTED_VALUE"""),"Tonya Fairley")</f>
        <v>Tonya Fairley</v>
      </c>
      <c r="H275" s="8" t="str">
        <f ca="1">IFERROR(__xludf.DUMMYFUNCTION("""COMPUTED_VALUE"""),"Sarah Flores")</f>
        <v>Sarah Flores</v>
      </c>
      <c r="I275" s="9">
        <f ca="1">IFERROR(__xludf.DUMMYFUNCTION("""COMPUTED_VALUE"""),45355)</f>
        <v>45355</v>
      </c>
      <c r="J275" s="9">
        <f ca="1">IFERROR(__xludf.DUMMYFUNCTION("""COMPUTED_VALUE"""),45355)</f>
        <v>45355</v>
      </c>
      <c r="K275" s="8" t="str">
        <f ca="1">IFERROR(__xludf.DUMMYFUNCTION("""COMPUTED_VALUE"""),"AM")</f>
        <v>AM</v>
      </c>
      <c r="L275" s="8" t="str">
        <f ca="1">IFERROR(__xludf.DUMMYFUNCTION("""COMPUTED_VALUE"""),"6th Grade")</f>
        <v>6th Grade</v>
      </c>
      <c r="M275" s="8" t="str">
        <f ca="1">IFERROR(__xludf.DUMMYFUNCTION("""COMPUTED_VALUE"""),"ELA")</f>
        <v>ELA</v>
      </c>
      <c r="N275" s="8">
        <f ca="1">IFERROR(__xludf.DUMMYFUNCTION("""COMPUTED_VALUE"""),5.5)</f>
        <v>5.5</v>
      </c>
      <c r="O275" s="8" t="str">
        <f ca="1">IFERROR(__xludf.DUMMYFUNCTION("""COMPUTED_VALUE"""),"Progressing")</f>
        <v>Progressing</v>
      </c>
      <c r="P275" s="8">
        <f ca="1">IFERROR(__xludf.DUMMYFUNCTION("""COMPUTED_VALUE"""),2)</f>
        <v>2</v>
      </c>
      <c r="Q275" s="8">
        <f ca="1">IFERROR(__xludf.DUMMYFUNCTION("""COMPUTED_VALUE"""),1.5)</f>
        <v>1.5</v>
      </c>
      <c r="R275" s="8">
        <f ca="1">IFERROR(__xludf.DUMMYFUNCTION("""COMPUTED_VALUE"""),2)</f>
        <v>2</v>
      </c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</row>
    <row r="276" spans="1:31" ht="13.15" x14ac:dyDescent="0.4">
      <c r="A276" s="8"/>
      <c r="B276" s="8"/>
      <c r="C276" s="8"/>
      <c r="D276" s="8"/>
      <c r="E276" s="8" t="str">
        <f ca="1">IFERROR(__xludf.DUMMYFUNCTION("""COMPUTED_VALUE"""),"SMITH")</f>
        <v>SMITH</v>
      </c>
      <c r="F276" s="8" t="str">
        <f ca="1">IFERROR(__xludf.DUMMYFUNCTION("""COMPUTED_VALUE"""),"Core Subject With LSAE")</f>
        <v>Core Subject With LSAE</v>
      </c>
      <c r="G276" s="8" t="str">
        <f ca="1">IFERROR(__xludf.DUMMYFUNCTION("""COMPUTED_VALUE"""),"Shamika Fifer")</f>
        <v>Shamika Fifer</v>
      </c>
      <c r="H276" s="8" t="str">
        <f ca="1">IFERROR(__xludf.DUMMYFUNCTION("""COMPUTED_VALUE"""),"Sarah Flores")</f>
        <v>Sarah Flores</v>
      </c>
      <c r="I276" s="9">
        <f ca="1">IFERROR(__xludf.DUMMYFUNCTION("""COMPUTED_VALUE"""),45355)</f>
        <v>45355</v>
      </c>
      <c r="J276" s="9">
        <f ca="1">IFERROR(__xludf.DUMMYFUNCTION("""COMPUTED_VALUE"""),45355)</f>
        <v>45355</v>
      </c>
      <c r="K276" s="8" t="str">
        <f ca="1">IFERROR(__xludf.DUMMYFUNCTION("""COMPUTED_VALUE"""),"AM")</f>
        <v>AM</v>
      </c>
      <c r="L276" s="8" t="str">
        <f ca="1">IFERROR(__xludf.DUMMYFUNCTION("""COMPUTED_VALUE"""),"6th Grade")</f>
        <v>6th Grade</v>
      </c>
      <c r="M276" s="8" t="str">
        <f ca="1">IFERROR(__xludf.DUMMYFUNCTION("""COMPUTED_VALUE"""),"Math")</f>
        <v>Math</v>
      </c>
      <c r="N276" s="8">
        <f ca="1">IFERROR(__xludf.DUMMYFUNCTION("""COMPUTED_VALUE"""),6.5)</f>
        <v>6.5</v>
      </c>
      <c r="O276" s="8" t="str">
        <f ca="1">IFERROR(__xludf.DUMMYFUNCTION("""COMPUTED_VALUE"""),"Proficient I")</f>
        <v>Proficient I</v>
      </c>
      <c r="P276" s="8">
        <f ca="1">IFERROR(__xludf.DUMMYFUNCTION("""COMPUTED_VALUE"""),1)</f>
        <v>1</v>
      </c>
      <c r="Q276" s="8">
        <f ca="1">IFERROR(__xludf.DUMMYFUNCTION("""COMPUTED_VALUE"""),1.5)</f>
        <v>1.5</v>
      </c>
      <c r="R276" s="8">
        <f ca="1">IFERROR(__xludf.DUMMYFUNCTION("""COMPUTED_VALUE"""),2.5)</f>
        <v>2.5</v>
      </c>
      <c r="S276" s="8">
        <f ca="1">IFERROR(__xludf.DUMMYFUNCTION("""COMPUTED_VALUE"""),1.5)</f>
        <v>1.5</v>
      </c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</row>
    <row r="277" spans="1:31" ht="13.15" x14ac:dyDescent="0.4">
      <c r="A277" s="8"/>
      <c r="B277" s="8"/>
      <c r="C277" s="8"/>
      <c r="D277" s="8"/>
      <c r="E277" s="8" t="str">
        <f ca="1">IFERROR(__xludf.DUMMYFUNCTION("""COMPUTED_VALUE"""),"SMITH")</f>
        <v>SMITH</v>
      </c>
      <c r="F277" s="8" t="str">
        <f ca="1">IFERROR(__xludf.DUMMYFUNCTION("""COMPUTED_VALUE"""),"Learning Coach")</f>
        <v>Learning Coach</v>
      </c>
      <c r="G277" s="8" t="str">
        <f ca="1">IFERROR(__xludf.DUMMYFUNCTION("""COMPUTED_VALUE"""),"Tiffiney Collins")</f>
        <v>Tiffiney Collins</v>
      </c>
      <c r="H277" s="8" t="str">
        <f ca="1">IFERROR(__xludf.DUMMYFUNCTION("""COMPUTED_VALUE"""),"Sarah Flores")</f>
        <v>Sarah Flores</v>
      </c>
      <c r="I277" s="9">
        <f ca="1">IFERROR(__xludf.DUMMYFUNCTION("""COMPUTED_VALUE"""),45355)</f>
        <v>45355</v>
      </c>
      <c r="J277" s="9">
        <f ca="1">IFERROR(__xludf.DUMMYFUNCTION("""COMPUTED_VALUE"""),45356)</f>
        <v>45356</v>
      </c>
      <c r="K277" s="8" t="str">
        <f ca="1">IFERROR(__xludf.DUMMYFUNCTION("""COMPUTED_VALUE"""),"PM")</f>
        <v>PM</v>
      </c>
      <c r="L277" s="8"/>
      <c r="M277" s="8"/>
      <c r="N277" s="8">
        <f ca="1">IFERROR(__xludf.DUMMYFUNCTION("""COMPUTED_VALUE"""),8)</f>
        <v>8</v>
      </c>
      <c r="O277" s="8" t="str">
        <f ca="1">IFERROR(__xludf.DUMMYFUNCTION("""COMPUTED_VALUE"""),"Proficient II")</f>
        <v>Proficient II</v>
      </c>
      <c r="P277" s="8">
        <f ca="1">IFERROR(__xludf.DUMMYFUNCTION("""COMPUTED_VALUE"""),2)</f>
        <v>2</v>
      </c>
      <c r="Q277" s="8">
        <f ca="1">IFERROR(__xludf.DUMMYFUNCTION("""COMPUTED_VALUE"""),3.5)</f>
        <v>3.5</v>
      </c>
      <c r="R277" s="8">
        <f ca="1">IFERROR(__xludf.DUMMYFUNCTION("""COMPUTED_VALUE"""),2.5)</f>
        <v>2.5</v>
      </c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</row>
    <row r="278" spans="1:31" ht="13.15" x14ac:dyDescent="0.4">
      <c r="A278" s="8"/>
      <c r="B278" s="8"/>
      <c r="C278" s="8"/>
      <c r="D278" s="8"/>
      <c r="E278" s="8" t="str">
        <f ca="1">IFERROR(__xludf.DUMMYFUNCTION("""COMPUTED_VALUE"""),"SMITH")</f>
        <v>SMITH</v>
      </c>
      <c r="F278" s="8" t="str">
        <f ca="1">IFERROR(__xludf.DUMMYFUNCTION("""COMPUTED_VALUE"""),"Core Subject No LSAE")</f>
        <v>Core Subject No LSAE</v>
      </c>
      <c r="G278" s="8" t="str">
        <f ca="1">IFERROR(__xludf.DUMMYFUNCTION("""COMPUTED_VALUE"""),"Darlene Oliveras")</f>
        <v>Darlene Oliveras</v>
      </c>
      <c r="H278" s="8" t="str">
        <f ca="1">IFERROR(__xludf.DUMMYFUNCTION("""COMPUTED_VALUE"""),"Sarah Flores")</f>
        <v>Sarah Flores</v>
      </c>
      <c r="I278" s="9">
        <f ca="1">IFERROR(__xludf.DUMMYFUNCTION("""COMPUTED_VALUE"""),45356)</f>
        <v>45356</v>
      </c>
      <c r="J278" s="9">
        <f ca="1">IFERROR(__xludf.DUMMYFUNCTION("""COMPUTED_VALUE"""),45356)</f>
        <v>45356</v>
      </c>
      <c r="K278" s="8" t="str">
        <f ca="1">IFERROR(__xludf.DUMMYFUNCTION("""COMPUTED_VALUE"""),"AM")</f>
        <v>AM</v>
      </c>
      <c r="L278" s="8" t="str">
        <f ca="1">IFERROR(__xludf.DUMMYFUNCTION("""COMPUTED_VALUE"""),"6th Grade")</f>
        <v>6th Grade</v>
      </c>
      <c r="M278" s="8" t="str">
        <f ca="1">IFERROR(__xludf.DUMMYFUNCTION("""COMPUTED_VALUE"""),"Science")</f>
        <v>Science</v>
      </c>
      <c r="N278" s="8">
        <f ca="1">IFERROR(__xludf.DUMMYFUNCTION("""COMPUTED_VALUE"""),6)</f>
        <v>6</v>
      </c>
      <c r="O278" s="8" t="str">
        <f ca="1">IFERROR(__xludf.DUMMYFUNCTION("""COMPUTED_VALUE"""),"Proficient I")</f>
        <v>Proficient I</v>
      </c>
      <c r="P278" s="8">
        <f ca="1">IFERROR(__xludf.DUMMYFUNCTION("""COMPUTED_VALUE"""),2)</f>
        <v>2</v>
      </c>
      <c r="Q278" s="8">
        <f ca="1">IFERROR(__xludf.DUMMYFUNCTION("""COMPUTED_VALUE"""),2)</f>
        <v>2</v>
      </c>
      <c r="R278" s="8">
        <f ca="1">IFERROR(__xludf.DUMMYFUNCTION("""COMPUTED_VALUE"""),2)</f>
        <v>2</v>
      </c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</row>
    <row r="279" spans="1:31" ht="13.15" x14ac:dyDescent="0.4">
      <c r="A279" s="8"/>
      <c r="B279" s="8"/>
      <c r="C279" s="8"/>
      <c r="D279" s="8"/>
      <c r="E279" s="8" t="str">
        <f ca="1">IFERROR(__xludf.DUMMYFUNCTION("""COMPUTED_VALUE"""),"SMITH")</f>
        <v>SMITH</v>
      </c>
      <c r="F279" s="8" t="str">
        <f ca="1">IFERROR(__xludf.DUMMYFUNCTION("""COMPUTED_VALUE"""),"Core Subject With LSAE")</f>
        <v>Core Subject With LSAE</v>
      </c>
      <c r="G279" s="8" t="str">
        <f ca="1">IFERROR(__xludf.DUMMYFUNCTION("""COMPUTED_VALUE"""),"Rene Rodriguez")</f>
        <v>Rene Rodriguez</v>
      </c>
      <c r="H279" s="8" t="str">
        <f ca="1">IFERROR(__xludf.DUMMYFUNCTION("""COMPUTED_VALUE"""),"Sarah Flores")</f>
        <v>Sarah Flores</v>
      </c>
      <c r="I279" s="9">
        <f ca="1">IFERROR(__xludf.DUMMYFUNCTION("""COMPUTED_VALUE"""),45356)</f>
        <v>45356</v>
      </c>
      <c r="J279" s="9">
        <f ca="1">IFERROR(__xludf.DUMMYFUNCTION("""COMPUTED_VALUE"""),45356)</f>
        <v>45356</v>
      </c>
      <c r="K279" s="8" t="str">
        <f ca="1">IFERROR(__xludf.DUMMYFUNCTION("""COMPUTED_VALUE"""),"PM")</f>
        <v>PM</v>
      </c>
      <c r="L279" s="11" t="str">
        <f ca="1">IFERROR(__xludf.DUMMYFUNCTION("""COMPUTED_VALUE"""),"6th Grade")</f>
        <v>6th Grade</v>
      </c>
      <c r="M279" s="8" t="str">
        <f ca="1">IFERROR(__xludf.DUMMYFUNCTION("""COMPUTED_VALUE"""),"ELA")</f>
        <v>ELA</v>
      </c>
      <c r="N279" s="8">
        <f ca="1">IFERROR(__xludf.DUMMYFUNCTION("""COMPUTED_VALUE"""),5)</f>
        <v>5</v>
      </c>
      <c r="O279" s="8" t="str">
        <f ca="1">IFERROR(__xludf.DUMMYFUNCTION("""COMPUTED_VALUE"""),"Progressing")</f>
        <v>Progressing</v>
      </c>
      <c r="P279" s="8">
        <f ca="1">IFERROR(__xludf.DUMMYFUNCTION("""COMPUTED_VALUE"""),1)</f>
        <v>1</v>
      </c>
      <c r="Q279" s="8">
        <f ca="1">IFERROR(__xludf.DUMMYFUNCTION("""COMPUTED_VALUE"""),1.5)</f>
        <v>1.5</v>
      </c>
      <c r="R279" s="8">
        <f ca="1">IFERROR(__xludf.DUMMYFUNCTION("""COMPUTED_VALUE"""),1.5)</f>
        <v>1.5</v>
      </c>
      <c r="S279" s="8">
        <f ca="1">IFERROR(__xludf.DUMMYFUNCTION("""COMPUTED_VALUE"""),1)</f>
        <v>1</v>
      </c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</row>
    <row r="280" spans="1:31" ht="13.15" x14ac:dyDescent="0.4">
      <c r="A280" s="8"/>
      <c r="B280" s="8"/>
      <c r="C280" s="8"/>
      <c r="D280" s="8"/>
      <c r="E280" s="8" t="str">
        <f ca="1">IFERROR(__xludf.DUMMYFUNCTION("""COMPUTED_VALUE"""),"SMITH")</f>
        <v>SMITH</v>
      </c>
      <c r="F280" s="8" t="str">
        <f ca="1">IFERROR(__xludf.DUMMYFUNCTION("""COMPUTED_VALUE"""),"Core Subject No LSAE")</f>
        <v>Core Subject No LSAE</v>
      </c>
      <c r="G280" s="8" t="str">
        <f ca="1">IFERROR(__xludf.DUMMYFUNCTION("""COMPUTED_VALUE"""),"Kenrick Marks")</f>
        <v>Kenrick Marks</v>
      </c>
      <c r="H280" s="8" t="str">
        <f ca="1">IFERROR(__xludf.DUMMYFUNCTION("""COMPUTED_VALUE"""),"Sarah Flores")</f>
        <v>Sarah Flores</v>
      </c>
      <c r="I280" s="9">
        <f ca="1">IFERROR(__xludf.DUMMYFUNCTION("""COMPUTED_VALUE"""),45357)</f>
        <v>45357</v>
      </c>
      <c r="J280" s="9">
        <f ca="1">IFERROR(__xludf.DUMMYFUNCTION("""COMPUTED_VALUE"""),45357)</f>
        <v>45357</v>
      </c>
      <c r="K280" s="8" t="str">
        <f ca="1">IFERROR(__xludf.DUMMYFUNCTION("""COMPUTED_VALUE"""),"PM")</f>
        <v>PM</v>
      </c>
      <c r="L280" s="8" t="str">
        <f ca="1">IFERROR(__xludf.DUMMYFUNCTION("""COMPUTED_VALUE"""),"6th Grade")</f>
        <v>6th Grade</v>
      </c>
      <c r="M280" s="8" t="str">
        <f ca="1">IFERROR(__xludf.DUMMYFUNCTION("""COMPUTED_VALUE"""),"Science")</f>
        <v>Science</v>
      </c>
      <c r="N280" s="8">
        <f ca="1">IFERROR(__xludf.DUMMYFUNCTION("""COMPUTED_VALUE"""),6.5)</f>
        <v>6.5</v>
      </c>
      <c r="O280" s="8" t="str">
        <f ca="1">IFERROR(__xludf.DUMMYFUNCTION("""COMPUTED_VALUE"""),"Proficient I")</f>
        <v>Proficient I</v>
      </c>
      <c r="P280" s="8">
        <f ca="1">IFERROR(__xludf.DUMMYFUNCTION("""COMPUTED_VALUE"""),2)</f>
        <v>2</v>
      </c>
      <c r="Q280" s="8">
        <f ca="1">IFERROR(__xludf.DUMMYFUNCTION("""COMPUTED_VALUE"""),2.5)</f>
        <v>2.5</v>
      </c>
      <c r="R280" s="8">
        <f ca="1">IFERROR(__xludf.DUMMYFUNCTION("""COMPUTED_VALUE"""),2)</f>
        <v>2</v>
      </c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</row>
    <row r="281" spans="1:31" ht="13.15" x14ac:dyDescent="0.4">
      <c r="A281" s="8"/>
      <c r="B281" s="8"/>
      <c r="C281" s="8"/>
      <c r="D281" s="8"/>
      <c r="E281" s="8" t="str">
        <f ca="1">IFERROR(__xludf.DUMMYFUNCTION("""COMPUTED_VALUE"""),"SMITH")</f>
        <v>SMITH</v>
      </c>
      <c r="F281" s="8" t="str">
        <f ca="1">IFERROR(__xludf.DUMMYFUNCTION("""COMPUTED_VALUE"""),"Core Subject No LSAE")</f>
        <v>Core Subject No LSAE</v>
      </c>
      <c r="G281" s="8" t="str">
        <f ca="1">IFERROR(__xludf.DUMMYFUNCTION("""COMPUTED_VALUE"""),"Eric Brooks")</f>
        <v>Eric Brooks</v>
      </c>
      <c r="H281" s="8" t="str">
        <f ca="1">IFERROR(__xludf.DUMMYFUNCTION("""COMPUTED_VALUE"""),"Sarah Flores")</f>
        <v>Sarah Flores</v>
      </c>
      <c r="I281" s="9">
        <f ca="1">IFERROR(__xludf.DUMMYFUNCTION("""COMPUTED_VALUE"""),45357)</f>
        <v>45357</v>
      </c>
      <c r="J281" s="9">
        <f ca="1">IFERROR(__xludf.DUMMYFUNCTION("""COMPUTED_VALUE"""),45357)</f>
        <v>45357</v>
      </c>
      <c r="K281" s="8" t="str">
        <f ca="1">IFERROR(__xludf.DUMMYFUNCTION("""COMPUTED_VALUE"""),"AM")</f>
        <v>AM</v>
      </c>
      <c r="L281" s="8" t="str">
        <f ca="1">IFERROR(__xludf.DUMMYFUNCTION("""COMPUTED_VALUE"""),"6th Grade")</f>
        <v>6th Grade</v>
      </c>
      <c r="M281" s="8" t="str">
        <f ca="1">IFERROR(__xludf.DUMMYFUNCTION("""COMPUTED_VALUE"""),"ELA")</f>
        <v>ELA</v>
      </c>
      <c r="N281" s="8">
        <f ca="1">IFERROR(__xludf.DUMMYFUNCTION("""COMPUTED_VALUE"""),6)</f>
        <v>6</v>
      </c>
      <c r="O281" s="8" t="str">
        <f ca="1">IFERROR(__xludf.DUMMYFUNCTION("""COMPUTED_VALUE"""),"Proficient I")</f>
        <v>Proficient I</v>
      </c>
      <c r="P281" s="8">
        <f ca="1">IFERROR(__xludf.DUMMYFUNCTION("""COMPUTED_VALUE"""),2)</f>
        <v>2</v>
      </c>
      <c r="Q281" s="8">
        <f ca="1">IFERROR(__xludf.DUMMYFUNCTION("""COMPUTED_VALUE"""),2)</f>
        <v>2</v>
      </c>
      <c r="R281" s="8">
        <f ca="1">IFERROR(__xludf.DUMMYFUNCTION("""COMPUTED_VALUE"""),2)</f>
        <v>2</v>
      </c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</row>
    <row r="282" spans="1:31" ht="13.15" x14ac:dyDescent="0.4">
      <c r="A282" s="8"/>
      <c r="B282" s="8"/>
      <c r="C282" s="8"/>
      <c r="D282" s="8"/>
      <c r="E282" s="8" t="str">
        <f ca="1">IFERROR(__xludf.DUMMYFUNCTION("""COMPUTED_VALUE"""),"SMITH")</f>
        <v>SMITH</v>
      </c>
      <c r="F282" s="8" t="str">
        <f ca="1">IFERROR(__xludf.DUMMYFUNCTION("""COMPUTED_VALUE"""),"Core Subject With LSAE")</f>
        <v>Core Subject With LSAE</v>
      </c>
      <c r="G282" s="8" t="str">
        <f ca="1">IFERROR(__xludf.DUMMYFUNCTION("""COMPUTED_VALUE"""),"Aqua Henry")</f>
        <v>Aqua Henry</v>
      </c>
      <c r="H282" s="8" t="str">
        <f ca="1">IFERROR(__xludf.DUMMYFUNCTION("""COMPUTED_VALUE"""),"Sarah Flores")</f>
        <v>Sarah Flores</v>
      </c>
      <c r="I282" s="9">
        <f ca="1">IFERROR(__xludf.DUMMYFUNCTION("""COMPUTED_VALUE"""),45357)</f>
        <v>45357</v>
      </c>
      <c r="J282" s="9">
        <f ca="1">IFERROR(__xludf.DUMMYFUNCTION("""COMPUTED_VALUE"""),45358)</f>
        <v>45358</v>
      </c>
      <c r="K282" s="8" t="str">
        <f ca="1">IFERROR(__xludf.DUMMYFUNCTION("""COMPUTED_VALUE"""),"PM")</f>
        <v>PM</v>
      </c>
      <c r="L282" s="8" t="str">
        <f ca="1">IFERROR(__xludf.DUMMYFUNCTION("""COMPUTED_VALUE"""),"6th Grade")</f>
        <v>6th Grade</v>
      </c>
      <c r="M282" s="8" t="str">
        <f ca="1">IFERROR(__xludf.DUMMYFUNCTION("""COMPUTED_VALUE"""),"Math")</f>
        <v>Math</v>
      </c>
      <c r="N282" s="8">
        <f ca="1">IFERROR(__xludf.DUMMYFUNCTION("""COMPUTED_VALUE"""),8)</f>
        <v>8</v>
      </c>
      <c r="O282" s="8" t="str">
        <f ca="1">IFERROR(__xludf.DUMMYFUNCTION("""COMPUTED_VALUE"""),"Proficient II")</f>
        <v>Proficient II</v>
      </c>
      <c r="P282" s="8">
        <f ca="1">IFERROR(__xludf.DUMMYFUNCTION("""COMPUTED_VALUE"""),1)</f>
        <v>1</v>
      </c>
      <c r="Q282" s="8">
        <f ca="1">IFERROR(__xludf.DUMMYFUNCTION("""COMPUTED_VALUE"""),2.5)</f>
        <v>2.5</v>
      </c>
      <c r="R282" s="8">
        <f ca="1">IFERROR(__xludf.DUMMYFUNCTION("""COMPUTED_VALUE"""),3)</f>
        <v>3</v>
      </c>
      <c r="S282" s="8">
        <f ca="1">IFERROR(__xludf.DUMMYFUNCTION("""COMPUTED_VALUE"""),1.5)</f>
        <v>1.5</v>
      </c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</row>
    <row r="283" spans="1:31" ht="13.15" x14ac:dyDescent="0.4">
      <c r="A283" s="8"/>
      <c r="B283" s="8"/>
      <c r="C283" s="8"/>
      <c r="D283" s="8"/>
      <c r="E283" s="8" t="str">
        <f ca="1">IFERROR(__xludf.DUMMYFUNCTION("""COMPUTED_VALUE"""),"SMITH")</f>
        <v>SMITH</v>
      </c>
      <c r="F283" s="8" t="str">
        <f ca="1">IFERROR(__xludf.DUMMYFUNCTION("""COMPUTED_VALUE"""),"Learning Coach")</f>
        <v>Learning Coach</v>
      </c>
      <c r="G283" s="8" t="str">
        <f ca="1">IFERROR(__xludf.DUMMYFUNCTION("""COMPUTED_VALUE"""),"Tiffiney Collins")</f>
        <v>Tiffiney Collins</v>
      </c>
      <c r="H283" s="8" t="str">
        <f ca="1">IFERROR(__xludf.DUMMYFUNCTION("""COMPUTED_VALUE"""),"Sarah Flores")</f>
        <v>Sarah Flores</v>
      </c>
      <c r="I283" s="9">
        <f ca="1">IFERROR(__xludf.DUMMYFUNCTION("""COMPUTED_VALUE"""),45358)</f>
        <v>45358</v>
      </c>
      <c r="J283" s="9">
        <f ca="1">IFERROR(__xludf.DUMMYFUNCTION("""COMPUTED_VALUE"""),45358)</f>
        <v>45358</v>
      </c>
      <c r="K283" s="8" t="str">
        <f ca="1">IFERROR(__xludf.DUMMYFUNCTION("""COMPUTED_VALUE"""),"PM")</f>
        <v>PM</v>
      </c>
      <c r="L283" s="8"/>
      <c r="M283" s="8"/>
      <c r="N283" s="8">
        <f ca="1">IFERROR(__xludf.DUMMYFUNCTION("""COMPUTED_VALUE"""),8.5)</f>
        <v>8.5</v>
      </c>
      <c r="O283" s="8" t="str">
        <f ca="1">IFERROR(__xludf.DUMMYFUNCTION("""COMPUTED_VALUE"""),"Proficient II")</f>
        <v>Proficient II</v>
      </c>
      <c r="P283" s="8">
        <f ca="1">IFERROR(__xludf.DUMMYFUNCTION("""COMPUTED_VALUE"""),2)</f>
        <v>2</v>
      </c>
      <c r="Q283" s="8">
        <f ca="1">IFERROR(__xludf.DUMMYFUNCTION("""COMPUTED_VALUE"""),4.5)</f>
        <v>4.5</v>
      </c>
      <c r="R283" s="8">
        <f ca="1">IFERROR(__xludf.DUMMYFUNCTION("""COMPUTED_VALUE"""),2)</f>
        <v>2</v>
      </c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</row>
    <row r="284" spans="1:31" ht="13.15" x14ac:dyDescent="0.4">
      <c r="A284" s="8"/>
      <c r="B284" s="8"/>
      <c r="C284" s="8"/>
      <c r="D284" s="8"/>
      <c r="E284" s="8" t="str">
        <f ca="1">IFERROR(__xludf.DUMMYFUNCTION("""COMPUTED_VALUE"""),"SMITH")</f>
        <v>SMITH</v>
      </c>
      <c r="F284" s="8" t="str">
        <f ca="1">IFERROR(__xludf.DUMMYFUNCTION("""COMPUTED_VALUE"""),"Learning Coach")</f>
        <v>Learning Coach</v>
      </c>
      <c r="G284" s="8" t="str">
        <f ca="1">IFERROR(__xludf.DUMMYFUNCTION("""COMPUTED_VALUE"""),"DeLisa Guillory")</f>
        <v>DeLisa Guillory</v>
      </c>
      <c r="H284" s="8" t="str">
        <f ca="1">IFERROR(__xludf.DUMMYFUNCTION("""COMPUTED_VALUE"""),"Sarah Flores")</f>
        <v>Sarah Flores</v>
      </c>
      <c r="I284" s="9">
        <f ca="1">IFERROR(__xludf.DUMMYFUNCTION("""COMPUTED_VALUE"""),45358)</f>
        <v>45358</v>
      </c>
      <c r="J284" s="9">
        <f ca="1">IFERROR(__xludf.DUMMYFUNCTION("""COMPUTED_VALUE"""),45358)</f>
        <v>45358</v>
      </c>
      <c r="K284" s="8" t="str">
        <f ca="1">IFERROR(__xludf.DUMMYFUNCTION("""COMPUTED_VALUE"""),"PM")</f>
        <v>PM</v>
      </c>
      <c r="L284" s="8"/>
      <c r="M284" s="8"/>
      <c r="N284" s="8">
        <f ca="1">IFERROR(__xludf.DUMMYFUNCTION("""COMPUTED_VALUE"""),8.5)</f>
        <v>8.5</v>
      </c>
      <c r="O284" s="8" t="str">
        <f ca="1">IFERROR(__xludf.DUMMYFUNCTION("""COMPUTED_VALUE"""),"Proficient II")</f>
        <v>Proficient II</v>
      </c>
      <c r="P284" s="8">
        <f ca="1">IFERROR(__xludf.DUMMYFUNCTION("""COMPUTED_VALUE"""),2)</f>
        <v>2</v>
      </c>
      <c r="Q284" s="8">
        <f ca="1">IFERROR(__xludf.DUMMYFUNCTION("""COMPUTED_VALUE"""),4.5)</f>
        <v>4.5</v>
      </c>
      <c r="R284" s="8">
        <f ca="1">IFERROR(__xludf.DUMMYFUNCTION("""COMPUTED_VALUE"""),2)</f>
        <v>2</v>
      </c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</row>
    <row r="285" spans="1:31" ht="13.15" x14ac:dyDescent="0.4">
      <c r="A285" s="8"/>
      <c r="B285" s="8"/>
      <c r="C285" s="8"/>
      <c r="D285" s="8"/>
      <c r="E285" s="8" t="str">
        <f ca="1">IFERROR(__xludf.DUMMYFUNCTION("""COMPUTED_VALUE"""),"SMITH")</f>
        <v>SMITH</v>
      </c>
      <c r="F285" s="8" t="str">
        <f ca="1">IFERROR(__xludf.DUMMYFUNCTION("""COMPUTED_VALUE"""),"Core Subject No LSAE")</f>
        <v>Core Subject No LSAE</v>
      </c>
      <c r="G285" s="8" t="str">
        <f ca="1">IFERROR(__xludf.DUMMYFUNCTION("""COMPUTED_VALUE"""),"David Turrubiate")</f>
        <v>David Turrubiate</v>
      </c>
      <c r="H285" s="8" t="str">
        <f ca="1">IFERROR(__xludf.DUMMYFUNCTION("""COMPUTED_VALUE"""),"Velma Guidry")</f>
        <v>Velma Guidry</v>
      </c>
      <c r="I285" s="9">
        <f ca="1">IFERROR(__xludf.DUMMYFUNCTION("""COMPUTED_VALUE"""),45355)</f>
        <v>45355</v>
      </c>
      <c r="J285" s="9">
        <f ca="1">IFERROR(__xludf.DUMMYFUNCTION("""COMPUTED_VALUE"""),45358)</f>
        <v>45358</v>
      </c>
      <c r="K285" s="8" t="str">
        <f ca="1">IFERROR(__xludf.DUMMYFUNCTION("""COMPUTED_VALUE"""),"AM")</f>
        <v>AM</v>
      </c>
      <c r="L285" s="8" t="str">
        <f ca="1">IFERROR(__xludf.DUMMYFUNCTION("""COMPUTED_VALUE"""),"7th Grade")</f>
        <v>7th Grade</v>
      </c>
      <c r="M285" s="8" t="str">
        <f ca="1">IFERROR(__xludf.DUMMYFUNCTION("""COMPUTED_VALUE"""),"Math")</f>
        <v>Math</v>
      </c>
      <c r="N285" s="8">
        <f ca="1">IFERROR(__xludf.DUMMYFUNCTION("""COMPUTED_VALUE"""),6)</f>
        <v>6</v>
      </c>
      <c r="O285" s="8" t="str">
        <f ca="1">IFERROR(__xludf.DUMMYFUNCTION("""COMPUTED_VALUE"""),"Proficient I")</f>
        <v>Proficient I</v>
      </c>
      <c r="P285" s="8">
        <f ca="1">IFERROR(__xludf.DUMMYFUNCTION("""COMPUTED_VALUE"""),2)</f>
        <v>2</v>
      </c>
      <c r="Q285" s="8">
        <f ca="1">IFERROR(__xludf.DUMMYFUNCTION("""COMPUTED_VALUE"""),2)</f>
        <v>2</v>
      </c>
      <c r="R285" s="8">
        <f ca="1">IFERROR(__xludf.DUMMYFUNCTION("""COMPUTED_VALUE"""),2)</f>
        <v>2</v>
      </c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</row>
    <row r="286" spans="1:31" ht="13.15" x14ac:dyDescent="0.4">
      <c r="A286" s="8"/>
      <c r="B286" s="8"/>
      <c r="C286" s="8"/>
      <c r="D286" s="8"/>
      <c r="E286" s="8" t="str">
        <f ca="1">IFERROR(__xludf.DUMMYFUNCTION("""COMPUTED_VALUE"""),"SMITH")</f>
        <v>SMITH</v>
      </c>
      <c r="F286" s="8" t="str">
        <f ca="1">IFERROR(__xludf.DUMMYFUNCTION("""COMPUTED_VALUE"""),"Core Subject With LSAE")</f>
        <v>Core Subject With LSAE</v>
      </c>
      <c r="G286" s="8" t="str">
        <f ca="1">IFERROR(__xludf.DUMMYFUNCTION("""COMPUTED_VALUE"""),"Decaqunita Forte")</f>
        <v>Decaqunita Forte</v>
      </c>
      <c r="H286" s="8" t="str">
        <f ca="1">IFERROR(__xludf.DUMMYFUNCTION("""COMPUTED_VALUE"""),"Velma Guidry")</f>
        <v>Velma Guidry</v>
      </c>
      <c r="I286" s="9">
        <f ca="1">IFERROR(__xludf.DUMMYFUNCTION("""COMPUTED_VALUE"""),45356)</f>
        <v>45356</v>
      </c>
      <c r="J286" s="9">
        <f ca="1">IFERROR(__xludf.DUMMYFUNCTION("""COMPUTED_VALUE"""),45358)</f>
        <v>45358</v>
      </c>
      <c r="K286" s="8" t="str">
        <f ca="1">IFERROR(__xludf.DUMMYFUNCTION("""COMPUTED_VALUE"""),"AM")</f>
        <v>AM</v>
      </c>
      <c r="L286" s="8" t="str">
        <f ca="1">IFERROR(__xludf.DUMMYFUNCTION("""COMPUTED_VALUE"""),"7th Grade")</f>
        <v>7th Grade</v>
      </c>
      <c r="M286" s="8" t="str">
        <f ca="1">IFERROR(__xludf.DUMMYFUNCTION("""COMPUTED_VALUE"""),"Math")</f>
        <v>Math</v>
      </c>
      <c r="N286" s="8">
        <f ca="1">IFERROR(__xludf.DUMMYFUNCTION("""COMPUTED_VALUE"""),6)</f>
        <v>6</v>
      </c>
      <c r="O286" s="8" t="str">
        <f ca="1">IFERROR(__xludf.DUMMYFUNCTION("""COMPUTED_VALUE"""),"Proficient I")</f>
        <v>Proficient I</v>
      </c>
      <c r="P286" s="8">
        <f ca="1">IFERROR(__xludf.DUMMYFUNCTION("""COMPUTED_VALUE"""),1)</f>
        <v>1</v>
      </c>
      <c r="Q286" s="8">
        <f ca="1">IFERROR(__xludf.DUMMYFUNCTION("""COMPUTED_VALUE"""),2)</f>
        <v>2</v>
      </c>
      <c r="R286" s="8">
        <f ca="1">IFERROR(__xludf.DUMMYFUNCTION("""COMPUTED_VALUE"""),2)</f>
        <v>2</v>
      </c>
      <c r="S286" s="8">
        <f ca="1">IFERROR(__xludf.DUMMYFUNCTION("""COMPUTED_VALUE"""),1)</f>
        <v>1</v>
      </c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</row>
    <row r="287" spans="1:31" ht="13.15" x14ac:dyDescent="0.4">
      <c r="A287" s="8"/>
      <c r="B287" s="8"/>
      <c r="C287" s="8"/>
      <c r="D287" s="8"/>
      <c r="E287" s="8" t="str">
        <f ca="1">IFERROR(__xludf.DUMMYFUNCTION("""COMPUTED_VALUE"""),"SMITH")</f>
        <v>SMITH</v>
      </c>
      <c r="F287" s="8" t="str">
        <f ca="1">IFERROR(__xludf.DUMMYFUNCTION("""COMPUTED_VALUE"""),"Core Subject No LSAE")</f>
        <v>Core Subject No LSAE</v>
      </c>
      <c r="G287" s="8" t="str">
        <f ca="1">IFERROR(__xludf.DUMMYFUNCTION("""COMPUTED_VALUE"""),"Kuriston Tatman")</f>
        <v>Kuriston Tatman</v>
      </c>
      <c r="H287" s="8" t="str">
        <f ca="1">IFERROR(__xludf.DUMMYFUNCTION("""COMPUTED_VALUE"""),"Velma Guidry")</f>
        <v>Velma Guidry</v>
      </c>
      <c r="I287" s="9">
        <f ca="1">IFERROR(__xludf.DUMMYFUNCTION("""COMPUTED_VALUE"""),45357)</f>
        <v>45357</v>
      </c>
      <c r="J287" s="9"/>
      <c r="K287" s="8" t="str">
        <f ca="1">IFERROR(__xludf.DUMMYFUNCTION("""COMPUTED_VALUE"""),"PM")</f>
        <v>PM</v>
      </c>
      <c r="L287" s="8" t="str">
        <f ca="1">IFERROR(__xludf.DUMMYFUNCTION("""COMPUTED_VALUE"""),"7th Grade")</f>
        <v>7th Grade</v>
      </c>
      <c r="M287" s="8" t="str">
        <f ca="1">IFERROR(__xludf.DUMMYFUNCTION("""COMPUTED_VALUE"""),"Social Studies")</f>
        <v>Social Studies</v>
      </c>
      <c r="N287" s="8">
        <f ca="1">IFERROR(__xludf.DUMMYFUNCTION("""COMPUTED_VALUE"""),6)</f>
        <v>6</v>
      </c>
      <c r="O287" s="8" t="str">
        <f ca="1">IFERROR(__xludf.DUMMYFUNCTION("""COMPUTED_VALUE"""),"Proficient I")</f>
        <v>Proficient I</v>
      </c>
      <c r="P287" s="8">
        <f ca="1">IFERROR(__xludf.DUMMYFUNCTION("""COMPUTED_VALUE"""),2)</f>
        <v>2</v>
      </c>
      <c r="Q287" s="8">
        <f ca="1">IFERROR(__xludf.DUMMYFUNCTION("""COMPUTED_VALUE"""),2)</f>
        <v>2</v>
      </c>
      <c r="R287" s="8">
        <f ca="1">IFERROR(__xludf.DUMMYFUNCTION("""COMPUTED_VALUE"""),2)</f>
        <v>2</v>
      </c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</row>
    <row r="288" spans="1:31" ht="13.15" x14ac:dyDescent="0.4">
      <c r="A288" s="8"/>
      <c r="B288" s="8"/>
      <c r="C288" s="8"/>
      <c r="D288" s="8"/>
      <c r="E288" s="8" t="str">
        <f ca="1">IFERROR(__xludf.DUMMYFUNCTION("""COMPUTED_VALUE"""),"SMITH")</f>
        <v>SMITH</v>
      </c>
      <c r="F288" s="8" t="str">
        <f ca="1">IFERROR(__xludf.DUMMYFUNCTION("""COMPUTED_VALUE"""),"Core Subject No LSAE")</f>
        <v>Core Subject No LSAE</v>
      </c>
      <c r="G288" s="8" t="str">
        <f ca="1">IFERROR(__xludf.DUMMYFUNCTION("""COMPUTED_VALUE"""),"Emily McCurley")</f>
        <v>Emily McCurley</v>
      </c>
      <c r="H288" s="8" t="str">
        <f ca="1">IFERROR(__xludf.DUMMYFUNCTION("""COMPUTED_VALUE"""),"Velma Guidry")</f>
        <v>Velma Guidry</v>
      </c>
      <c r="I288" s="9">
        <f ca="1">IFERROR(__xludf.DUMMYFUNCTION("""COMPUTED_VALUE"""),45357)</f>
        <v>45357</v>
      </c>
      <c r="J288" s="9"/>
      <c r="K288" s="8" t="str">
        <f ca="1">IFERROR(__xludf.DUMMYFUNCTION("""COMPUTED_VALUE"""),"AM")</f>
        <v>AM</v>
      </c>
      <c r="L288" s="8" t="str">
        <f ca="1">IFERROR(__xludf.DUMMYFUNCTION("""COMPUTED_VALUE"""),"7th Grade")</f>
        <v>7th Grade</v>
      </c>
      <c r="M288" s="8" t="str">
        <f ca="1">IFERROR(__xludf.DUMMYFUNCTION("""COMPUTED_VALUE"""),"Art of Thinking")</f>
        <v>Art of Thinking</v>
      </c>
      <c r="N288" s="8">
        <f ca="1">IFERROR(__xludf.DUMMYFUNCTION("""COMPUTED_VALUE"""),5)</f>
        <v>5</v>
      </c>
      <c r="O288" s="8" t="str">
        <f ca="1">IFERROR(__xludf.DUMMYFUNCTION("""COMPUTED_VALUE"""),"Progressing")</f>
        <v>Progressing</v>
      </c>
      <c r="P288" s="8">
        <f ca="1">IFERROR(__xludf.DUMMYFUNCTION("""COMPUTED_VALUE"""),1)</f>
        <v>1</v>
      </c>
      <c r="Q288" s="8">
        <f ca="1">IFERROR(__xludf.DUMMYFUNCTION("""COMPUTED_VALUE"""),2)</f>
        <v>2</v>
      </c>
      <c r="R288" s="8">
        <f ca="1">IFERROR(__xludf.DUMMYFUNCTION("""COMPUTED_VALUE"""),2)</f>
        <v>2</v>
      </c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</row>
    <row r="289" spans="1:31" ht="13.15" x14ac:dyDescent="0.4">
      <c r="A289" s="8"/>
      <c r="B289" s="8"/>
      <c r="C289" s="8"/>
      <c r="D289" s="8"/>
      <c r="E289" s="8" t="str">
        <f ca="1">IFERROR(__xludf.DUMMYFUNCTION("""COMPUTED_VALUE"""),"SMITH")</f>
        <v>SMITH</v>
      </c>
      <c r="F289" s="8" t="str">
        <f ca="1">IFERROR(__xludf.DUMMYFUNCTION("""COMPUTED_VALUE"""),"Core Subject No LSAE")</f>
        <v>Core Subject No LSAE</v>
      </c>
      <c r="G289" s="8" t="str">
        <f ca="1">IFERROR(__xludf.DUMMYFUNCTION("""COMPUTED_VALUE"""),"Lola Gatlin")</f>
        <v>Lola Gatlin</v>
      </c>
      <c r="H289" s="8" t="str">
        <f ca="1">IFERROR(__xludf.DUMMYFUNCTION("""COMPUTED_VALUE"""),"Velma Guidry")</f>
        <v>Velma Guidry</v>
      </c>
      <c r="I289" s="9">
        <f ca="1">IFERROR(__xludf.DUMMYFUNCTION("""COMPUTED_VALUE"""),45358)</f>
        <v>45358</v>
      </c>
      <c r="J289" s="9"/>
      <c r="K289" s="8" t="str">
        <f ca="1">IFERROR(__xludf.DUMMYFUNCTION("""COMPUTED_VALUE"""),"PM")</f>
        <v>PM</v>
      </c>
      <c r="L289" s="8" t="str">
        <f ca="1">IFERROR(__xludf.DUMMYFUNCTION("""COMPUTED_VALUE"""),"7th Grade")</f>
        <v>7th Grade</v>
      </c>
      <c r="M289" s="8" t="str">
        <f ca="1">IFERROR(__xludf.DUMMYFUNCTION("""COMPUTED_VALUE"""),"Science")</f>
        <v>Science</v>
      </c>
      <c r="N289" s="8">
        <f ca="1">IFERROR(__xludf.DUMMYFUNCTION("""COMPUTED_VALUE"""),6.5)</f>
        <v>6.5</v>
      </c>
      <c r="O289" s="8" t="str">
        <f ca="1">IFERROR(__xludf.DUMMYFUNCTION("""COMPUTED_VALUE"""),"Proficient I")</f>
        <v>Proficient I</v>
      </c>
      <c r="P289" s="8">
        <f ca="1">IFERROR(__xludf.DUMMYFUNCTION("""COMPUTED_VALUE"""),1.5)</f>
        <v>1.5</v>
      </c>
      <c r="Q289" s="8">
        <f ca="1">IFERROR(__xludf.DUMMYFUNCTION("""COMPUTED_VALUE"""),2.5)</f>
        <v>2.5</v>
      </c>
      <c r="R289" s="8">
        <f ca="1">IFERROR(__xludf.DUMMYFUNCTION("""COMPUTED_VALUE"""),2.5)</f>
        <v>2.5</v>
      </c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</row>
    <row r="290" spans="1:31" ht="13.15" x14ac:dyDescent="0.4">
      <c r="A290" s="8"/>
      <c r="B290" s="8"/>
      <c r="C290" s="8"/>
      <c r="D290" s="8"/>
      <c r="E290" s="8" t="str">
        <f ca="1">IFERROR(__xludf.DUMMYFUNCTION("""COMPUTED_VALUE"""),"SMITH")</f>
        <v>SMITH</v>
      </c>
      <c r="F290" s="8" t="str">
        <f ca="1">IFERROR(__xludf.DUMMYFUNCTION("""COMPUTED_VALUE"""),"Core Subject No LSAE")</f>
        <v>Core Subject No LSAE</v>
      </c>
      <c r="G290" s="8" t="str">
        <f ca="1">IFERROR(__xludf.DUMMYFUNCTION("""COMPUTED_VALUE"""),"Raeven Normand")</f>
        <v>Raeven Normand</v>
      </c>
      <c r="H290" s="8" t="str">
        <f ca="1">IFERROR(__xludf.DUMMYFUNCTION("""COMPUTED_VALUE"""),"Velma Guidry")</f>
        <v>Velma Guidry</v>
      </c>
      <c r="I290" s="9">
        <f ca="1">IFERROR(__xludf.DUMMYFUNCTION("""COMPUTED_VALUE"""),45358)</f>
        <v>45358</v>
      </c>
      <c r="J290" s="9"/>
      <c r="K290" s="8" t="str">
        <f ca="1">IFERROR(__xludf.DUMMYFUNCTION("""COMPUTED_VALUE"""),"AM")</f>
        <v>AM</v>
      </c>
      <c r="L290" s="8" t="str">
        <f ca="1">IFERROR(__xludf.DUMMYFUNCTION("""COMPUTED_VALUE"""),"7th Grade")</f>
        <v>7th Grade</v>
      </c>
      <c r="M290" s="8" t="str">
        <f ca="1">IFERROR(__xludf.DUMMYFUNCTION("""COMPUTED_VALUE"""),"ELA")</f>
        <v>ELA</v>
      </c>
      <c r="N290" s="8">
        <f ca="1">IFERROR(__xludf.DUMMYFUNCTION("""COMPUTED_VALUE"""),5)</f>
        <v>5</v>
      </c>
      <c r="O290" s="8" t="str">
        <f ca="1">IFERROR(__xludf.DUMMYFUNCTION("""COMPUTED_VALUE"""),"Progressing")</f>
        <v>Progressing</v>
      </c>
      <c r="P290" s="8">
        <f ca="1">IFERROR(__xludf.DUMMYFUNCTION("""COMPUTED_VALUE"""),1)</f>
        <v>1</v>
      </c>
      <c r="Q290" s="8">
        <f ca="1">IFERROR(__xludf.DUMMYFUNCTION("""COMPUTED_VALUE"""),2)</f>
        <v>2</v>
      </c>
      <c r="R290" s="8">
        <f ca="1">IFERROR(__xludf.DUMMYFUNCTION("""COMPUTED_VALUE"""),2)</f>
        <v>2</v>
      </c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</row>
    <row r="291" spans="1:31" ht="13.15" x14ac:dyDescent="0.4">
      <c r="A291" s="8"/>
      <c r="B291" s="8"/>
      <c r="C291" s="8"/>
      <c r="D291" s="8"/>
      <c r="E291" s="8" t="str">
        <f ca="1">IFERROR(__xludf.DUMMYFUNCTION("""COMPUTED_VALUE"""),"SMITH")</f>
        <v>SMITH</v>
      </c>
      <c r="F291" s="8" t="str">
        <f ca="1">IFERROR(__xludf.DUMMYFUNCTION("""COMPUTED_VALUE"""),"Core Subject With LSAE")</f>
        <v>Core Subject With LSAE</v>
      </c>
      <c r="G291" s="8" t="str">
        <f ca="1">IFERROR(__xludf.DUMMYFUNCTION("""COMPUTED_VALUE"""),"Shamika Fifer")</f>
        <v>Shamika Fifer</v>
      </c>
      <c r="H291" s="8" t="str">
        <f ca="1">IFERROR(__xludf.DUMMYFUNCTION("""COMPUTED_VALUE"""),"Velma Guidry")</f>
        <v>Velma Guidry</v>
      </c>
      <c r="I291" s="9">
        <f ca="1">IFERROR(__xludf.DUMMYFUNCTION("""COMPUTED_VALUE"""),45358)</f>
        <v>45358</v>
      </c>
      <c r="J291" s="9">
        <f ca="1">IFERROR(__xludf.DUMMYFUNCTION("""COMPUTED_VALUE"""),45359)</f>
        <v>45359</v>
      </c>
      <c r="K291" s="8" t="str">
        <f ca="1">IFERROR(__xludf.DUMMYFUNCTION("""COMPUTED_VALUE"""),"PM")</f>
        <v>PM</v>
      </c>
      <c r="L291" s="8" t="str">
        <f ca="1">IFERROR(__xludf.DUMMYFUNCTION("""COMPUTED_VALUE"""),"6th Grade")</f>
        <v>6th Grade</v>
      </c>
      <c r="M291" s="8" t="str">
        <f ca="1">IFERROR(__xludf.DUMMYFUNCTION("""COMPUTED_VALUE"""),"Math")</f>
        <v>Math</v>
      </c>
      <c r="N291" s="8">
        <f ca="1">IFERROR(__xludf.DUMMYFUNCTION("""COMPUTED_VALUE"""),6)</f>
        <v>6</v>
      </c>
      <c r="O291" s="8" t="str">
        <f ca="1">IFERROR(__xludf.DUMMYFUNCTION("""COMPUTED_VALUE"""),"Proficient I")</f>
        <v>Proficient I</v>
      </c>
      <c r="P291" s="8">
        <f ca="1">IFERROR(__xludf.DUMMYFUNCTION("""COMPUTED_VALUE"""),1)</f>
        <v>1</v>
      </c>
      <c r="Q291" s="8">
        <f ca="1">IFERROR(__xludf.DUMMYFUNCTION("""COMPUTED_VALUE"""),2)</f>
        <v>2</v>
      </c>
      <c r="R291" s="8">
        <f ca="1">IFERROR(__xludf.DUMMYFUNCTION("""COMPUTED_VALUE"""),2)</f>
        <v>2</v>
      </c>
      <c r="S291" s="8">
        <f ca="1">IFERROR(__xludf.DUMMYFUNCTION("""COMPUTED_VALUE"""),1)</f>
        <v>1</v>
      </c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</row>
    <row r="292" spans="1:31" ht="13.15" x14ac:dyDescent="0.4">
      <c r="A292" s="8"/>
      <c r="B292" s="8"/>
      <c r="C292" s="8"/>
      <c r="D292" s="8"/>
      <c r="E292" s="8" t="str">
        <f ca="1">IFERROR(__xludf.DUMMYFUNCTION("""COMPUTED_VALUE"""),"SMITH")</f>
        <v>SMITH</v>
      </c>
      <c r="F292" s="8" t="str">
        <f ca="1">IFERROR(__xludf.DUMMYFUNCTION("""COMPUTED_VALUE"""),"Core Subject With LSAE")</f>
        <v>Core Subject With LSAE</v>
      </c>
      <c r="G292" s="8" t="str">
        <f ca="1">IFERROR(__xludf.DUMMYFUNCTION("""COMPUTED_VALUE"""),"Jatoria Williams")</f>
        <v>Jatoria Williams</v>
      </c>
      <c r="H292" s="8" t="str">
        <f ca="1">IFERROR(__xludf.DUMMYFUNCTION("""COMPUTED_VALUE"""),"Velma Guidry")</f>
        <v>Velma Guidry</v>
      </c>
      <c r="I292" s="9">
        <f ca="1">IFERROR(__xludf.DUMMYFUNCTION("""COMPUTED_VALUE"""),45358)</f>
        <v>45358</v>
      </c>
      <c r="J292" s="9"/>
      <c r="K292" s="8" t="str">
        <f ca="1">IFERROR(__xludf.DUMMYFUNCTION("""COMPUTED_VALUE"""),"PM")</f>
        <v>PM</v>
      </c>
      <c r="L292" s="8" t="str">
        <f ca="1">IFERROR(__xludf.DUMMYFUNCTION("""COMPUTED_VALUE"""),"7th Grade")</f>
        <v>7th Grade</v>
      </c>
      <c r="M292" s="8" t="str">
        <f ca="1">IFERROR(__xludf.DUMMYFUNCTION("""COMPUTED_VALUE"""),"ELA")</f>
        <v>ELA</v>
      </c>
      <c r="N292" s="8">
        <f ca="1">IFERROR(__xludf.DUMMYFUNCTION("""COMPUTED_VALUE"""),6.5)</f>
        <v>6.5</v>
      </c>
      <c r="O292" s="8" t="str">
        <f ca="1">IFERROR(__xludf.DUMMYFUNCTION("""COMPUTED_VALUE"""),"Proficient I")</f>
        <v>Proficient I</v>
      </c>
      <c r="P292" s="8">
        <f ca="1">IFERROR(__xludf.DUMMYFUNCTION("""COMPUTED_VALUE"""),1)</f>
        <v>1</v>
      </c>
      <c r="Q292" s="8">
        <f ca="1">IFERROR(__xludf.DUMMYFUNCTION("""COMPUTED_VALUE"""),2)</f>
        <v>2</v>
      </c>
      <c r="R292" s="8">
        <f ca="1">IFERROR(__xludf.DUMMYFUNCTION("""COMPUTED_VALUE"""),2.5)</f>
        <v>2.5</v>
      </c>
      <c r="S292" s="8">
        <f ca="1">IFERROR(__xludf.DUMMYFUNCTION("""COMPUTED_VALUE"""),1)</f>
        <v>1</v>
      </c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</row>
    <row r="293" spans="1:31" ht="13.15" x14ac:dyDescent="0.4">
      <c r="A293" s="8"/>
      <c r="B293" s="8"/>
      <c r="C293" s="8"/>
      <c r="D293" s="8"/>
      <c r="E293" s="8" t="str">
        <f ca="1">IFERROR(__xludf.DUMMYFUNCTION("""COMPUTED_VALUE"""),"SMITH")</f>
        <v>SMITH</v>
      </c>
      <c r="F293" s="8" t="str">
        <f ca="1">IFERROR(__xludf.DUMMYFUNCTION("""COMPUTED_VALUE"""),"Core Subject With LSAE")</f>
        <v>Core Subject With LSAE</v>
      </c>
      <c r="G293" s="8" t="str">
        <f ca="1">IFERROR(__xludf.DUMMYFUNCTION("""COMPUTED_VALUE"""),"Christina Goss")</f>
        <v>Christina Goss</v>
      </c>
      <c r="H293" s="8" t="str">
        <f ca="1">IFERROR(__xludf.DUMMYFUNCTION("""COMPUTED_VALUE"""),"Velma Guidry")</f>
        <v>Velma Guidry</v>
      </c>
      <c r="I293" s="9">
        <f ca="1">IFERROR(__xludf.DUMMYFUNCTION("""COMPUTED_VALUE"""),45359)</f>
        <v>45359</v>
      </c>
      <c r="J293" s="9"/>
      <c r="K293" s="8" t="str">
        <f ca="1">IFERROR(__xludf.DUMMYFUNCTION("""COMPUTED_VALUE"""),"PM")</f>
        <v>PM</v>
      </c>
      <c r="L293" s="8" t="str">
        <f ca="1">IFERROR(__xludf.DUMMYFUNCTION("""COMPUTED_VALUE"""),"8th Grade")</f>
        <v>8th Grade</v>
      </c>
      <c r="M293" s="8" t="str">
        <f ca="1">IFERROR(__xludf.DUMMYFUNCTION("""COMPUTED_VALUE"""),"Math")</f>
        <v>Math</v>
      </c>
      <c r="N293" s="8">
        <f ca="1">IFERROR(__xludf.DUMMYFUNCTION("""COMPUTED_VALUE"""),6)</f>
        <v>6</v>
      </c>
      <c r="O293" s="8" t="str">
        <f ca="1">IFERROR(__xludf.DUMMYFUNCTION("""COMPUTED_VALUE"""),"Proficient I")</f>
        <v>Proficient I</v>
      </c>
      <c r="P293" s="8">
        <f ca="1">IFERROR(__xludf.DUMMYFUNCTION("""COMPUTED_VALUE"""),1)</f>
        <v>1</v>
      </c>
      <c r="Q293" s="8">
        <f ca="1">IFERROR(__xludf.DUMMYFUNCTION("""COMPUTED_VALUE"""),2)</f>
        <v>2</v>
      </c>
      <c r="R293" s="8">
        <f ca="1">IFERROR(__xludf.DUMMYFUNCTION("""COMPUTED_VALUE"""),2)</f>
        <v>2</v>
      </c>
      <c r="S293" s="8">
        <f ca="1">IFERROR(__xludf.DUMMYFUNCTION("""COMPUTED_VALUE"""),1)</f>
        <v>1</v>
      </c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</row>
    <row r="294" spans="1:31" ht="13.15" x14ac:dyDescent="0.4">
      <c r="A294" s="8"/>
      <c r="B294" s="8"/>
      <c r="C294" s="8"/>
      <c r="D294" s="8"/>
      <c r="E294" s="8" t="str">
        <f ca="1">IFERROR(__xludf.DUMMYFUNCTION("""COMPUTED_VALUE"""),"SMITH")</f>
        <v>SMITH</v>
      </c>
      <c r="F294" s="8" t="str">
        <f ca="1">IFERROR(__xludf.DUMMYFUNCTION("""COMPUTED_VALUE"""),"Learning Coach")</f>
        <v>Learning Coach</v>
      </c>
      <c r="G294" s="8" t="str">
        <f ca="1">IFERROR(__xludf.DUMMYFUNCTION("""COMPUTED_VALUE"""),"Eureka Young")</f>
        <v>Eureka Young</v>
      </c>
      <c r="H294" s="8" t="str">
        <f ca="1">IFERROR(__xludf.DUMMYFUNCTION("""COMPUTED_VALUE"""),"Velma Guidry")</f>
        <v>Velma Guidry</v>
      </c>
      <c r="I294" s="9">
        <f ca="1">IFERROR(__xludf.DUMMYFUNCTION("""COMPUTED_VALUE"""),45359)</f>
        <v>45359</v>
      </c>
      <c r="J294" s="9">
        <f ca="1">IFERROR(__xludf.DUMMYFUNCTION("""COMPUTED_VALUE"""),45359)</f>
        <v>45359</v>
      </c>
      <c r="K294" s="8" t="str">
        <f ca="1">IFERROR(__xludf.DUMMYFUNCTION("""COMPUTED_VALUE"""),"AM")</f>
        <v>AM</v>
      </c>
      <c r="L294" s="8"/>
      <c r="M294" s="8"/>
      <c r="N294" s="8">
        <f ca="1">IFERROR(__xludf.DUMMYFUNCTION("""COMPUTED_VALUE"""),6)</f>
        <v>6</v>
      </c>
      <c r="O294" s="8" t="str">
        <f ca="1">IFERROR(__xludf.DUMMYFUNCTION("""COMPUTED_VALUE"""),"Proficient I")</f>
        <v>Proficient I</v>
      </c>
      <c r="P294" s="8">
        <f ca="1">IFERROR(__xludf.DUMMYFUNCTION("""COMPUTED_VALUE"""),1.5)</f>
        <v>1.5</v>
      </c>
      <c r="Q294" s="8">
        <f ca="1">IFERROR(__xludf.DUMMYFUNCTION("""COMPUTED_VALUE"""),2.5)</f>
        <v>2.5</v>
      </c>
      <c r="R294" s="8">
        <f ca="1">IFERROR(__xludf.DUMMYFUNCTION("""COMPUTED_VALUE"""),2)</f>
        <v>2</v>
      </c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</row>
    <row r="295" spans="1:31" ht="13.15" x14ac:dyDescent="0.4">
      <c r="A295" s="8"/>
      <c r="B295" s="8"/>
      <c r="C295" s="8"/>
      <c r="D295" s="8"/>
      <c r="E295" s="8" t="str">
        <f ca="1">IFERROR(__xludf.DUMMYFUNCTION("""COMPUTED_VALUE"""),"MENDEZ")</f>
        <v>MENDEZ</v>
      </c>
      <c r="F295" s="8" t="str">
        <f ca="1">IFERROR(__xludf.DUMMYFUNCTION("""COMPUTED_VALUE"""),"Core Subject With LSAE")</f>
        <v>Core Subject With LSAE</v>
      </c>
      <c r="G295" s="8" t="str">
        <f ca="1">IFERROR(__xludf.DUMMYFUNCTION("""COMPUTED_VALUE"""),"William Dominguez")</f>
        <v>William Dominguez</v>
      </c>
      <c r="H295" s="8" t="str">
        <f ca="1">IFERROR(__xludf.DUMMYFUNCTION("""COMPUTED_VALUE"""),"Elizabeth Miranda")</f>
        <v>Elizabeth Miranda</v>
      </c>
      <c r="I295" s="9">
        <f ca="1">IFERROR(__xludf.DUMMYFUNCTION("""COMPUTED_VALUE"""),45355)</f>
        <v>45355</v>
      </c>
      <c r="J295" s="9">
        <f ca="1">IFERROR(__xludf.DUMMYFUNCTION("""COMPUTED_VALUE"""),45355)</f>
        <v>45355</v>
      </c>
      <c r="K295" s="8" t="str">
        <f ca="1">IFERROR(__xludf.DUMMYFUNCTION("""COMPUTED_VALUE"""),"PM")</f>
        <v>PM</v>
      </c>
      <c r="L295" s="8" t="str">
        <f ca="1">IFERROR(__xludf.DUMMYFUNCTION("""COMPUTED_VALUE"""),"7th Grade")</f>
        <v>7th Grade</v>
      </c>
      <c r="M295" s="8" t="str">
        <f ca="1">IFERROR(__xludf.DUMMYFUNCTION("""COMPUTED_VALUE"""),"Science")</f>
        <v>Science</v>
      </c>
      <c r="N295" s="8">
        <f ca="1">IFERROR(__xludf.DUMMYFUNCTION("""COMPUTED_VALUE"""),5.5)</f>
        <v>5.5</v>
      </c>
      <c r="O295" s="8" t="str">
        <f ca="1">IFERROR(__xludf.DUMMYFUNCTION("""COMPUTED_VALUE"""),"Progressing")</f>
        <v>Progressing</v>
      </c>
      <c r="P295" s="8">
        <f ca="1">IFERROR(__xludf.DUMMYFUNCTION("""COMPUTED_VALUE"""),1)</f>
        <v>1</v>
      </c>
      <c r="Q295" s="8">
        <f ca="1">IFERROR(__xludf.DUMMYFUNCTION("""COMPUTED_VALUE"""),1.5)</f>
        <v>1.5</v>
      </c>
      <c r="R295" s="8">
        <f ca="1">IFERROR(__xludf.DUMMYFUNCTION("""COMPUTED_VALUE"""),1.5)</f>
        <v>1.5</v>
      </c>
      <c r="S295" s="8">
        <f ca="1">IFERROR(__xludf.DUMMYFUNCTION("""COMPUTED_VALUE"""),1.5)</f>
        <v>1.5</v>
      </c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</row>
    <row r="296" spans="1:31" ht="13.15" x14ac:dyDescent="0.4">
      <c r="A296" s="8"/>
      <c r="B296" s="8"/>
      <c r="C296" s="8"/>
      <c r="D296" s="8"/>
      <c r="E296" s="8" t="str">
        <f ca="1">IFERROR(__xludf.DUMMYFUNCTION("""COMPUTED_VALUE"""),"MENDEZ")</f>
        <v>MENDEZ</v>
      </c>
      <c r="F296" s="8" t="str">
        <f ca="1">IFERROR(__xludf.DUMMYFUNCTION("""COMPUTED_VALUE"""),"Core Subject With LSAE")</f>
        <v>Core Subject With LSAE</v>
      </c>
      <c r="G296" s="8" t="str">
        <f ca="1">IFERROR(__xludf.DUMMYFUNCTION("""COMPUTED_VALUE"""),"Markievy Johnson")</f>
        <v>Markievy Johnson</v>
      </c>
      <c r="H296" s="8" t="str">
        <f ca="1">IFERROR(__xludf.DUMMYFUNCTION("""COMPUTED_VALUE"""),"Elizabeth Miranda")</f>
        <v>Elizabeth Miranda</v>
      </c>
      <c r="I296" s="9">
        <f ca="1">IFERROR(__xludf.DUMMYFUNCTION("""COMPUTED_VALUE"""),45356)</f>
        <v>45356</v>
      </c>
      <c r="J296" s="9"/>
      <c r="K296" s="8" t="str">
        <f ca="1">IFERROR(__xludf.DUMMYFUNCTION("""COMPUTED_VALUE"""),"AM")</f>
        <v>AM</v>
      </c>
      <c r="L296" s="8" t="str">
        <f ca="1">IFERROR(__xludf.DUMMYFUNCTION("""COMPUTED_VALUE"""),"7th Grade")</f>
        <v>7th Grade</v>
      </c>
      <c r="M296" s="8" t="str">
        <f ca="1">IFERROR(__xludf.DUMMYFUNCTION("""COMPUTED_VALUE"""),"Math")</f>
        <v>Math</v>
      </c>
      <c r="N296" s="8">
        <f ca="1">IFERROR(__xludf.DUMMYFUNCTION("""COMPUTED_VALUE"""),5.5)</f>
        <v>5.5</v>
      </c>
      <c r="O296" s="8" t="str">
        <f ca="1">IFERROR(__xludf.DUMMYFUNCTION("""COMPUTED_VALUE"""),"Progressing")</f>
        <v>Progressing</v>
      </c>
      <c r="P296" s="8">
        <f ca="1">IFERROR(__xludf.DUMMYFUNCTION("""COMPUTED_VALUE"""),1)</f>
        <v>1</v>
      </c>
      <c r="Q296" s="8">
        <f ca="1">IFERROR(__xludf.DUMMYFUNCTION("""COMPUTED_VALUE"""),1.5)</f>
        <v>1.5</v>
      </c>
      <c r="R296" s="8">
        <f ca="1">IFERROR(__xludf.DUMMYFUNCTION("""COMPUTED_VALUE"""),1.5)</f>
        <v>1.5</v>
      </c>
      <c r="S296" s="8">
        <f ca="1">IFERROR(__xludf.DUMMYFUNCTION("""COMPUTED_VALUE"""),1.5)</f>
        <v>1.5</v>
      </c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</row>
    <row r="297" spans="1:31" ht="13.15" x14ac:dyDescent="0.4">
      <c r="A297" s="8"/>
      <c r="B297" s="8"/>
      <c r="C297" s="8"/>
      <c r="D297" s="8"/>
      <c r="E297" s="8" t="str">
        <f ca="1">IFERROR(__xludf.DUMMYFUNCTION("""COMPUTED_VALUE"""),"MENDEZ")</f>
        <v>MENDEZ</v>
      </c>
      <c r="F297" s="8" t="str">
        <f ca="1">IFERROR(__xludf.DUMMYFUNCTION("""COMPUTED_VALUE"""),"Core Subject With LSAE")</f>
        <v>Core Subject With LSAE</v>
      </c>
      <c r="G297" s="8" t="str">
        <f ca="1">IFERROR(__xludf.DUMMYFUNCTION("""COMPUTED_VALUE"""),"Sisten Lipsey")</f>
        <v>Sisten Lipsey</v>
      </c>
      <c r="H297" s="8" t="str">
        <f ca="1">IFERROR(__xludf.DUMMYFUNCTION("""COMPUTED_VALUE"""),"Jeremiah Willis")</f>
        <v>Jeremiah Willis</v>
      </c>
      <c r="I297" s="9">
        <f ca="1">IFERROR(__xludf.DUMMYFUNCTION("""COMPUTED_VALUE"""),45355)</f>
        <v>45355</v>
      </c>
      <c r="J297" s="9"/>
      <c r="K297" s="8" t="str">
        <f ca="1">IFERROR(__xludf.DUMMYFUNCTION("""COMPUTED_VALUE"""),"AM")</f>
        <v>AM</v>
      </c>
      <c r="L297" s="8" t="str">
        <f ca="1">IFERROR(__xludf.DUMMYFUNCTION("""COMPUTED_VALUE"""),"8th Grade")</f>
        <v>8th Grade</v>
      </c>
      <c r="M297" s="8" t="str">
        <f ca="1">IFERROR(__xludf.DUMMYFUNCTION("""COMPUTED_VALUE"""),"ELA")</f>
        <v>ELA</v>
      </c>
      <c r="N297" s="8">
        <f ca="1">IFERROR(__xludf.DUMMYFUNCTION("""COMPUTED_VALUE"""),6.5)</f>
        <v>6.5</v>
      </c>
      <c r="O297" s="8" t="str">
        <f ca="1">IFERROR(__xludf.DUMMYFUNCTION("""COMPUTED_VALUE"""),"Proficient I")</f>
        <v>Proficient I</v>
      </c>
      <c r="P297" s="8">
        <f ca="1">IFERROR(__xludf.DUMMYFUNCTION("""COMPUTED_VALUE"""),1)</f>
        <v>1</v>
      </c>
      <c r="Q297" s="8">
        <f ca="1">IFERROR(__xludf.DUMMYFUNCTION("""COMPUTED_VALUE"""),2)</f>
        <v>2</v>
      </c>
      <c r="R297" s="8">
        <f ca="1">IFERROR(__xludf.DUMMYFUNCTION("""COMPUTED_VALUE"""),2)</f>
        <v>2</v>
      </c>
      <c r="S297" s="8">
        <f ca="1">IFERROR(__xludf.DUMMYFUNCTION("""COMPUTED_VALUE"""),1.5)</f>
        <v>1.5</v>
      </c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</row>
    <row r="298" spans="1:31" ht="13.15" x14ac:dyDescent="0.4">
      <c r="A298" s="8"/>
      <c r="B298" s="8"/>
      <c r="C298" s="8"/>
      <c r="D298" s="8"/>
      <c r="E298" s="8" t="str">
        <f ca="1">IFERROR(__xludf.DUMMYFUNCTION("""COMPUTED_VALUE"""),"MENDEZ")</f>
        <v>MENDEZ</v>
      </c>
      <c r="F298" s="8" t="str">
        <f ca="1">IFERROR(__xludf.DUMMYFUNCTION("""COMPUTED_VALUE"""),"Learning Coach -- Sub")</f>
        <v>Learning Coach -- Sub</v>
      </c>
      <c r="G298" s="8" t="str">
        <f ca="1">IFERROR(__xludf.DUMMYFUNCTION("""COMPUTED_VALUE"""),"Bianca Rocha")</f>
        <v>Bianca Rocha</v>
      </c>
      <c r="H298" s="8" t="str">
        <f ca="1">IFERROR(__xludf.DUMMYFUNCTION("""COMPUTED_VALUE"""),"Jeremiah Willis")</f>
        <v>Jeremiah Willis</v>
      </c>
      <c r="I298" s="9">
        <f ca="1">IFERROR(__xludf.DUMMYFUNCTION("""COMPUTED_VALUE"""),45355)</f>
        <v>45355</v>
      </c>
      <c r="J298" s="9"/>
      <c r="K298" s="8" t="str">
        <f ca="1">IFERROR(__xludf.DUMMYFUNCTION("""COMPUTED_VALUE"""),"PM")</f>
        <v>PM</v>
      </c>
      <c r="L298" s="8" t="str">
        <f ca="1">IFERROR(__xludf.DUMMYFUNCTION("""COMPUTED_VALUE"""),"8th Grade")</f>
        <v>8th Grade</v>
      </c>
      <c r="M298" s="8" t="str">
        <f ca="1">IFERROR(__xludf.DUMMYFUNCTION("""COMPUTED_VALUE"""),"Art of Thinking")</f>
        <v>Art of Thinking</v>
      </c>
      <c r="N298" s="8">
        <f ca="1">IFERROR(__xludf.DUMMYFUNCTION("""COMPUTED_VALUE"""),7)</f>
        <v>7</v>
      </c>
      <c r="O298" s="8" t="str">
        <f ca="1">IFERROR(__xludf.DUMMYFUNCTION("""COMPUTED_VALUE"""),"Proficient I")</f>
        <v>Proficient I</v>
      </c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</row>
    <row r="299" spans="1:31" ht="13.15" x14ac:dyDescent="0.4">
      <c r="A299" s="8"/>
      <c r="B299" s="8"/>
      <c r="C299" s="8"/>
      <c r="D299" s="8"/>
      <c r="E299" s="8" t="str">
        <f ca="1">IFERROR(__xludf.DUMMYFUNCTION("""COMPUTED_VALUE"""),"MENDEZ")</f>
        <v>MENDEZ</v>
      </c>
      <c r="F299" s="8" t="str">
        <f ca="1">IFERROR(__xludf.DUMMYFUNCTION("""COMPUTED_VALUE"""),"Core Subject With LSAE")</f>
        <v>Core Subject With LSAE</v>
      </c>
      <c r="G299" s="8" t="str">
        <f ca="1">IFERROR(__xludf.DUMMYFUNCTION("""COMPUTED_VALUE"""),"Timothy Ward")</f>
        <v>Timothy Ward</v>
      </c>
      <c r="H299" s="8" t="str">
        <f ca="1">IFERROR(__xludf.DUMMYFUNCTION("""COMPUTED_VALUE"""),"Jeremiah Willis")</f>
        <v>Jeremiah Willis</v>
      </c>
      <c r="I299" s="9">
        <f ca="1">IFERROR(__xludf.DUMMYFUNCTION("""COMPUTED_VALUE"""),45356)</f>
        <v>45356</v>
      </c>
      <c r="J299" s="9">
        <f ca="1">IFERROR(__xludf.DUMMYFUNCTION("""COMPUTED_VALUE"""),45356)</f>
        <v>45356</v>
      </c>
      <c r="K299" s="8" t="str">
        <f ca="1">IFERROR(__xludf.DUMMYFUNCTION("""COMPUTED_VALUE"""),"AM")</f>
        <v>AM</v>
      </c>
      <c r="L299" s="8" t="str">
        <f ca="1">IFERROR(__xludf.DUMMYFUNCTION("""COMPUTED_VALUE"""),"8th Grade")</f>
        <v>8th Grade</v>
      </c>
      <c r="M299" s="8" t="str">
        <f ca="1">IFERROR(__xludf.DUMMYFUNCTION("""COMPUTED_VALUE"""),"Math")</f>
        <v>Math</v>
      </c>
      <c r="N299" s="8">
        <f ca="1">IFERROR(__xludf.DUMMYFUNCTION("""COMPUTED_VALUE"""),7)</f>
        <v>7</v>
      </c>
      <c r="O299" s="8" t="str">
        <f ca="1">IFERROR(__xludf.DUMMYFUNCTION("""COMPUTED_VALUE"""),"Proficient I")</f>
        <v>Proficient I</v>
      </c>
      <c r="P299" s="8">
        <f ca="1">IFERROR(__xludf.DUMMYFUNCTION("""COMPUTED_VALUE"""),1)</f>
        <v>1</v>
      </c>
      <c r="Q299" s="8">
        <f ca="1">IFERROR(__xludf.DUMMYFUNCTION("""COMPUTED_VALUE"""),2)</f>
        <v>2</v>
      </c>
      <c r="R299" s="8">
        <f ca="1">IFERROR(__xludf.DUMMYFUNCTION("""COMPUTED_VALUE"""),2)</f>
        <v>2</v>
      </c>
      <c r="S299" s="8">
        <f ca="1">IFERROR(__xludf.DUMMYFUNCTION("""COMPUTED_VALUE"""),2)</f>
        <v>2</v>
      </c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</row>
    <row r="300" spans="1:31" ht="13.15" x14ac:dyDescent="0.4">
      <c r="A300" s="8"/>
      <c r="B300" s="8"/>
      <c r="C300" s="8"/>
      <c r="D300" s="8"/>
      <c r="E300" s="8" t="str">
        <f ca="1">IFERROR(__xludf.DUMMYFUNCTION("""COMPUTED_VALUE"""),"MENDEZ")</f>
        <v>MENDEZ</v>
      </c>
      <c r="F300" s="8" t="str">
        <f ca="1">IFERROR(__xludf.DUMMYFUNCTION("""COMPUTED_VALUE"""),"Core Subject With LSAE")</f>
        <v>Core Subject With LSAE</v>
      </c>
      <c r="G300" s="8" t="str">
        <f ca="1">IFERROR(__xludf.DUMMYFUNCTION("""COMPUTED_VALUE"""),"Kristina Pervel")</f>
        <v>Kristina Pervel</v>
      </c>
      <c r="H300" s="8" t="str">
        <f ca="1">IFERROR(__xludf.DUMMYFUNCTION("""COMPUTED_VALUE"""),"Jeremiah Willis")</f>
        <v>Jeremiah Willis</v>
      </c>
      <c r="I300" s="9">
        <f ca="1">IFERROR(__xludf.DUMMYFUNCTION("""COMPUTED_VALUE"""),45359)</f>
        <v>45359</v>
      </c>
      <c r="J300" s="9">
        <f ca="1">IFERROR(__xludf.DUMMYFUNCTION("""COMPUTED_VALUE"""),45359)</f>
        <v>45359</v>
      </c>
      <c r="K300" s="8" t="str">
        <f ca="1">IFERROR(__xludf.DUMMYFUNCTION("""COMPUTED_VALUE"""),"AM")</f>
        <v>AM</v>
      </c>
      <c r="L300" s="8" t="str">
        <f ca="1">IFERROR(__xludf.DUMMYFUNCTION("""COMPUTED_VALUE"""),"8th Grade")</f>
        <v>8th Grade</v>
      </c>
      <c r="M300" s="8" t="str">
        <f ca="1">IFERROR(__xludf.DUMMYFUNCTION("""COMPUTED_VALUE"""),"Science")</f>
        <v>Science</v>
      </c>
      <c r="N300" s="8">
        <f ca="1">IFERROR(__xludf.DUMMYFUNCTION("""COMPUTED_VALUE"""),6)</f>
        <v>6</v>
      </c>
      <c r="O300" s="8" t="str">
        <f ca="1">IFERROR(__xludf.DUMMYFUNCTION("""COMPUTED_VALUE"""),"Proficient I")</f>
        <v>Proficient I</v>
      </c>
      <c r="P300" s="8">
        <f ca="1">IFERROR(__xludf.DUMMYFUNCTION("""COMPUTED_VALUE"""),1)</f>
        <v>1</v>
      </c>
      <c r="Q300" s="8">
        <f ca="1">IFERROR(__xludf.DUMMYFUNCTION("""COMPUTED_VALUE"""),1.5)</f>
        <v>1.5</v>
      </c>
      <c r="R300" s="8">
        <f ca="1">IFERROR(__xludf.DUMMYFUNCTION("""COMPUTED_VALUE"""),2)</f>
        <v>2</v>
      </c>
      <c r="S300" s="8">
        <f ca="1">IFERROR(__xludf.DUMMYFUNCTION("""COMPUTED_VALUE"""),1.5)</f>
        <v>1.5</v>
      </c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</row>
    <row r="301" spans="1:31" ht="13.15" x14ac:dyDescent="0.4">
      <c r="A301" s="8"/>
      <c r="B301" s="8"/>
      <c r="C301" s="8"/>
      <c r="D301" s="8"/>
      <c r="E301" s="8" t="str">
        <f ca="1">IFERROR(__xludf.DUMMYFUNCTION("""COMPUTED_VALUE"""),"MENDEZ")</f>
        <v>MENDEZ</v>
      </c>
      <c r="F301" s="8" t="str">
        <f ca="1">IFERROR(__xludf.DUMMYFUNCTION("""COMPUTED_VALUE"""),"Core Subject With LSAE")</f>
        <v>Core Subject With LSAE</v>
      </c>
      <c r="G301" s="8" t="str">
        <f ca="1">IFERROR(__xludf.DUMMYFUNCTION("""COMPUTED_VALUE"""),"Timothy Ward")</f>
        <v>Timothy Ward</v>
      </c>
      <c r="H301" s="8" t="str">
        <f ca="1">IFERROR(__xludf.DUMMYFUNCTION("""COMPUTED_VALUE"""),"Jeremiah Willis")</f>
        <v>Jeremiah Willis</v>
      </c>
      <c r="I301" s="9">
        <f ca="1">IFERROR(__xludf.DUMMYFUNCTION("""COMPUTED_VALUE"""),45359)</f>
        <v>45359</v>
      </c>
      <c r="J301" s="9">
        <f ca="1">IFERROR(__xludf.DUMMYFUNCTION("""COMPUTED_VALUE"""),45359)</f>
        <v>45359</v>
      </c>
      <c r="K301" s="8" t="str">
        <f ca="1">IFERROR(__xludf.DUMMYFUNCTION("""COMPUTED_VALUE"""),"PM")</f>
        <v>PM</v>
      </c>
      <c r="L301" s="8" t="str">
        <f ca="1">IFERROR(__xludf.DUMMYFUNCTION("""COMPUTED_VALUE"""),"8th Grade")</f>
        <v>8th Grade</v>
      </c>
      <c r="M301" s="8" t="str">
        <f ca="1">IFERROR(__xludf.DUMMYFUNCTION("""COMPUTED_VALUE"""),"Math")</f>
        <v>Math</v>
      </c>
      <c r="N301" s="8">
        <f ca="1">IFERROR(__xludf.DUMMYFUNCTION("""COMPUTED_VALUE"""),7)</f>
        <v>7</v>
      </c>
      <c r="O301" s="8" t="str">
        <f ca="1">IFERROR(__xludf.DUMMYFUNCTION("""COMPUTED_VALUE"""),"Proficient I")</f>
        <v>Proficient I</v>
      </c>
      <c r="P301" s="8">
        <f ca="1">IFERROR(__xludf.DUMMYFUNCTION("""COMPUTED_VALUE"""),1)</f>
        <v>1</v>
      </c>
      <c r="Q301" s="8">
        <f ca="1">IFERROR(__xludf.DUMMYFUNCTION("""COMPUTED_VALUE"""),2)</f>
        <v>2</v>
      </c>
      <c r="R301" s="8">
        <f ca="1">IFERROR(__xludf.DUMMYFUNCTION("""COMPUTED_VALUE"""),2)</f>
        <v>2</v>
      </c>
      <c r="S301" s="8">
        <f ca="1">IFERROR(__xludf.DUMMYFUNCTION("""COMPUTED_VALUE"""),2)</f>
        <v>2</v>
      </c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</row>
    <row r="302" spans="1:31" ht="13.15" x14ac:dyDescent="0.4">
      <c r="A302" s="8"/>
      <c r="B302" s="8"/>
      <c r="C302" s="8"/>
      <c r="D302" s="8"/>
      <c r="E302" s="8" t="str">
        <f ca="1">IFERROR(__xludf.DUMMYFUNCTION("""COMPUTED_VALUE"""),"PRESCOTT")</f>
        <v>PRESCOTT</v>
      </c>
      <c r="F302" s="8" t="str">
        <f ca="1">IFERROR(__xludf.DUMMYFUNCTION("""COMPUTED_VALUE"""),"Core Subject No LSAE")</f>
        <v>Core Subject No LSAE</v>
      </c>
      <c r="G302" s="8" t="str">
        <f ca="1">IFERROR(__xludf.DUMMYFUNCTION("""COMPUTED_VALUE"""),"Ballah Pewee")</f>
        <v>Ballah Pewee</v>
      </c>
      <c r="H302" s="8" t="str">
        <f ca="1">IFERROR(__xludf.DUMMYFUNCTION("""COMPUTED_VALUE"""),"Cleotha Johnigan")</f>
        <v>Cleotha Johnigan</v>
      </c>
      <c r="I302" s="9">
        <f ca="1">IFERROR(__xludf.DUMMYFUNCTION("""COMPUTED_VALUE"""),45355)</f>
        <v>45355</v>
      </c>
      <c r="J302" s="9">
        <f ca="1">IFERROR(__xludf.DUMMYFUNCTION("""COMPUTED_VALUE"""),45359)</f>
        <v>45359</v>
      </c>
      <c r="K302" s="8" t="str">
        <f ca="1">IFERROR(__xludf.DUMMYFUNCTION("""COMPUTED_VALUE"""),"AM")</f>
        <v>AM</v>
      </c>
      <c r="L302" s="8" t="str">
        <f ca="1">IFERROR(__xludf.DUMMYFUNCTION("""COMPUTED_VALUE"""),"2nd Grade")</f>
        <v>2nd Grade</v>
      </c>
      <c r="M302" s="8" t="str">
        <f ca="1">IFERROR(__xludf.DUMMYFUNCTION("""COMPUTED_VALUE"""),"Math")</f>
        <v>Math</v>
      </c>
      <c r="N302" s="8">
        <f ca="1">IFERROR(__xludf.DUMMYFUNCTION("""COMPUTED_VALUE"""),6)</f>
        <v>6</v>
      </c>
      <c r="O302" s="8" t="str">
        <f ca="1">IFERROR(__xludf.DUMMYFUNCTION("""COMPUTED_VALUE"""),"Proficient I")</f>
        <v>Proficient I</v>
      </c>
      <c r="P302" s="8">
        <f ca="1">IFERROR(__xludf.DUMMYFUNCTION("""COMPUTED_VALUE"""),2)</f>
        <v>2</v>
      </c>
      <c r="Q302" s="8">
        <f ca="1">IFERROR(__xludf.DUMMYFUNCTION("""COMPUTED_VALUE"""),2)</f>
        <v>2</v>
      </c>
      <c r="R302" s="8">
        <f ca="1">IFERROR(__xludf.DUMMYFUNCTION("""COMPUTED_VALUE"""),2)</f>
        <v>2</v>
      </c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</row>
    <row r="303" spans="1:31" ht="13.15" x14ac:dyDescent="0.4">
      <c r="A303" s="8"/>
      <c r="B303" s="8"/>
      <c r="C303" s="8"/>
      <c r="D303" s="8"/>
      <c r="E303" s="8" t="str">
        <f ca="1">IFERROR(__xludf.DUMMYFUNCTION("""COMPUTED_VALUE"""),"PRESCOTT")</f>
        <v>PRESCOTT</v>
      </c>
      <c r="F303" s="8" t="str">
        <f ca="1">IFERROR(__xludf.DUMMYFUNCTION("""COMPUTED_VALUE"""),"Learning Coach")</f>
        <v>Learning Coach</v>
      </c>
      <c r="G303" s="8" t="str">
        <f ca="1">IFERROR(__xludf.DUMMYFUNCTION("""COMPUTED_VALUE"""),"Marvin Mercer")</f>
        <v>Marvin Mercer</v>
      </c>
      <c r="H303" s="8" t="str">
        <f ca="1">IFERROR(__xludf.DUMMYFUNCTION("""COMPUTED_VALUE"""),"Cleotha Johnigan")</f>
        <v>Cleotha Johnigan</v>
      </c>
      <c r="I303" s="9">
        <f ca="1">IFERROR(__xludf.DUMMYFUNCTION("""COMPUTED_VALUE"""),45355)</f>
        <v>45355</v>
      </c>
      <c r="J303" s="9">
        <f ca="1">IFERROR(__xludf.DUMMYFUNCTION("""COMPUTED_VALUE"""),45359)</f>
        <v>45359</v>
      </c>
      <c r="K303" s="8" t="str">
        <f ca="1">IFERROR(__xludf.DUMMYFUNCTION("""COMPUTED_VALUE"""),"AM")</f>
        <v>AM</v>
      </c>
      <c r="L303" s="8"/>
      <c r="M303" s="8"/>
      <c r="N303" s="8">
        <f ca="1">IFERROR(__xludf.DUMMYFUNCTION("""COMPUTED_VALUE"""),6)</f>
        <v>6</v>
      </c>
      <c r="O303" s="8" t="str">
        <f ca="1">IFERROR(__xludf.DUMMYFUNCTION("""COMPUTED_VALUE"""),"Proficient I")</f>
        <v>Proficient I</v>
      </c>
      <c r="P303" s="8">
        <f ca="1">IFERROR(__xludf.DUMMYFUNCTION("""COMPUTED_VALUE"""),2)</f>
        <v>2</v>
      </c>
      <c r="Q303" s="8">
        <f ca="1">IFERROR(__xludf.DUMMYFUNCTION("""COMPUTED_VALUE"""),2)</f>
        <v>2</v>
      </c>
      <c r="R303" s="8">
        <f ca="1">IFERROR(__xludf.DUMMYFUNCTION("""COMPUTED_VALUE"""),2)</f>
        <v>2</v>
      </c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</row>
    <row r="304" spans="1:31" ht="13.15" x14ac:dyDescent="0.4">
      <c r="A304" s="8"/>
      <c r="B304" s="8"/>
      <c r="C304" s="8"/>
      <c r="D304" s="8"/>
      <c r="E304" s="8" t="str">
        <f ca="1">IFERROR(__xludf.DUMMYFUNCTION("""COMPUTED_VALUE"""),"PRESCOTT")</f>
        <v>PRESCOTT</v>
      </c>
      <c r="F304" s="8" t="str">
        <f ca="1">IFERROR(__xludf.DUMMYFUNCTION("""COMPUTED_VALUE"""),"Learning Coach -- Sub")</f>
        <v>Learning Coach -- Sub</v>
      </c>
      <c r="G304" s="8" t="str">
        <f ca="1">IFERROR(__xludf.DUMMYFUNCTION("""COMPUTED_VALUE"""),"Cierra Lewis")</f>
        <v>Cierra Lewis</v>
      </c>
      <c r="H304" s="8" t="str">
        <f ca="1">IFERROR(__xludf.DUMMYFUNCTION("""COMPUTED_VALUE"""),"Cleotha Johnigan")</f>
        <v>Cleotha Johnigan</v>
      </c>
      <c r="I304" s="9">
        <f ca="1">IFERROR(__xludf.DUMMYFUNCTION("""COMPUTED_VALUE"""),45355)</f>
        <v>45355</v>
      </c>
      <c r="J304" s="9">
        <f ca="1">IFERROR(__xludf.DUMMYFUNCTION("""COMPUTED_VALUE"""),45359)</f>
        <v>45359</v>
      </c>
      <c r="K304" s="8" t="str">
        <f ca="1">IFERROR(__xludf.DUMMYFUNCTION("""COMPUTED_VALUE"""),"AM")</f>
        <v>AM</v>
      </c>
      <c r="L304" s="8" t="str">
        <f ca="1">IFERROR(__xludf.DUMMYFUNCTION("""COMPUTED_VALUE"""),"4th Grade")</f>
        <v>4th Grade</v>
      </c>
      <c r="M304" s="8" t="str">
        <f ca="1">IFERROR(__xludf.DUMMYFUNCTION("""COMPUTED_VALUE"""),"Science")</f>
        <v>Science</v>
      </c>
      <c r="N304" s="8">
        <f ca="1">IFERROR(__xludf.DUMMYFUNCTION("""COMPUTED_VALUE"""),7)</f>
        <v>7</v>
      </c>
      <c r="O304" s="8" t="str">
        <f ca="1">IFERROR(__xludf.DUMMYFUNCTION("""COMPUTED_VALUE"""),"Proficient I")</f>
        <v>Proficient I</v>
      </c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</row>
    <row r="305" spans="1:31" ht="13.15" x14ac:dyDescent="0.4">
      <c r="A305" s="8"/>
      <c r="B305" s="8"/>
      <c r="C305" s="8"/>
      <c r="D305" s="8"/>
      <c r="E305" s="8" t="str">
        <f ca="1">IFERROR(__xludf.DUMMYFUNCTION("""COMPUTED_VALUE"""),"PRESCOTT")</f>
        <v>PRESCOTT</v>
      </c>
      <c r="F305" s="8" t="str">
        <f ca="1">IFERROR(__xludf.DUMMYFUNCTION("""COMPUTED_VALUE"""),"Core Subject No LSAE")</f>
        <v>Core Subject No LSAE</v>
      </c>
      <c r="G305" s="8" t="str">
        <f ca="1">IFERROR(__xludf.DUMMYFUNCTION("""COMPUTED_VALUE"""),"Alexis Washington")</f>
        <v>Alexis Washington</v>
      </c>
      <c r="H305" s="8" t="str">
        <f ca="1">IFERROR(__xludf.DUMMYFUNCTION("""COMPUTED_VALUE"""),"Cleotha Johnigan")</f>
        <v>Cleotha Johnigan</v>
      </c>
      <c r="I305" s="9">
        <f ca="1">IFERROR(__xludf.DUMMYFUNCTION("""COMPUTED_VALUE"""),45357)</f>
        <v>45357</v>
      </c>
      <c r="J305" s="9">
        <f ca="1">IFERROR(__xludf.DUMMYFUNCTION("""COMPUTED_VALUE"""),45359)</f>
        <v>45359</v>
      </c>
      <c r="K305" s="8" t="str">
        <f ca="1">IFERROR(__xludf.DUMMYFUNCTION("""COMPUTED_VALUE"""),"AM")</f>
        <v>AM</v>
      </c>
      <c r="L305" s="8" t="str">
        <f ca="1">IFERROR(__xludf.DUMMYFUNCTION("""COMPUTED_VALUE"""),"6th Grade")</f>
        <v>6th Grade</v>
      </c>
      <c r="M305" s="8" t="str">
        <f ca="1">IFERROR(__xludf.DUMMYFUNCTION("""COMPUTED_VALUE"""),"Science")</f>
        <v>Science</v>
      </c>
      <c r="N305" s="8">
        <f ca="1">IFERROR(__xludf.DUMMYFUNCTION("""COMPUTED_VALUE"""),7.5)</f>
        <v>7.5</v>
      </c>
      <c r="O305" s="8" t="str">
        <f ca="1">IFERROR(__xludf.DUMMYFUNCTION("""COMPUTED_VALUE"""),"Proficient I")</f>
        <v>Proficient I</v>
      </c>
      <c r="P305" s="8">
        <f ca="1">IFERROR(__xludf.DUMMYFUNCTION("""COMPUTED_VALUE"""),2)</f>
        <v>2</v>
      </c>
      <c r="Q305" s="8">
        <f ca="1">IFERROR(__xludf.DUMMYFUNCTION("""COMPUTED_VALUE"""),3)</f>
        <v>3</v>
      </c>
      <c r="R305" s="8">
        <f ca="1">IFERROR(__xludf.DUMMYFUNCTION("""COMPUTED_VALUE"""),2.5)</f>
        <v>2.5</v>
      </c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</row>
    <row r="306" spans="1:31" ht="13.15" x14ac:dyDescent="0.4">
      <c r="A306" s="8"/>
      <c r="B306" s="8"/>
      <c r="C306" s="8"/>
      <c r="D306" s="8"/>
      <c r="E306" s="8" t="str">
        <f ca="1">IFERROR(__xludf.DUMMYFUNCTION("""COMPUTED_VALUE"""),"PRESCOTT")</f>
        <v>PRESCOTT</v>
      </c>
      <c r="F306" s="8" t="str">
        <f ca="1">IFERROR(__xludf.DUMMYFUNCTION("""COMPUTED_VALUE"""),"Core Subject No LSAE")</f>
        <v>Core Subject No LSAE</v>
      </c>
      <c r="G306" s="8" t="str">
        <f ca="1">IFERROR(__xludf.DUMMYFUNCTION("""COMPUTED_VALUE"""),"Cheryl Rami")</f>
        <v>Cheryl Rami</v>
      </c>
      <c r="H306" s="8" t="str">
        <f ca="1">IFERROR(__xludf.DUMMYFUNCTION("""COMPUTED_VALUE"""),"Cleotha Johnigan")</f>
        <v>Cleotha Johnigan</v>
      </c>
      <c r="I306" s="9">
        <f ca="1">IFERROR(__xludf.DUMMYFUNCTION("""COMPUTED_VALUE"""),45358)</f>
        <v>45358</v>
      </c>
      <c r="J306" s="9">
        <f ca="1">IFERROR(__xludf.DUMMYFUNCTION("""COMPUTED_VALUE"""),45359)</f>
        <v>45359</v>
      </c>
      <c r="K306" s="8" t="str">
        <f ca="1">IFERROR(__xludf.DUMMYFUNCTION("""COMPUTED_VALUE"""),"AM")</f>
        <v>AM</v>
      </c>
      <c r="L306" s="8" t="str">
        <f ca="1">IFERROR(__xludf.DUMMYFUNCTION("""COMPUTED_VALUE"""),"6th Grade")</f>
        <v>6th Grade</v>
      </c>
      <c r="M306" s="8" t="str">
        <f ca="1">IFERROR(__xludf.DUMMYFUNCTION("""COMPUTED_VALUE"""),"Social Studies")</f>
        <v>Social Studies</v>
      </c>
      <c r="N306" s="8">
        <f ca="1">IFERROR(__xludf.DUMMYFUNCTION("""COMPUTED_VALUE"""),7)</f>
        <v>7</v>
      </c>
      <c r="O306" s="8" t="str">
        <f ca="1">IFERROR(__xludf.DUMMYFUNCTION("""COMPUTED_VALUE"""),"Proficient I")</f>
        <v>Proficient I</v>
      </c>
      <c r="P306" s="8">
        <f ca="1">IFERROR(__xludf.DUMMYFUNCTION("""COMPUTED_VALUE"""),2)</f>
        <v>2</v>
      </c>
      <c r="Q306" s="8">
        <f ca="1">IFERROR(__xludf.DUMMYFUNCTION("""COMPUTED_VALUE"""),2.5)</f>
        <v>2.5</v>
      </c>
      <c r="R306" s="8">
        <f ca="1">IFERROR(__xludf.DUMMYFUNCTION("""COMPUTED_VALUE"""),2.5)</f>
        <v>2.5</v>
      </c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</row>
    <row r="307" spans="1:31" ht="13.15" x14ac:dyDescent="0.4">
      <c r="A307" s="8"/>
      <c r="B307" s="8"/>
      <c r="C307" s="8"/>
      <c r="D307" s="8"/>
      <c r="E307" s="8" t="str">
        <f ca="1">IFERROR(__xludf.DUMMYFUNCTION("""COMPUTED_VALUE"""),"PRESCOTT")</f>
        <v>PRESCOTT</v>
      </c>
      <c r="F307" s="8" t="str">
        <f ca="1">IFERROR(__xludf.DUMMYFUNCTION("""COMPUTED_VALUE"""),"Core Subject No LSAE")</f>
        <v>Core Subject No LSAE</v>
      </c>
      <c r="G307" s="8" t="str">
        <f ca="1">IFERROR(__xludf.DUMMYFUNCTION("""COMPUTED_VALUE"""),"Jamie Rhodes")</f>
        <v>Jamie Rhodes</v>
      </c>
      <c r="H307" s="8" t="str">
        <f ca="1">IFERROR(__xludf.DUMMYFUNCTION("""COMPUTED_VALUE"""),"Cleotha Johnigan")</f>
        <v>Cleotha Johnigan</v>
      </c>
      <c r="I307" s="9">
        <f ca="1">IFERROR(__xludf.DUMMYFUNCTION("""COMPUTED_VALUE"""),45358)</f>
        <v>45358</v>
      </c>
      <c r="J307" s="9">
        <f ca="1">IFERROR(__xludf.DUMMYFUNCTION("""COMPUTED_VALUE"""),45359)</f>
        <v>45359</v>
      </c>
      <c r="K307" s="8" t="str">
        <f ca="1">IFERROR(__xludf.DUMMYFUNCTION("""COMPUTED_VALUE"""),"AM")</f>
        <v>AM</v>
      </c>
      <c r="L307" s="11" t="str">
        <f ca="1">IFERROR(__xludf.DUMMYFUNCTION("""COMPUTED_VALUE"""),"6th Grade")</f>
        <v>6th Grade</v>
      </c>
      <c r="M307" s="8" t="str">
        <f ca="1">IFERROR(__xludf.DUMMYFUNCTION("""COMPUTED_VALUE"""),"Science")</f>
        <v>Science</v>
      </c>
      <c r="N307" s="8">
        <f ca="1">IFERROR(__xludf.DUMMYFUNCTION("""COMPUTED_VALUE"""),7.5)</f>
        <v>7.5</v>
      </c>
      <c r="O307" s="8" t="str">
        <f ca="1">IFERROR(__xludf.DUMMYFUNCTION("""COMPUTED_VALUE"""),"Proficient I")</f>
        <v>Proficient I</v>
      </c>
      <c r="P307" s="8">
        <f ca="1">IFERROR(__xludf.DUMMYFUNCTION("""COMPUTED_VALUE"""),2)</f>
        <v>2</v>
      </c>
      <c r="Q307" s="8">
        <f ca="1">IFERROR(__xludf.DUMMYFUNCTION("""COMPUTED_VALUE"""),3)</f>
        <v>3</v>
      </c>
      <c r="R307" s="8">
        <f ca="1">IFERROR(__xludf.DUMMYFUNCTION("""COMPUTED_VALUE"""),2.5)</f>
        <v>2.5</v>
      </c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</row>
    <row r="308" spans="1:31" ht="13.15" x14ac:dyDescent="0.4">
      <c r="A308" s="8"/>
      <c r="B308" s="8"/>
      <c r="C308" s="8"/>
      <c r="D308" s="8"/>
      <c r="E308" s="8" t="str">
        <f ca="1">IFERROR(__xludf.DUMMYFUNCTION("""COMPUTED_VALUE"""),"PRESCOTT")</f>
        <v>PRESCOTT</v>
      </c>
      <c r="F308" s="8" t="str">
        <f ca="1">IFERROR(__xludf.DUMMYFUNCTION("""COMPUTED_VALUE"""),"Core Subject With LSAE")</f>
        <v>Core Subject With LSAE</v>
      </c>
      <c r="G308" s="8" t="str">
        <f ca="1">IFERROR(__xludf.DUMMYFUNCTION("""COMPUTED_VALUE"""),"Chataka Clark")</f>
        <v>Chataka Clark</v>
      </c>
      <c r="H308" s="8" t="str">
        <f ca="1">IFERROR(__xludf.DUMMYFUNCTION("""COMPUTED_VALUE"""),"Cleotha Johnigan")</f>
        <v>Cleotha Johnigan</v>
      </c>
      <c r="I308" s="9">
        <f ca="1">IFERROR(__xludf.DUMMYFUNCTION("""COMPUTED_VALUE"""),45358)</f>
        <v>45358</v>
      </c>
      <c r="J308" s="9">
        <f ca="1">IFERROR(__xludf.DUMMYFUNCTION("""COMPUTED_VALUE"""),45359)</f>
        <v>45359</v>
      </c>
      <c r="K308" s="8" t="str">
        <f ca="1">IFERROR(__xludf.DUMMYFUNCTION("""COMPUTED_VALUE"""),"AM")</f>
        <v>AM</v>
      </c>
      <c r="L308" s="8" t="str">
        <f ca="1">IFERROR(__xludf.DUMMYFUNCTION("""COMPUTED_VALUE"""),"5th Grade")</f>
        <v>5th Grade</v>
      </c>
      <c r="M308" s="8" t="str">
        <f ca="1">IFERROR(__xludf.DUMMYFUNCTION("""COMPUTED_VALUE"""),"Math")</f>
        <v>Math</v>
      </c>
      <c r="N308" s="8">
        <f ca="1">IFERROR(__xludf.DUMMYFUNCTION("""COMPUTED_VALUE"""),7.5)</f>
        <v>7.5</v>
      </c>
      <c r="O308" s="8" t="str">
        <f ca="1">IFERROR(__xludf.DUMMYFUNCTION("""COMPUTED_VALUE"""),"Proficient I")</f>
        <v>Proficient I</v>
      </c>
      <c r="P308" s="8">
        <f ca="1">IFERROR(__xludf.DUMMYFUNCTION("""COMPUTED_VALUE"""),1)</f>
        <v>1</v>
      </c>
      <c r="Q308" s="8">
        <f ca="1">IFERROR(__xludf.DUMMYFUNCTION("""COMPUTED_VALUE"""),2.5)</f>
        <v>2.5</v>
      </c>
      <c r="R308" s="8">
        <f ca="1">IFERROR(__xludf.DUMMYFUNCTION("""COMPUTED_VALUE"""),2.5)</f>
        <v>2.5</v>
      </c>
      <c r="S308" s="8">
        <f ca="1">IFERROR(__xludf.DUMMYFUNCTION("""COMPUTED_VALUE"""),1.5)</f>
        <v>1.5</v>
      </c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</row>
    <row r="309" spans="1:31" ht="13.15" x14ac:dyDescent="0.4">
      <c r="A309" s="8"/>
      <c r="B309" s="8"/>
      <c r="C309" s="8"/>
      <c r="D309" s="8"/>
      <c r="E309" s="8" t="str">
        <f ca="1">IFERROR(__xludf.DUMMYFUNCTION("""COMPUTED_VALUE"""),"PRESCOTT")</f>
        <v>PRESCOTT</v>
      </c>
      <c r="F309" s="8" t="str">
        <f ca="1">IFERROR(__xludf.DUMMYFUNCTION("""COMPUTED_VALUE"""),"Core Subject With LSAE")</f>
        <v>Core Subject With LSAE</v>
      </c>
      <c r="G309" s="8" t="str">
        <f ca="1">IFERROR(__xludf.DUMMYFUNCTION("""COMPUTED_VALUE"""),"Darren Taylor")</f>
        <v>Darren Taylor</v>
      </c>
      <c r="H309" s="8" t="str">
        <f ca="1">IFERROR(__xludf.DUMMYFUNCTION("""COMPUTED_VALUE"""),"Cleotha Johnigan")</f>
        <v>Cleotha Johnigan</v>
      </c>
      <c r="I309" s="9">
        <f ca="1">IFERROR(__xludf.DUMMYFUNCTION("""COMPUTED_VALUE"""),45358)</f>
        <v>45358</v>
      </c>
      <c r="J309" s="9"/>
      <c r="K309" s="8" t="str">
        <f ca="1">IFERROR(__xludf.DUMMYFUNCTION("""COMPUTED_VALUE"""),"AM")</f>
        <v>AM</v>
      </c>
      <c r="L309" s="8" t="str">
        <f ca="1">IFERROR(__xludf.DUMMYFUNCTION("""COMPUTED_VALUE"""),"7th Grade")</f>
        <v>7th Grade</v>
      </c>
      <c r="M309" s="8" t="str">
        <f ca="1">IFERROR(__xludf.DUMMYFUNCTION("""COMPUTED_VALUE"""),"Math")</f>
        <v>Math</v>
      </c>
      <c r="N309" s="8">
        <f ca="1">IFERROR(__xludf.DUMMYFUNCTION("""COMPUTED_VALUE"""),6.5)</f>
        <v>6.5</v>
      </c>
      <c r="O309" s="8" t="str">
        <f ca="1">IFERROR(__xludf.DUMMYFUNCTION("""COMPUTED_VALUE"""),"Proficient I")</f>
        <v>Proficient I</v>
      </c>
      <c r="P309" s="8">
        <f ca="1">IFERROR(__xludf.DUMMYFUNCTION("""COMPUTED_VALUE"""),1)</f>
        <v>1</v>
      </c>
      <c r="Q309" s="8">
        <f ca="1">IFERROR(__xludf.DUMMYFUNCTION("""COMPUTED_VALUE"""),2)</f>
        <v>2</v>
      </c>
      <c r="R309" s="8">
        <f ca="1">IFERROR(__xludf.DUMMYFUNCTION("""COMPUTED_VALUE"""),2)</f>
        <v>2</v>
      </c>
      <c r="S309" s="8">
        <f ca="1">IFERROR(__xludf.DUMMYFUNCTION("""COMPUTED_VALUE"""),1.5)</f>
        <v>1.5</v>
      </c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</row>
    <row r="310" spans="1:31" ht="13.15" x14ac:dyDescent="0.4">
      <c r="A310" s="8"/>
      <c r="B310" s="8"/>
      <c r="C310" s="8"/>
      <c r="D310" s="8"/>
      <c r="E310" s="8" t="str">
        <f ca="1">IFERROR(__xludf.DUMMYFUNCTION("""COMPUTED_VALUE"""),"PRESCOTT")</f>
        <v>PRESCOTT</v>
      </c>
      <c r="F310" s="8" t="str">
        <f ca="1">IFERROR(__xludf.DUMMYFUNCTION("""COMPUTED_VALUE"""),"Core Subject No LSAE")</f>
        <v>Core Subject No LSAE</v>
      </c>
      <c r="G310" s="8" t="str">
        <f ca="1">IFERROR(__xludf.DUMMYFUNCTION("""COMPUTED_VALUE"""),"Amber Foreman")</f>
        <v>Amber Foreman</v>
      </c>
      <c r="H310" s="8" t="str">
        <f ca="1">IFERROR(__xludf.DUMMYFUNCTION("""COMPUTED_VALUE"""),"Cleotha Johnigan")</f>
        <v>Cleotha Johnigan</v>
      </c>
      <c r="I310" s="9">
        <f ca="1">IFERROR(__xludf.DUMMYFUNCTION("""COMPUTED_VALUE"""),45359)</f>
        <v>45359</v>
      </c>
      <c r="J310" s="9"/>
      <c r="K310" s="8" t="str">
        <f ca="1">IFERROR(__xludf.DUMMYFUNCTION("""COMPUTED_VALUE"""),"AM")</f>
        <v>AM</v>
      </c>
      <c r="L310" s="8" t="str">
        <f ca="1">IFERROR(__xludf.DUMMYFUNCTION("""COMPUTED_VALUE"""),"4th Grade")</f>
        <v>4th Grade</v>
      </c>
      <c r="M310" s="8" t="str">
        <f ca="1">IFERROR(__xludf.DUMMYFUNCTION("""COMPUTED_VALUE"""),"Social Studies")</f>
        <v>Social Studies</v>
      </c>
      <c r="N310" s="8">
        <f ca="1">IFERROR(__xludf.DUMMYFUNCTION("""COMPUTED_VALUE"""),6.5)</f>
        <v>6.5</v>
      </c>
      <c r="O310" s="8" t="str">
        <f ca="1">IFERROR(__xludf.DUMMYFUNCTION("""COMPUTED_VALUE"""),"Proficient I")</f>
        <v>Proficient I</v>
      </c>
      <c r="P310" s="8">
        <f ca="1">IFERROR(__xludf.DUMMYFUNCTION("""COMPUTED_VALUE"""),2)</f>
        <v>2</v>
      </c>
      <c r="Q310" s="8">
        <f ca="1">IFERROR(__xludf.DUMMYFUNCTION("""COMPUTED_VALUE"""),2.5)</f>
        <v>2.5</v>
      </c>
      <c r="R310" s="8">
        <f ca="1">IFERROR(__xludf.DUMMYFUNCTION("""COMPUTED_VALUE"""),2)</f>
        <v>2</v>
      </c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</row>
    <row r="311" spans="1:31" ht="13.15" x14ac:dyDescent="0.4">
      <c r="A311" s="8"/>
      <c r="B311" s="8"/>
      <c r="C311" s="8"/>
      <c r="D311" s="8"/>
      <c r="E311" s="8" t="str">
        <f ca="1">IFERROR(__xludf.DUMMYFUNCTION("""COMPUTED_VALUE"""),"PRESCOTT")</f>
        <v>PRESCOTT</v>
      </c>
      <c r="F311" s="8" t="str">
        <f ca="1">IFERROR(__xludf.DUMMYFUNCTION("""COMPUTED_VALUE"""),"Core Subject With LSAE")</f>
        <v>Core Subject With LSAE</v>
      </c>
      <c r="G311" s="8" t="str">
        <f ca="1">IFERROR(__xludf.DUMMYFUNCTION("""COMPUTED_VALUE"""),"Consuelo Taylor")</f>
        <v>Consuelo Taylor</v>
      </c>
      <c r="H311" s="8" t="str">
        <f ca="1">IFERROR(__xludf.DUMMYFUNCTION("""COMPUTED_VALUE"""),"Cleotha Johnigan")</f>
        <v>Cleotha Johnigan</v>
      </c>
      <c r="I311" s="9">
        <f ca="1">IFERROR(__xludf.DUMMYFUNCTION("""COMPUTED_VALUE"""),45359)</f>
        <v>45359</v>
      </c>
      <c r="J311" s="9"/>
      <c r="K311" s="8" t="str">
        <f ca="1">IFERROR(__xludf.DUMMYFUNCTION("""COMPUTED_VALUE"""),"AM")</f>
        <v>AM</v>
      </c>
      <c r="L311" s="8" t="str">
        <f ca="1">IFERROR(__xludf.DUMMYFUNCTION("""COMPUTED_VALUE"""),"3rd Grade")</f>
        <v>3rd Grade</v>
      </c>
      <c r="M311" s="8" t="str">
        <f ca="1">IFERROR(__xludf.DUMMYFUNCTION("""COMPUTED_VALUE"""),"Math")</f>
        <v>Math</v>
      </c>
      <c r="N311" s="8">
        <f ca="1">IFERROR(__xludf.DUMMYFUNCTION("""COMPUTED_VALUE"""),7.5)</f>
        <v>7.5</v>
      </c>
      <c r="O311" s="8" t="str">
        <f ca="1">IFERROR(__xludf.DUMMYFUNCTION("""COMPUTED_VALUE"""),"Proficient I")</f>
        <v>Proficient I</v>
      </c>
      <c r="P311" s="8">
        <f ca="1">IFERROR(__xludf.DUMMYFUNCTION("""COMPUTED_VALUE"""),1)</f>
        <v>1</v>
      </c>
      <c r="Q311" s="8">
        <f ca="1">IFERROR(__xludf.DUMMYFUNCTION("""COMPUTED_VALUE"""),2.5)</f>
        <v>2.5</v>
      </c>
      <c r="R311" s="8">
        <f ca="1">IFERROR(__xludf.DUMMYFUNCTION("""COMPUTED_VALUE"""),3)</f>
        <v>3</v>
      </c>
      <c r="S311" s="8">
        <f ca="1">IFERROR(__xludf.DUMMYFUNCTION("""COMPUTED_VALUE"""),1)</f>
        <v>1</v>
      </c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</row>
    <row r="312" spans="1:31" ht="13.15" x14ac:dyDescent="0.4">
      <c r="A312" s="8"/>
      <c r="B312" s="8"/>
      <c r="C312" s="8"/>
      <c r="D312" s="8"/>
      <c r="E312" s="8" t="str">
        <f ca="1">IFERROR(__xludf.DUMMYFUNCTION("""COMPUTED_VALUE"""),"PRESCOTT")</f>
        <v>PRESCOTT</v>
      </c>
      <c r="F312" s="8" t="str">
        <f ca="1">IFERROR(__xludf.DUMMYFUNCTION("""COMPUTED_VALUE"""),"Learning Coach -- Sub")</f>
        <v>Learning Coach -- Sub</v>
      </c>
      <c r="G312" s="8" t="str">
        <f ca="1">IFERROR(__xludf.DUMMYFUNCTION("""COMPUTED_VALUE"""),"Marvin Mercer")</f>
        <v>Marvin Mercer</v>
      </c>
      <c r="H312" s="8" t="str">
        <f ca="1">IFERROR(__xludf.DUMMYFUNCTION("""COMPUTED_VALUE"""),"Cleotha Johnigan")</f>
        <v>Cleotha Johnigan</v>
      </c>
      <c r="I312" s="9">
        <f ca="1">IFERROR(__xludf.DUMMYFUNCTION("""COMPUTED_VALUE"""),45359)</f>
        <v>45359</v>
      </c>
      <c r="J312" s="9">
        <f ca="1">IFERROR(__xludf.DUMMYFUNCTION("""COMPUTED_VALUE"""),45359)</f>
        <v>45359</v>
      </c>
      <c r="K312" s="8" t="str">
        <f ca="1">IFERROR(__xludf.DUMMYFUNCTION("""COMPUTED_VALUE"""),"AM")</f>
        <v>AM</v>
      </c>
      <c r="L312" s="8" t="str">
        <f ca="1">IFERROR(__xludf.DUMMYFUNCTION("""COMPUTED_VALUE"""),"5th Grade")</f>
        <v>5th Grade</v>
      </c>
      <c r="M312" s="8" t="str">
        <f ca="1">IFERROR(__xludf.DUMMYFUNCTION("""COMPUTED_VALUE"""),"Math")</f>
        <v>Math</v>
      </c>
      <c r="N312" s="8">
        <f ca="1">IFERROR(__xludf.DUMMYFUNCTION("""COMPUTED_VALUE"""),6)</f>
        <v>6</v>
      </c>
      <c r="O312" s="8" t="str">
        <f ca="1">IFERROR(__xludf.DUMMYFUNCTION("""COMPUTED_VALUE"""),"Proficient I")</f>
        <v>Proficient I</v>
      </c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</row>
    <row r="313" spans="1:31" ht="13.15" x14ac:dyDescent="0.4">
      <c r="A313" s="8"/>
      <c r="B313" s="8"/>
      <c r="C313" s="8"/>
      <c r="D313" s="8"/>
      <c r="E313" s="8" t="str">
        <f ca="1">IFERROR(__xludf.DUMMYFUNCTION("""COMPUTED_VALUE"""),"PRESCOTT")</f>
        <v>PRESCOTT</v>
      </c>
      <c r="F313" s="8" t="str">
        <f ca="1">IFERROR(__xludf.DUMMYFUNCTION("""COMPUTED_VALUE"""),"Core Subject No LSAE")</f>
        <v>Core Subject No LSAE</v>
      </c>
      <c r="G313" s="8" t="str">
        <f ca="1">IFERROR(__xludf.DUMMYFUNCTION("""COMPUTED_VALUE"""),"Georgia Ensley")</f>
        <v>Georgia Ensley</v>
      </c>
      <c r="H313" s="8" t="str">
        <f ca="1">IFERROR(__xludf.DUMMYFUNCTION("""COMPUTED_VALUE"""),"Francine Pewee")</f>
        <v>Francine Pewee</v>
      </c>
      <c r="I313" s="9">
        <f ca="1">IFERROR(__xludf.DUMMYFUNCTION("""COMPUTED_VALUE"""),45355)</f>
        <v>45355</v>
      </c>
      <c r="J313" s="9"/>
      <c r="K313" s="8" t="str">
        <f ca="1">IFERROR(__xludf.DUMMYFUNCTION("""COMPUTED_VALUE"""),"AM")</f>
        <v>AM</v>
      </c>
      <c r="L313" s="8" t="str">
        <f ca="1">IFERROR(__xludf.DUMMYFUNCTION("""COMPUTED_VALUE"""),"2nd Grade")</f>
        <v>2nd Grade</v>
      </c>
      <c r="M313" s="8" t="str">
        <f ca="1">IFERROR(__xludf.DUMMYFUNCTION("""COMPUTED_VALUE"""),"ELA")</f>
        <v>ELA</v>
      </c>
      <c r="N313" s="8">
        <f ca="1">IFERROR(__xludf.DUMMYFUNCTION("""COMPUTED_VALUE"""),6.5)</f>
        <v>6.5</v>
      </c>
      <c r="O313" s="8" t="str">
        <f ca="1">IFERROR(__xludf.DUMMYFUNCTION("""COMPUTED_VALUE"""),"Proficient I")</f>
        <v>Proficient I</v>
      </c>
      <c r="P313" s="8">
        <f ca="1">IFERROR(__xludf.DUMMYFUNCTION("""COMPUTED_VALUE"""),2)</f>
        <v>2</v>
      </c>
      <c r="Q313" s="8">
        <f ca="1">IFERROR(__xludf.DUMMYFUNCTION("""COMPUTED_VALUE"""),2.5)</f>
        <v>2.5</v>
      </c>
      <c r="R313" s="8">
        <f ca="1">IFERROR(__xludf.DUMMYFUNCTION("""COMPUTED_VALUE"""),2)</f>
        <v>2</v>
      </c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</row>
    <row r="314" spans="1:31" ht="13.15" x14ac:dyDescent="0.4">
      <c r="A314" s="8"/>
      <c r="B314" s="8"/>
      <c r="C314" s="8"/>
      <c r="D314" s="8"/>
      <c r="E314" s="8" t="str">
        <f ca="1">IFERROR(__xludf.DUMMYFUNCTION("""COMPUTED_VALUE"""),"PRESCOTT")</f>
        <v>PRESCOTT</v>
      </c>
      <c r="F314" s="8" t="str">
        <f ca="1">IFERROR(__xludf.DUMMYFUNCTION("""COMPUTED_VALUE"""),"Core Subject No LSAE")</f>
        <v>Core Subject No LSAE</v>
      </c>
      <c r="G314" s="8" t="str">
        <f ca="1">IFERROR(__xludf.DUMMYFUNCTION("""COMPUTED_VALUE"""),"Ballah Pewee")</f>
        <v>Ballah Pewee</v>
      </c>
      <c r="H314" s="8" t="str">
        <f ca="1">IFERROR(__xludf.DUMMYFUNCTION("""COMPUTED_VALUE"""),"Francine Pewee")</f>
        <v>Francine Pewee</v>
      </c>
      <c r="I314" s="9">
        <f ca="1">IFERROR(__xludf.DUMMYFUNCTION("""COMPUTED_VALUE"""),45355)</f>
        <v>45355</v>
      </c>
      <c r="J314" s="9">
        <f ca="1">IFERROR(__xludf.DUMMYFUNCTION("""COMPUTED_VALUE"""),45359)</f>
        <v>45359</v>
      </c>
      <c r="K314" s="8" t="str">
        <f ca="1">IFERROR(__xludf.DUMMYFUNCTION("""COMPUTED_VALUE"""),"AM")</f>
        <v>AM</v>
      </c>
      <c r="L314" s="8" t="str">
        <f ca="1">IFERROR(__xludf.DUMMYFUNCTION("""COMPUTED_VALUE"""),"2nd Grade")</f>
        <v>2nd Grade</v>
      </c>
      <c r="M314" s="8" t="str">
        <f ca="1">IFERROR(__xludf.DUMMYFUNCTION("""COMPUTED_VALUE"""),"Math")</f>
        <v>Math</v>
      </c>
      <c r="N314" s="8">
        <f ca="1">IFERROR(__xludf.DUMMYFUNCTION("""COMPUTED_VALUE"""),6.5)</f>
        <v>6.5</v>
      </c>
      <c r="O314" s="8" t="str">
        <f ca="1">IFERROR(__xludf.DUMMYFUNCTION("""COMPUTED_VALUE"""),"Proficient I")</f>
        <v>Proficient I</v>
      </c>
      <c r="P314" s="8">
        <f ca="1">IFERROR(__xludf.DUMMYFUNCTION("""COMPUTED_VALUE"""),2)</f>
        <v>2</v>
      </c>
      <c r="Q314" s="8">
        <f ca="1">IFERROR(__xludf.DUMMYFUNCTION("""COMPUTED_VALUE"""),2.5)</f>
        <v>2.5</v>
      </c>
      <c r="R314" s="8">
        <f ca="1">IFERROR(__xludf.DUMMYFUNCTION("""COMPUTED_VALUE"""),2)</f>
        <v>2</v>
      </c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</row>
    <row r="315" spans="1:31" ht="13.15" x14ac:dyDescent="0.4">
      <c r="A315" s="8"/>
      <c r="B315" s="8"/>
      <c r="C315" s="8"/>
      <c r="D315" s="8"/>
      <c r="E315" s="8" t="str">
        <f ca="1">IFERROR(__xludf.DUMMYFUNCTION("""COMPUTED_VALUE"""),"PRESCOTT")</f>
        <v>PRESCOTT</v>
      </c>
      <c r="F315" s="8" t="str">
        <f ca="1">IFERROR(__xludf.DUMMYFUNCTION("""COMPUTED_VALUE"""),"Core Subject With LSAE")</f>
        <v>Core Subject With LSAE</v>
      </c>
      <c r="G315" s="8" t="str">
        <f ca="1">IFERROR(__xludf.DUMMYFUNCTION("""COMPUTED_VALUE"""),"Brandon Washington")</f>
        <v>Brandon Washington</v>
      </c>
      <c r="H315" s="8" t="str">
        <f ca="1">IFERROR(__xludf.DUMMYFUNCTION("""COMPUTED_VALUE"""),"Francine Pewee")</f>
        <v>Francine Pewee</v>
      </c>
      <c r="I315" s="9">
        <f ca="1">IFERROR(__xludf.DUMMYFUNCTION("""COMPUTED_VALUE"""),45355)</f>
        <v>45355</v>
      </c>
      <c r="J315" s="9"/>
      <c r="K315" s="8" t="str">
        <f ca="1">IFERROR(__xludf.DUMMYFUNCTION("""COMPUTED_VALUE"""),"AM")</f>
        <v>AM</v>
      </c>
      <c r="L315" s="8" t="str">
        <f ca="1">IFERROR(__xludf.DUMMYFUNCTION("""COMPUTED_VALUE"""),"6th Grade")</f>
        <v>6th Grade</v>
      </c>
      <c r="M315" s="8" t="str">
        <f ca="1">IFERROR(__xludf.DUMMYFUNCTION("""COMPUTED_VALUE"""),"ELA")</f>
        <v>ELA</v>
      </c>
      <c r="N315" s="8">
        <f ca="1">IFERROR(__xludf.DUMMYFUNCTION("""COMPUTED_VALUE"""),7)</f>
        <v>7</v>
      </c>
      <c r="O315" s="8" t="str">
        <f ca="1">IFERROR(__xludf.DUMMYFUNCTION("""COMPUTED_VALUE"""),"Proficient I")</f>
        <v>Proficient I</v>
      </c>
      <c r="P315" s="8">
        <f ca="1">IFERROR(__xludf.DUMMYFUNCTION("""COMPUTED_VALUE"""),1)</f>
        <v>1</v>
      </c>
      <c r="Q315" s="8">
        <f ca="1">IFERROR(__xludf.DUMMYFUNCTION("""COMPUTED_VALUE"""),2)</f>
        <v>2</v>
      </c>
      <c r="R315" s="8">
        <f ca="1">IFERROR(__xludf.DUMMYFUNCTION("""COMPUTED_VALUE"""),2)</f>
        <v>2</v>
      </c>
      <c r="S315" s="8">
        <f ca="1">IFERROR(__xludf.DUMMYFUNCTION("""COMPUTED_VALUE"""),2)</f>
        <v>2</v>
      </c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</row>
    <row r="316" spans="1:31" ht="13.15" x14ac:dyDescent="0.4">
      <c r="A316" s="8"/>
      <c r="B316" s="8"/>
      <c r="C316" s="8"/>
      <c r="D316" s="8"/>
      <c r="E316" s="8" t="str">
        <f ca="1">IFERROR(__xludf.DUMMYFUNCTION("""COMPUTED_VALUE"""),"PRESCOTT")</f>
        <v>PRESCOTT</v>
      </c>
      <c r="F316" s="8" t="str">
        <f ca="1">IFERROR(__xludf.DUMMYFUNCTION("""COMPUTED_VALUE"""),"Core Subject With LSAE")</f>
        <v>Core Subject With LSAE</v>
      </c>
      <c r="G316" s="8" t="str">
        <f ca="1">IFERROR(__xludf.DUMMYFUNCTION("""COMPUTED_VALUE"""),"Ernestine Baskin")</f>
        <v>Ernestine Baskin</v>
      </c>
      <c r="H316" s="8" t="str">
        <f ca="1">IFERROR(__xludf.DUMMYFUNCTION("""COMPUTED_VALUE"""),"Francine Pewee")</f>
        <v>Francine Pewee</v>
      </c>
      <c r="I316" s="9">
        <f ca="1">IFERROR(__xludf.DUMMYFUNCTION("""COMPUTED_VALUE"""),45355)</f>
        <v>45355</v>
      </c>
      <c r="J316" s="9"/>
      <c r="K316" s="8" t="str">
        <f ca="1">IFERROR(__xludf.DUMMYFUNCTION("""COMPUTED_VALUE"""),"PM")</f>
        <v>PM</v>
      </c>
      <c r="L316" s="8" t="str">
        <f ca="1">IFERROR(__xludf.DUMMYFUNCTION("""COMPUTED_VALUE"""),"8th Grade")</f>
        <v>8th Grade</v>
      </c>
      <c r="M316" s="8" t="str">
        <f ca="1">IFERROR(__xludf.DUMMYFUNCTION("""COMPUTED_VALUE"""),"ELA")</f>
        <v>ELA</v>
      </c>
      <c r="N316" s="8">
        <f ca="1">IFERROR(__xludf.DUMMYFUNCTION("""COMPUTED_VALUE"""),6.5)</f>
        <v>6.5</v>
      </c>
      <c r="O316" s="8" t="str">
        <f ca="1">IFERROR(__xludf.DUMMYFUNCTION("""COMPUTED_VALUE"""),"Proficient I")</f>
        <v>Proficient I</v>
      </c>
      <c r="P316" s="8">
        <f ca="1">IFERROR(__xludf.DUMMYFUNCTION("""COMPUTED_VALUE"""),1)</f>
        <v>1</v>
      </c>
      <c r="Q316" s="8">
        <f ca="1">IFERROR(__xludf.DUMMYFUNCTION("""COMPUTED_VALUE"""),2.5)</f>
        <v>2.5</v>
      </c>
      <c r="R316" s="8">
        <f ca="1">IFERROR(__xludf.DUMMYFUNCTION("""COMPUTED_VALUE"""),2.5)</f>
        <v>2.5</v>
      </c>
      <c r="S316" s="8">
        <f ca="1">IFERROR(__xludf.DUMMYFUNCTION("""COMPUTED_VALUE"""),0.5)</f>
        <v>0.5</v>
      </c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</row>
    <row r="317" spans="1:31" ht="13.15" x14ac:dyDescent="0.4">
      <c r="A317" s="8"/>
      <c r="B317" s="8"/>
      <c r="C317" s="8"/>
      <c r="D317" s="8"/>
      <c r="E317" s="8" t="str">
        <f ca="1">IFERROR(__xludf.DUMMYFUNCTION("""COMPUTED_VALUE"""),"PRESCOTT")</f>
        <v>PRESCOTT</v>
      </c>
      <c r="F317" s="8" t="str">
        <f ca="1">IFERROR(__xludf.DUMMYFUNCTION("""COMPUTED_VALUE"""),"Core Subject With LSAE")</f>
        <v>Core Subject With LSAE</v>
      </c>
      <c r="G317" s="8" t="str">
        <f ca="1">IFERROR(__xludf.DUMMYFUNCTION("""COMPUTED_VALUE"""),"Darren Taylor")</f>
        <v>Darren Taylor</v>
      </c>
      <c r="H317" s="8" t="str">
        <f ca="1">IFERROR(__xludf.DUMMYFUNCTION("""COMPUTED_VALUE"""),"Francine Pewee")</f>
        <v>Francine Pewee</v>
      </c>
      <c r="I317" s="9">
        <f ca="1">IFERROR(__xludf.DUMMYFUNCTION("""COMPUTED_VALUE"""),45355)</f>
        <v>45355</v>
      </c>
      <c r="J317" s="9"/>
      <c r="K317" s="8" t="str">
        <f ca="1">IFERROR(__xludf.DUMMYFUNCTION("""COMPUTED_VALUE"""),"AM")</f>
        <v>AM</v>
      </c>
      <c r="L317" s="8" t="str">
        <f ca="1">IFERROR(__xludf.DUMMYFUNCTION("""COMPUTED_VALUE"""),"8th Grade")</f>
        <v>8th Grade</v>
      </c>
      <c r="M317" s="8" t="str">
        <f ca="1">IFERROR(__xludf.DUMMYFUNCTION("""COMPUTED_VALUE"""),"Math")</f>
        <v>Math</v>
      </c>
      <c r="N317" s="8">
        <f ca="1">IFERROR(__xludf.DUMMYFUNCTION("""COMPUTED_VALUE"""),5)</f>
        <v>5</v>
      </c>
      <c r="O317" s="8" t="str">
        <f ca="1">IFERROR(__xludf.DUMMYFUNCTION("""COMPUTED_VALUE"""),"Progressing")</f>
        <v>Progressing</v>
      </c>
      <c r="P317" s="8">
        <f ca="1">IFERROR(__xludf.DUMMYFUNCTION("""COMPUTED_VALUE"""),1)</f>
        <v>1</v>
      </c>
      <c r="Q317" s="8">
        <f ca="1">IFERROR(__xludf.DUMMYFUNCTION("""COMPUTED_VALUE"""),1.5)</f>
        <v>1.5</v>
      </c>
      <c r="R317" s="8">
        <f ca="1">IFERROR(__xludf.DUMMYFUNCTION("""COMPUTED_VALUE"""),1.5)</f>
        <v>1.5</v>
      </c>
      <c r="S317" s="8">
        <f ca="1">IFERROR(__xludf.DUMMYFUNCTION("""COMPUTED_VALUE"""),1)</f>
        <v>1</v>
      </c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</row>
    <row r="318" spans="1:31" ht="13.15" x14ac:dyDescent="0.4">
      <c r="A318" s="8"/>
      <c r="B318" s="8"/>
      <c r="C318" s="8"/>
      <c r="D318" s="8"/>
      <c r="E318" s="8" t="str">
        <f ca="1">IFERROR(__xludf.DUMMYFUNCTION("""COMPUTED_VALUE"""),"PRESCOTT")</f>
        <v>PRESCOTT</v>
      </c>
      <c r="F318" s="8" t="str">
        <f ca="1">IFERROR(__xludf.DUMMYFUNCTION("""COMPUTED_VALUE"""),"Core Subject No LSAE")</f>
        <v>Core Subject No LSAE</v>
      </c>
      <c r="G318" s="8" t="str">
        <f ca="1">IFERROR(__xludf.DUMMYFUNCTION("""COMPUTED_VALUE"""),"MarQuita Maxwell")</f>
        <v>MarQuita Maxwell</v>
      </c>
      <c r="H318" s="8" t="str">
        <f ca="1">IFERROR(__xludf.DUMMYFUNCTION("""COMPUTED_VALUE"""),"Kylon Wishom")</f>
        <v>Kylon Wishom</v>
      </c>
      <c r="I318" s="9">
        <f ca="1">IFERROR(__xludf.DUMMYFUNCTION("""COMPUTED_VALUE"""),45355)</f>
        <v>45355</v>
      </c>
      <c r="J318" s="9">
        <f ca="1">IFERROR(__xludf.DUMMYFUNCTION("""COMPUTED_VALUE"""),45355)</f>
        <v>45355</v>
      </c>
      <c r="K318" s="8" t="str">
        <f ca="1">IFERROR(__xludf.DUMMYFUNCTION("""COMPUTED_VALUE"""),"AM")</f>
        <v>AM</v>
      </c>
      <c r="L318" s="8" t="str">
        <f ca="1">IFERROR(__xludf.DUMMYFUNCTION("""COMPUTED_VALUE"""),"4th Grade")</f>
        <v>4th Grade</v>
      </c>
      <c r="M318" s="8" t="str">
        <f ca="1">IFERROR(__xludf.DUMMYFUNCTION("""COMPUTED_VALUE"""),"Social Studies")</f>
        <v>Social Studies</v>
      </c>
      <c r="N318" s="8">
        <f ca="1">IFERROR(__xludf.DUMMYFUNCTION("""COMPUTED_VALUE"""),7)</f>
        <v>7</v>
      </c>
      <c r="O318" s="8" t="str">
        <f ca="1">IFERROR(__xludf.DUMMYFUNCTION("""COMPUTED_VALUE"""),"Proficient I")</f>
        <v>Proficient I</v>
      </c>
      <c r="P318" s="8">
        <f ca="1">IFERROR(__xludf.DUMMYFUNCTION("""COMPUTED_VALUE"""),2)</f>
        <v>2</v>
      </c>
      <c r="Q318" s="8">
        <f ca="1">IFERROR(__xludf.DUMMYFUNCTION("""COMPUTED_VALUE"""),2)</f>
        <v>2</v>
      </c>
      <c r="R318" s="8">
        <f ca="1">IFERROR(__xludf.DUMMYFUNCTION("""COMPUTED_VALUE"""),3)</f>
        <v>3</v>
      </c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</row>
    <row r="319" spans="1:31" ht="13.15" x14ac:dyDescent="0.4">
      <c r="A319" s="8"/>
      <c r="B319" s="8"/>
      <c r="C319" s="8"/>
      <c r="D319" s="8"/>
      <c r="E319" s="8" t="str">
        <f ca="1">IFERROR(__xludf.DUMMYFUNCTION("""COMPUTED_VALUE"""),"PRESCOTT")</f>
        <v>PRESCOTT</v>
      </c>
      <c r="F319" s="8" t="str">
        <f ca="1">IFERROR(__xludf.DUMMYFUNCTION("""COMPUTED_VALUE"""),"Core Subject With LSAE")</f>
        <v>Core Subject With LSAE</v>
      </c>
      <c r="G319" s="8" t="str">
        <f ca="1">IFERROR(__xludf.DUMMYFUNCTION("""COMPUTED_VALUE"""),"Chataka Clark")</f>
        <v>Chataka Clark</v>
      </c>
      <c r="H319" s="8" t="str">
        <f ca="1">IFERROR(__xludf.DUMMYFUNCTION("""COMPUTED_VALUE"""),"Kylon Wishom")</f>
        <v>Kylon Wishom</v>
      </c>
      <c r="I319" s="9">
        <f ca="1">IFERROR(__xludf.DUMMYFUNCTION("""COMPUTED_VALUE"""),45355)</f>
        <v>45355</v>
      </c>
      <c r="J319" s="9">
        <f ca="1">IFERROR(__xludf.DUMMYFUNCTION("""COMPUTED_VALUE"""),45355)</f>
        <v>45355</v>
      </c>
      <c r="K319" s="8" t="str">
        <f ca="1">IFERROR(__xludf.DUMMYFUNCTION("""COMPUTED_VALUE"""),"AM")</f>
        <v>AM</v>
      </c>
      <c r="L319" s="8" t="str">
        <f ca="1">IFERROR(__xludf.DUMMYFUNCTION("""COMPUTED_VALUE"""),"5th Grade")</f>
        <v>5th Grade</v>
      </c>
      <c r="M319" s="8" t="str">
        <f ca="1">IFERROR(__xludf.DUMMYFUNCTION("""COMPUTED_VALUE"""),"Math")</f>
        <v>Math</v>
      </c>
      <c r="N319" s="8">
        <f ca="1">IFERROR(__xludf.DUMMYFUNCTION("""COMPUTED_VALUE"""),8)</f>
        <v>8</v>
      </c>
      <c r="O319" s="8" t="str">
        <f ca="1">IFERROR(__xludf.DUMMYFUNCTION("""COMPUTED_VALUE"""),"Proficient II")</f>
        <v>Proficient II</v>
      </c>
      <c r="P319" s="8">
        <f ca="1">IFERROR(__xludf.DUMMYFUNCTION("""COMPUTED_VALUE"""),1)</f>
        <v>1</v>
      </c>
      <c r="Q319" s="8">
        <f ca="1">IFERROR(__xludf.DUMMYFUNCTION("""COMPUTED_VALUE"""),2.5)</f>
        <v>2.5</v>
      </c>
      <c r="R319" s="8">
        <f ca="1">IFERROR(__xludf.DUMMYFUNCTION("""COMPUTED_VALUE"""),3)</f>
        <v>3</v>
      </c>
      <c r="S319" s="8">
        <f ca="1">IFERROR(__xludf.DUMMYFUNCTION("""COMPUTED_VALUE"""),1.5)</f>
        <v>1.5</v>
      </c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</row>
    <row r="320" spans="1:31" ht="13.15" x14ac:dyDescent="0.4">
      <c r="A320" s="8"/>
      <c r="B320" s="8"/>
      <c r="C320" s="8"/>
      <c r="D320" s="8"/>
      <c r="E320" s="8" t="str">
        <f ca="1">IFERROR(__xludf.DUMMYFUNCTION("""COMPUTED_VALUE"""),"PRESCOTT")</f>
        <v>PRESCOTT</v>
      </c>
      <c r="F320" s="8" t="str">
        <f ca="1">IFERROR(__xludf.DUMMYFUNCTION("""COMPUTED_VALUE"""),"Electives")</f>
        <v>Electives</v>
      </c>
      <c r="G320" s="8" t="str">
        <f ca="1">IFERROR(__xludf.DUMMYFUNCTION("""COMPUTED_VALUE"""),"Jill Adoue")</f>
        <v>Jill Adoue</v>
      </c>
      <c r="H320" s="8" t="str">
        <f ca="1">IFERROR(__xludf.DUMMYFUNCTION("""COMPUTED_VALUE"""),"Kylon Wishom")</f>
        <v>Kylon Wishom</v>
      </c>
      <c r="I320" s="9">
        <f ca="1">IFERROR(__xludf.DUMMYFUNCTION("""COMPUTED_VALUE"""),45355)</f>
        <v>45355</v>
      </c>
      <c r="J320" s="9">
        <f ca="1">IFERROR(__xludf.DUMMYFUNCTION("""COMPUTED_VALUE"""),45356)</f>
        <v>45356</v>
      </c>
      <c r="K320" s="8" t="str">
        <f ca="1">IFERROR(__xludf.DUMMYFUNCTION("""COMPUTED_VALUE"""),"PM")</f>
        <v>PM</v>
      </c>
      <c r="L320" s="8" t="str">
        <f ca="1">IFERROR(__xludf.DUMMYFUNCTION("""COMPUTED_VALUE"""),"5th Grade")</f>
        <v>5th Grade</v>
      </c>
      <c r="M320" s="8" t="str">
        <f ca="1">IFERROR(__xludf.DUMMYFUNCTION("""COMPUTED_VALUE"""),"Music")</f>
        <v>Music</v>
      </c>
      <c r="N320" s="8">
        <f ca="1">IFERROR(__xludf.DUMMYFUNCTION("""COMPUTED_VALUE"""),6)</f>
        <v>6</v>
      </c>
      <c r="O320" s="8" t="str">
        <f ca="1">IFERROR(__xludf.DUMMYFUNCTION("""COMPUTED_VALUE"""),"Proficient I")</f>
        <v>Proficient I</v>
      </c>
      <c r="P320" s="8">
        <f ca="1">IFERROR(__xludf.DUMMYFUNCTION("""COMPUTED_VALUE"""),2)</f>
        <v>2</v>
      </c>
      <c r="Q320" s="8">
        <f ca="1">IFERROR(__xludf.DUMMYFUNCTION("""COMPUTED_VALUE"""),2)</f>
        <v>2</v>
      </c>
      <c r="R320" s="8">
        <f ca="1">IFERROR(__xludf.DUMMYFUNCTION("""COMPUTED_VALUE"""),2)</f>
        <v>2</v>
      </c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</row>
    <row r="321" spans="1:31" ht="13.15" x14ac:dyDescent="0.4">
      <c r="A321" s="8"/>
      <c r="B321" s="8"/>
      <c r="C321" s="8"/>
      <c r="D321" s="8"/>
      <c r="E321" s="8" t="str">
        <f ca="1">IFERROR(__xludf.DUMMYFUNCTION("""COMPUTED_VALUE"""),"PRESCOTT")</f>
        <v>PRESCOTT</v>
      </c>
      <c r="F321" s="8" t="str">
        <f ca="1">IFERROR(__xludf.DUMMYFUNCTION("""COMPUTED_VALUE"""),"Core Subject No LSAE")</f>
        <v>Core Subject No LSAE</v>
      </c>
      <c r="G321" s="8" t="str">
        <f ca="1">IFERROR(__xludf.DUMMYFUNCTION("""COMPUTED_VALUE"""),"Joshua Hamilton")</f>
        <v>Joshua Hamilton</v>
      </c>
      <c r="H321" s="8" t="str">
        <f ca="1">IFERROR(__xludf.DUMMYFUNCTION("""COMPUTED_VALUE"""),"Kylon Wishom")</f>
        <v>Kylon Wishom</v>
      </c>
      <c r="I321" s="9">
        <f ca="1">IFERROR(__xludf.DUMMYFUNCTION("""COMPUTED_VALUE"""),45356)</f>
        <v>45356</v>
      </c>
      <c r="J321" s="9">
        <f ca="1">IFERROR(__xludf.DUMMYFUNCTION("""COMPUTED_VALUE"""),45356)</f>
        <v>45356</v>
      </c>
      <c r="K321" s="8" t="str">
        <f ca="1">IFERROR(__xludf.DUMMYFUNCTION("""COMPUTED_VALUE"""),"PM")</f>
        <v>PM</v>
      </c>
      <c r="L321" s="11" t="str">
        <f ca="1">IFERROR(__xludf.DUMMYFUNCTION("""COMPUTED_VALUE"""),"7th Grade")</f>
        <v>7th Grade</v>
      </c>
      <c r="M321" s="8" t="str">
        <f ca="1">IFERROR(__xludf.DUMMYFUNCTION("""COMPUTED_VALUE"""),"Social Studies")</f>
        <v>Social Studies</v>
      </c>
      <c r="N321" s="8">
        <f ca="1">IFERROR(__xludf.DUMMYFUNCTION("""COMPUTED_VALUE"""),8)</f>
        <v>8</v>
      </c>
      <c r="O321" s="8" t="str">
        <f ca="1">IFERROR(__xludf.DUMMYFUNCTION("""COMPUTED_VALUE"""),"Proficient II")</f>
        <v>Proficient II</v>
      </c>
      <c r="P321" s="8">
        <f ca="1">IFERROR(__xludf.DUMMYFUNCTION("""COMPUTED_VALUE"""),2)</f>
        <v>2</v>
      </c>
      <c r="Q321" s="8">
        <f ca="1">IFERROR(__xludf.DUMMYFUNCTION("""COMPUTED_VALUE"""),3)</f>
        <v>3</v>
      </c>
      <c r="R321" s="8">
        <f ca="1">IFERROR(__xludf.DUMMYFUNCTION("""COMPUTED_VALUE"""),3)</f>
        <v>3</v>
      </c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</row>
    <row r="322" spans="1:31" ht="13.15" x14ac:dyDescent="0.4">
      <c r="A322" s="8"/>
      <c r="B322" s="8"/>
      <c r="C322" s="8"/>
      <c r="D322" s="8"/>
      <c r="E322" s="8" t="str">
        <f ca="1">IFERROR(__xludf.DUMMYFUNCTION("""COMPUTED_VALUE"""),"PRESCOTT")</f>
        <v>PRESCOTT</v>
      </c>
      <c r="F322" s="8" t="str">
        <f ca="1">IFERROR(__xludf.DUMMYFUNCTION("""COMPUTED_VALUE"""),"Core Subject No LSAE")</f>
        <v>Core Subject No LSAE</v>
      </c>
      <c r="G322" s="8" t="str">
        <f ca="1">IFERROR(__xludf.DUMMYFUNCTION("""COMPUTED_VALUE"""),"Chandelar Chavis")</f>
        <v>Chandelar Chavis</v>
      </c>
      <c r="H322" s="8" t="str">
        <f ca="1">IFERROR(__xludf.DUMMYFUNCTION("""COMPUTED_VALUE"""),"Kylon Wishom")</f>
        <v>Kylon Wishom</v>
      </c>
      <c r="I322" s="9">
        <f ca="1">IFERROR(__xludf.DUMMYFUNCTION("""COMPUTED_VALUE"""),45357)</f>
        <v>45357</v>
      </c>
      <c r="J322" s="9">
        <f ca="1">IFERROR(__xludf.DUMMYFUNCTION("""COMPUTED_VALUE"""),45357)</f>
        <v>45357</v>
      </c>
      <c r="K322" s="8" t="str">
        <f ca="1">IFERROR(__xludf.DUMMYFUNCTION("""COMPUTED_VALUE"""),"AM")</f>
        <v>AM</v>
      </c>
      <c r="L322" s="8" t="str">
        <f ca="1">IFERROR(__xludf.DUMMYFUNCTION("""COMPUTED_VALUE"""),"7th Grade")</f>
        <v>7th Grade</v>
      </c>
      <c r="M322" s="8" t="str">
        <f ca="1">IFERROR(__xludf.DUMMYFUNCTION("""COMPUTED_VALUE"""),"ELA")</f>
        <v>ELA</v>
      </c>
      <c r="N322" s="8">
        <f ca="1">IFERROR(__xludf.DUMMYFUNCTION("""COMPUTED_VALUE"""),8)</f>
        <v>8</v>
      </c>
      <c r="O322" s="8" t="str">
        <f ca="1">IFERROR(__xludf.DUMMYFUNCTION("""COMPUTED_VALUE"""),"Proficient II")</f>
        <v>Proficient II</v>
      </c>
      <c r="P322" s="8">
        <f ca="1">IFERROR(__xludf.DUMMYFUNCTION("""COMPUTED_VALUE"""),2)</f>
        <v>2</v>
      </c>
      <c r="Q322" s="8">
        <f ca="1">IFERROR(__xludf.DUMMYFUNCTION("""COMPUTED_VALUE"""),3)</f>
        <v>3</v>
      </c>
      <c r="R322" s="8">
        <f ca="1">IFERROR(__xludf.DUMMYFUNCTION("""COMPUTED_VALUE"""),3)</f>
        <v>3</v>
      </c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</row>
    <row r="323" spans="1:31" ht="13.15" x14ac:dyDescent="0.4">
      <c r="A323" s="8"/>
      <c r="B323" s="8"/>
      <c r="C323" s="8"/>
      <c r="D323" s="8"/>
      <c r="E323" s="8" t="str">
        <f ca="1">IFERROR(__xludf.DUMMYFUNCTION("""COMPUTED_VALUE"""),"PRESCOTT")</f>
        <v>PRESCOTT</v>
      </c>
      <c r="F323" s="8" t="str">
        <f ca="1">IFERROR(__xludf.DUMMYFUNCTION("""COMPUTED_VALUE"""),"Core Subject No LSAE")</f>
        <v>Core Subject No LSAE</v>
      </c>
      <c r="G323" s="8" t="str">
        <f ca="1">IFERROR(__xludf.DUMMYFUNCTION("""COMPUTED_VALUE"""),"Domonique Bell Taylor")</f>
        <v>Domonique Bell Taylor</v>
      </c>
      <c r="H323" s="8" t="str">
        <f ca="1">IFERROR(__xludf.DUMMYFUNCTION("""COMPUTED_VALUE"""),"Kylon Wishom")</f>
        <v>Kylon Wishom</v>
      </c>
      <c r="I323" s="9">
        <f ca="1">IFERROR(__xludf.DUMMYFUNCTION("""COMPUTED_VALUE"""),45357)</f>
        <v>45357</v>
      </c>
      <c r="J323" s="9">
        <f ca="1">IFERROR(__xludf.DUMMYFUNCTION("""COMPUTED_VALUE"""),45357)</f>
        <v>45357</v>
      </c>
      <c r="K323" s="8" t="str">
        <f ca="1">IFERROR(__xludf.DUMMYFUNCTION("""COMPUTED_VALUE"""),"PM")</f>
        <v>PM</v>
      </c>
      <c r="L323" s="8" t="str">
        <f ca="1">IFERROR(__xludf.DUMMYFUNCTION("""COMPUTED_VALUE"""),"7th Grade")</f>
        <v>7th Grade</v>
      </c>
      <c r="M323" s="8" t="str">
        <f ca="1">IFERROR(__xludf.DUMMYFUNCTION("""COMPUTED_VALUE"""),"Science")</f>
        <v>Science</v>
      </c>
      <c r="N323" s="8">
        <f ca="1">IFERROR(__xludf.DUMMYFUNCTION("""COMPUTED_VALUE"""),8)</f>
        <v>8</v>
      </c>
      <c r="O323" s="8" t="str">
        <f ca="1">IFERROR(__xludf.DUMMYFUNCTION("""COMPUTED_VALUE"""),"Proficient II")</f>
        <v>Proficient II</v>
      </c>
      <c r="P323" s="8">
        <f ca="1">IFERROR(__xludf.DUMMYFUNCTION("""COMPUTED_VALUE"""),2)</f>
        <v>2</v>
      </c>
      <c r="Q323" s="8">
        <f ca="1">IFERROR(__xludf.DUMMYFUNCTION("""COMPUTED_VALUE"""),3)</f>
        <v>3</v>
      </c>
      <c r="R323" s="8">
        <f ca="1">IFERROR(__xludf.DUMMYFUNCTION("""COMPUTED_VALUE"""),3)</f>
        <v>3</v>
      </c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</row>
    <row r="324" spans="1:31" ht="13.15" x14ac:dyDescent="0.4">
      <c r="A324" s="8"/>
      <c r="B324" s="8"/>
      <c r="C324" s="8"/>
      <c r="D324" s="8"/>
      <c r="E324" s="8" t="str">
        <f ca="1">IFERROR(__xludf.DUMMYFUNCTION("""COMPUTED_VALUE"""),"PRESCOTT")</f>
        <v>PRESCOTT</v>
      </c>
      <c r="F324" s="8" t="str">
        <f ca="1">IFERROR(__xludf.DUMMYFUNCTION("""COMPUTED_VALUE"""),"Core Subject No LSAE")</f>
        <v>Core Subject No LSAE</v>
      </c>
      <c r="G324" s="8" t="str">
        <f ca="1">IFERROR(__xludf.DUMMYFUNCTION("""COMPUTED_VALUE"""),"MarQuita Maxwell")</f>
        <v>MarQuita Maxwell</v>
      </c>
      <c r="H324" s="8" t="str">
        <f ca="1">IFERROR(__xludf.DUMMYFUNCTION("""COMPUTED_VALUE"""),"Kylon Wishom")</f>
        <v>Kylon Wishom</v>
      </c>
      <c r="I324" s="9">
        <f ca="1">IFERROR(__xludf.DUMMYFUNCTION("""COMPUTED_VALUE"""),45358)</f>
        <v>45358</v>
      </c>
      <c r="J324" s="9">
        <f ca="1">IFERROR(__xludf.DUMMYFUNCTION("""COMPUTED_VALUE"""),45359)</f>
        <v>45359</v>
      </c>
      <c r="K324" s="8" t="str">
        <f ca="1">IFERROR(__xludf.DUMMYFUNCTION("""COMPUTED_VALUE"""),"PM")</f>
        <v>PM</v>
      </c>
      <c r="L324" s="8" t="str">
        <f ca="1">IFERROR(__xludf.DUMMYFUNCTION("""COMPUTED_VALUE"""),"3rd Grade")</f>
        <v>3rd Grade</v>
      </c>
      <c r="M324" s="8" t="str">
        <f ca="1">IFERROR(__xludf.DUMMYFUNCTION("""COMPUTED_VALUE"""),"Social Studies")</f>
        <v>Social Studies</v>
      </c>
      <c r="N324" s="8">
        <f ca="1">IFERROR(__xludf.DUMMYFUNCTION("""COMPUTED_VALUE"""),7.5)</f>
        <v>7.5</v>
      </c>
      <c r="O324" s="8" t="str">
        <f ca="1">IFERROR(__xludf.DUMMYFUNCTION("""COMPUTED_VALUE"""),"Proficient I")</f>
        <v>Proficient I</v>
      </c>
      <c r="P324" s="8">
        <f ca="1">IFERROR(__xludf.DUMMYFUNCTION("""COMPUTED_VALUE"""),2)</f>
        <v>2</v>
      </c>
      <c r="Q324" s="8">
        <f ca="1">IFERROR(__xludf.DUMMYFUNCTION("""COMPUTED_VALUE"""),3)</f>
        <v>3</v>
      </c>
      <c r="R324" s="8">
        <f ca="1">IFERROR(__xludf.DUMMYFUNCTION("""COMPUTED_VALUE"""),2.5)</f>
        <v>2.5</v>
      </c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</row>
    <row r="325" spans="1:31" ht="13.15" x14ac:dyDescent="0.4">
      <c r="A325" s="8"/>
      <c r="B325" s="8"/>
      <c r="C325" s="8"/>
      <c r="D325" s="8"/>
      <c r="E325" s="8" t="str">
        <f ca="1">IFERROR(__xludf.DUMMYFUNCTION("""COMPUTED_VALUE"""),"PRESCOTT")</f>
        <v>PRESCOTT</v>
      </c>
      <c r="F325" s="8" t="str">
        <f ca="1">IFERROR(__xludf.DUMMYFUNCTION("""COMPUTED_VALUE"""),"Core Subject With LSAE")</f>
        <v>Core Subject With LSAE</v>
      </c>
      <c r="G325" s="8" t="str">
        <f ca="1">IFERROR(__xludf.DUMMYFUNCTION("""COMPUTED_VALUE"""),"Jamarcus Smith")</f>
        <v>Jamarcus Smith</v>
      </c>
      <c r="H325" s="8" t="str">
        <f ca="1">IFERROR(__xludf.DUMMYFUNCTION("""COMPUTED_VALUE"""),"Kylon Wishom")</f>
        <v>Kylon Wishom</v>
      </c>
      <c r="I325" s="9">
        <f ca="1">IFERROR(__xludf.DUMMYFUNCTION("""COMPUTED_VALUE"""),45358)</f>
        <v>45358</v>
      </c>
      <c r="J325" s="9"/>
      <c r="K325" s="8" t="str">
        <f ca="1">IFERROR(__xludf.DUMMYFUNCTION("""COMPUTED_VALUE"""),"AM")</f>
        <v>AM</v>
      </c>
      <c r="L325" s="8" t="str">
        <f ca="1">IFERROR(__xludf.DUMMYFUNCTION("""COMPUTED_VALUE"""),"3rd Grade")</f>
        <v>3rd Grade</v>
      </c>
      <c r="M325" s="8" t="str">
        <f ca="1">IFERROR(__xludf.DUMMYFUNCTION("""COMPUTED_VALUE"""),"ELA")</f>
        <v>ELA</v>
      </c>
      <c r="N325" s="8">
        <f ca="1">IFERROR(__xludf.DUMMYFUNCTION("""COMPUTED_VALUE"""),6)</f>
        <v>6</v>
      </c>
      <c r="O325" s="8" t="str">
        <f ca="1">IFERROR(__xludf.DUMMYFUNCTION("""COMPUTED_VALUE"""),"Proficient I")</f>
        <v>Proficient I</v>
      </c>
      <c r="P325" s="8">
        <f ca="1">IFERROR(__xludf.DUMMYFUNCTION("""COMPUTED_VALUE"""),1)</f>
        <v>1</v>
      </c>
      <c r="Q325" s="8">
        <f ca="1">IFERROR(__xludf.DUMMYFUNCTION("""COMPUTED_VALUE"""),2)</f>
        <v>2</v>
      </c>
      <c r="R325" s="8">
        <f ca="1">IFERROR(__xludf.DUMMYFUNCTION("""COMPUTED_VALUE"""),2)</f>
        <v>2</v>
      </c>
      <c r="S325" s="8">
        <f ca="1">IFERROR(__xludf.DUMMYFUNCTION("""COMPUTED_VALUE"""),1)</f>
        <v>1</v>
      </c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</row>
    <row r="326" spans="1:31" ht="13.15" x14ac:dyDescent="0.4">
      <c r="A326" s="8"/>
      <c r="B326" s="8"/>
      <c r="C326" s="8"/>
      <c r="D326" s="8"/>
      <c r="E326" s="8" t="str">
        <f ca="1">IFERROR(__xludf.DUMMYFUNCTION("""COMPUTED_VALUE"""),"PRESCOTT")</f>
        <v>PRESCOTT</v>
      </c>
      <c r="F326" s="8" t="str">
        <f ca="1">IFERROR(__xludf.DUMMYFUNCTION("""COMPUTED_VALUE"""),"Electives")</f>
        <v>Electives</v>
      </c>
      <c r="G326" s="8" t="str">
        <f ca="1">IFERROR(__xludf.DUMMYFUNCTION("""COMPUTED_VALUE"""),"Bridget Bowman")</f>
        <v>Bridget Bowman</v>
      </c>
      <c r="H326" s="8" t="str">
        <f ca="1">IFERROR(__xludf.DUMMYFUNCTION("""COMPUTED_VALUE"""),"Kylon Wishom")</f>
        <v>Kylon Wishom</v>
      </c>
      <c r="I326" s="9">
        <f ca="1">IFERROR(__xludf.DUMMYFUNCTION("""COMPUTED_VALUE"""),45358)</f>
        <v>45358</v>
      </c>
      <c r="J326" s="9"/>
      <c r="K326" s="8" t="str">
        <f ca="1">IFERROR(__xludf.DUMMYFUNCTION("""COMPUTED_VALUE"""),"AM")</f>
        <v>AM</v>
      </c>
      <c r="L326" s="8" t="str">
        <f ca="1">IFERROR(__xludf.DUMMYFUNCTION("""COMPUTED_VALUE"""),"Kindergarten")</f>
        <v>Kindergarten</v>
      </c>
      <c r="M326" s="8" t="str">
        <f ca="1">IFERROR(__xludf.DUMMYFUNCTION("""COMPUTED_VALUE"""),"P.E.")</f>
        <v>P.E.</v>
      </c>
      <c r="N326" s="8">
        <f ca="1">IFERROR(__xludf.DUMMYFUNCTION("""COMPUTED_VALUE"""),8)</f>
        <v>8</v>
      </c>
      <c r="O326" s="8" t="str">
        <f ca="1">IFERROR(__xludf.DUMMYFUNCTION("""COMPUTED_VALUE"""),"Proficient II")</f>
        <v>Proficient II</v>
      </c>
      <c r="P326" s="8">
        <f ca="1">IFERROR(__xludf.DUMMYFUNCTION("""COMPUTED_VALUE"""),2)</f>
        <v>2</v>
      </c>
      <c r="Q326" s="8">
        <f ca="1">IFERROR(__xludf.DUMMYFUNCTION("""COMPUTED_VALUE"""),3)</f>
        <v>3</v>
      </c>
      <c r="R326" s="8">
        <f ca="1">IFERROR(__xludf.DUMMYFUNCTION("""COMPUTED_VALUE"""),3)</f>
        <v>3</v>
      </c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</row>
    <row r="327" spans="1:31" ht="13.15" x14ac:dyDescent="0.4">
      <c r="A327" s="8"/>
      <c r="B327" s="8"/>
      <c r="C327" s="8"/>
      <c r="D327" s="8"/>
      <c r="E327" s="8" t="str">
        <f ca="1">IFERROR(__xludf.DUMMYFUNCTION("""COMPUTED_VALUE"""),"PRESCOTT")</f>
        <v>PRESCOTT</v>
      </c>
      <c r="F327" s="8" t="str">
        <f ca="1">IFERROR(__xludf.DUMMYFUNCTION("""COMPUTED_VALUE"""),"Electives")</f>
        <v>Electives</v>
      </c>
      <c r="G327" s="8" t="str">
        <f ca="1">IFERROR(__xludf.DUMMYFUNCTION("""COMPUTED_VALUE"""),"McKenzie Price")</f>
        <v>McKenzie Price</v>
      </c>
      <c r="H327" s="8" t="str">
        <f ca="1">IFERROR(__xludf.DUMMYFUNCTION("""COMPUTED_VALUE"""),"Kylon Wishom")</f>
        <v>Kylon Wishom</v>
      </c>
      <c r="I327" s="9">
        <f ca="1">IFERROR(__xludf.DUMMYFUNCTION("""COMPUTED_VALUE"""),45359)</f>
        <v>45359</v>
      </c>
      <c r="J327" s="9"/>
      <c r="K327" s="8" t="str">
        <f ca="1">IFERROR(__xludf.DUMMYFUNCTION("""COMPUTED_VALUE"""),"PM")</f>
        <v>PM</v>
      </c>
      <c r="L327" s="8" t="str">
        <f ca="1">IFERROR(__xludf.DUMMYFUNCTION("""COMPUTED_VALUE"""),"4th Grade")</f>
        <v>4th Grade</v>
      </c>
      <c r="M327" s="8" t="str">
        <f ca="1">IFERROR(__xludf.DUMMYFUNCTION("""COMPUTED_VALUE"""),"Art")</f>
        <v>Art</v>
      </c>
      <c r="N327" s="8">
        <f ca="1">IFERROR(__xludf.DUMMYFUNCTION("""COMPUTED_VALUE"""),3.5)</f>
        <v>3.5</v>
      </c>
      <c r="O327" s="8" t="str">
        <f ca="1">IFERROR(__xludf.DUMMYFUNCTION("""COMPUTED_VALUE"""),"Unsatisfactory")</f>
        <v>Unsatisfactory</v>
      </c>
      <c r="P327" s="8">
        <f ca="1">IFERROR(__xludf.DUMMYFUNCTION("""COMPUTED_VALUE"""),2)</f>
        <v>2</v>
      </c>
      <c r="Q327" s="8">
        <f ca="1">IFERROR(__xludf.DUMMYFUNCTION("""COMPUTED_VALUE"""),1)</f>
        <v>1</v>
      </c>
      <c r="R327" s="8">
        <f ca="1">IFERROR(__xludf.DUMMYFUNCTION("""COMPUTED_VALUE"""),0.5)</f>
        <v>0.5</v>
      </c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</row>
    <row r="328" spans="1:31" ht="13.15" x14ac:dyDescent="0.4">
      <c r="A328" s="8"/>
      <c r="B328" s="8"/>
      <c r="C328" s="8"/>
      <c r="D328" s="8"/>
      <c r="E328" s="8"/>
      <c r="F328" s="8"/>
      <c r="G328" s="8"/>
      <c r="H328" s="8"/>
      <c r="I328" s="9"/>
      <c r="J328" s="9"/>
      <c r="K328" s="8"/>
      <c r="L328" s="11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</row>
    <row r="329" spans="1:31" ht="13.15" x14ac:dyDescent="0.4">
      <c r="A329" s="8"/>
      <c r="B329" s="8"/>
      <c r="C329" s="8"/>
      <c r="D329" s="8"/>
      <c r="E329" s="8"/>
      <c r="F329" s="8"/>
      <c r="G329" s="8"/>
      <c r="H329" s="8"/>
      <c r="I329" s="9"/>
      <c r="J329" s="9"/>
      <c r="K329" s="8"/>
      <c r="L329" s="11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</row>
    <row r="330" spans="1:31" ht="13.15" x14ac:dyDescent="0.4">
      <c r="A330" s="8"/>
      <c r="B330" s="8"/>
      <c r="C330" s="8"/>
      <c r="D330" s="8"/>
      <c r="E330" s="8"/>
      <c r="F330" s="8"/>
      <c r="G330" s="8"/>
      <c r="H330" s="8"/>
      <c r="I330" s="9"/>
      <c r="J330" s="9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</row>
    <row r="331" spans="1:31" ht="13.15" x14ac:dyDescent="0.4">
      <c r="A331" s="8"/>
      <c r="B331" s="8"/>
      <c r="C331" s="8"/>
      <c r="D331" s="8"/>
      <c r="E331" s="8"/>
      <c r="F331" s="8"/>
      <c r="G331" s="8"/>
      <c r="H331" s="8"/>
      <c r="I331" s="9"/>
      <c r="J331" s="9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</row>
    <row r="332" spans="1:31" ht="13.15" x14ac:dyDescent="0.4">
      <c r="A332" s="8"/>
      <c r="B332" s="8"/>
      <c r="C332" s="8"/>
      <c r="D332" s="8"/>
      <c r="E332" s="8"/>
      <c r="F332" s="8"/>
      <c r="G332" s="8"/>
      <c r="H332" s="8"/>
      <c r="I332" s="9"/>
      <c r="J332" s="9"/>
      <c r="K332" s="8"/>
      <c r="L332" s="11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</row>
    <row r="333" spans="1:31" ht="13.15" x14ac:dyDescent="0.4">
      <c r="A333" s="8"/>
      <c r="B333" s="8"/>
      <c r="C333" s="8"/>
      <c r="D333" s="8"/>
      <c r="E333" s="8"/>
      <c r="F333" s="8"/>
      <c r="G333" s="8"/>
      <c r="H333" s="8"/>
      <c r="I333" s="9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</row>
    <row r="334" spans="1:31" ht="13.15" x14ac:dyDescent="0.4">
      <c r="A334" s="8"/>
      <c r="B334" s="8"/>
      <c r="C334" s="8"/>
      <c r="D334" s="8"/>
      <c r="E334" s="8"/>
      <c r="F334" s="8"/>
      <c r="G334" s="8"/>
      <c r="H334" s="8"/>
      <c r="I334" s="9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</row>
    <row r="335" spans="1:31" ht="13.15" x14ac:dyDescent="0.4">
      <c r="A335" s="8"/>
      <c r="B335" s="8"/>
      <c r="C335" s="8"/>
      <c r="D335" s="8"/>
      <c r="E335" s="8"/>
      <c r="F335" s="8"/>
      <c r="G335" s="8"/>
      <c r="H335" s="8"/>
      <c r="I335" s="12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</row>
    <row r="336" spans="1:31" ht="13.15" x14ac:dyDescent="0.4">
      <c r="A336" s="8"/>
      <c r="B336" s="8"/>
      <c r="C336" s="8"/>
      <c r="D336" s="8"/>
      <c r="E336" s="8"/>
      <c r="F336" s="8"/>
      <c r="G336" s="8"/>
      <c r="H336" s="8"/>
      <c r="I336" s="9"/>
      <c r="J336" s="9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</row>
    <row r="337" spans="1:31" ht="13.15" x14ac:dyDescent="0.4">
      <c r="A337" s="8"/>
      <c r="B337" s="8"/>
      <c r="C337" s="8"/>
      <c r="D337" s="8"/>
      <c r="E337" s="8"/>
      <c r="F337" s="8"/>
      <c r="G337" s="8"/>
      <c r="H337" s="8"/>
      <c r="I337" s="9"/>
      <c r="J337" s="9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</row>
    <row r="338" spans="1:31" ht="13.15" x14ac:dyDescent="0.4">
      <c r="A338" s="8"/>
      <c r="B338" s="8"/>
      <c r="C338" s="8"/>
      <c r="D338" s="8"/>
      <c r="E338" s="8"/>
      <c r="F338" s="8"/>
      <c r="G338" s="8"/>
      <c r="H338" s="8"/>
      <c r="I338" s="9"/>
      <c r="J338" s="9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</row>
    <row r="339" spans="1:31" ht="13.15" x14ac:dyDescent="0.4">
      <c r="A339" s="8"/>
      <c r="B339" s="8"/>
      <c r="C339" s="8"/>
      <c r="D339" s="8"/>
      <c r="E339" s="8"/>
      <c r="F339" s="8"/>
      <c r="G339" s="8"/>
      <c r="H339" s="8"/>
      <c r="I339" s="9"/>
      <c r="J339" s="9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</row>
    <row r="340" spans="1:31" ht="13.15" x14ac:dyDescent="0.4">
      <c r="A340" s="8"/>
      <c r="B340" s="8"/>
      <c r="C340" s="8"/>
      <c r="D340" s="8"/>
      <c r="E340" s="8"/>
      <c r="F340" s="8"/>
      <c r="G340" s="8"/>
      <c r="H340" s="8"/>
      <c r="I340" s="9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</row>
    <row r="341" spans="1:31" ht="13.15" x14ac:dyDescent="0.4">
      <c r="A341" s="8"/>
      <c r="B341" s="8"/>
      <c r="C341" s="8"/>
      <c r="D341" s="8"/>
      <c r="E341" s="8"/>
      <c r="F341" s="8"/>
      <c r="G341" s="8"/>
      <c r="H341" s="8"/>
      <c r="I341" s="9"/>
      <c r="J341" s="9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</row>
    <row r="342" spans="1:31" ht="13.15" x14ac:dyDescent="0.4">
      <c r="A342" s="8"/>
      <c r="B342" s="8"/>
      <c r="C342" s="8"/>
      <c r="D342" s="8"/>
      <c r="E342" s="8"/>
      <c r="F342" s="8"/>
      <c r="G342" s="8"/>
      <c r="H342" s="8"/>
      <c r="I342" s="9"/>
      <c r="J342" s="9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</row>
    <row r="343" spans="1:31" ht="13.15" x14ac:dyDescent="0.4">
      <c r="A343" s="8"/>
      <c r="B343" s="8"/>
      <c r="C343" s="8"/>
      <c r="D343" s="8"/>
      <c r="E343" s="8"/>
      <c r="F343" s="8"/>
      <c r="G343" s="8"/>
      <c r="H343" s="8"/>
      <c r="I343" s="9"/>
      <c r="J343" s="9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</row>
    <row r="344" spans="1:31" ht="13.15" x14ac:dyDescent="0.4">
      <c r="A344" s="8"/>
      <c r="B344" s="8"/>
      <c r="C344" s="8"/>
      <c r="D344" s="8"/>
      <c r="E344" s="8"/>
      <c r="F344" s="8"/>
      <c r="G344" s="8"/>
      <c r="H344" s="8"/>
      <c r="I344" s="9"/>
      <c r="J344" s="9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</row>
    <row r="345" spans="1:31" ht="13.15" x14ac:dyDescent="0.4">
      <c r="A345" s="8"/>
      <c r="B345" s="8"/>
      <c r="C345" s="8"/>
      <c r="D345" s="8"/>
      <c r="E345" s="8"/>
      <c r="F345" s="8"/>
      <c r="G345" s="8"/>
      <c r="H345" s="8"/>
      <c r="I345" s="9"/>
      <c r="J345" s="9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</row>
    <row r="346" spans="1:31" ht="13.15" x14ac:dyDescent="0.4">
      <c r="A346" s="8"/>
      <c r="B346" s="8"/>
      <c r="C346" s="8"/>
      <c r="D346" s="8"/>
      <c r="E346" s="8"/>
      <c r="F346" s="8"/>
      <c r="G346" s="8"/>
      <c r="H346" s="8"/>
      <c r="I346" s="9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</row>
    <row r="347" spans="1:31" ht="13.15" x14ac:dyDescent="0.4">
      <c r="A347" s="8"/>
      <c r="B347" s="8"/>
      <c r="C347" s="8"/>
      <c r="D347" s="8"/>
      <c r="E347" s="8"/>
      <c r="F347" s="8"/>
      <c r="G347" s="8"/>
      <c r="H347" s="8"/>
      <c r="I347" s="9"/>
      <c r="J347" s="9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</row>
    <row r="348" spans="1:31" ht="13.15" x14ac:dyDescent="0.4">
      <c r="A348" s="8"/>
      <c r="B348" s="8"/>
      <c r="C348" s="8"/>
      <c r="D348" s="8"/>
      <c r="E348" s="8"/>
      <c r="F348" s="8"/>
      <c r="G348" s="8"/>
      <c r="H348" s="8"/>
      <c r="I348" s="9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</row>
    <row r="349" spans="1:31" ht="13.15" x14ac:dyDescent="0.4">
      <c r="A349" s="8"/>
      <c r="B349" s="8"/>
      <c r="C349" s="8"/>
      <c r="D349" s="8"/>
      <c r="E349" s="8"/>
      <c r="F349" s="8"/>
      <c r="G349" s="8"/>
      <c r="H349" s="8"/>
      <c r="I349" s="9"/>
      <c r="J349" s="9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</row>
    <row r="350" spans="1:31" ht="13.15" x14ac:dyDescent="0.4">
      <c r="A350" s="8"/>
      <c r="B350" s="8"/>
      <c r="C350" s="8"/>
      <c r="D350" s="8"/>
      <c r="E350" s="8"/>
      <c r="F350" s="8"/>
      <c r="G350" s="8"/>
      <c r="H350" s="8"/>
      <c r="I350" s="9"/>
      <c r="J350" s="9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</row>
    <row r="351" spans="1:31" ht="13.15" x14ac:dyDescent="0.4">
      <c r="A351" s="8"/>
      <c r="B351" s="8"/>
      <c r="C351" s="8"/>
      <c r="D351" s="8"/>
      <c r="E351" s="8"/>
      <c r="F351" s="8"/>
      <c r="G351" s="8"/>
      <c r="H351" s="8"/>
      <c r="I351" s="9"/>
      <c r="J351" s="9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</row>
    <row r="352" spans="1:31" ht="13.15" x14ac:dyDescent="0.4">
      <c r="A352" s="8"/>
      <c r="B352" s="8"/>
      <c r="C352" s="8"/>
      <c r="D352" s="8"/>
      <c r="E352" s="8"/>
      <c r="F352" s="8"/>
      <c r="G352" s="8"/>
      <c r="H352" s="8"/>
      <c r="I352" s="9"/>
      <c r="J352" s="9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</row>
    <row r="353" spans="1:31" ht="13.15" x14ac:dyDescent="0.4">
      <c r="A353" s="8"/>
      <c r="B353" s="8"/>
      <c r="C353" s="8"/>
      <c r="D353" s="8"/>
      <c r="E353" s="8"/>
      <c r="F353" s="8"/>
      <c r="G353" s="8"/>
      <c r="H353" s="8"/>
      <c r="I353" s="9"/>
      <c r="J353" s="9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</row>
    <row r="354" spans="1:31" ht="13.15" x14ac:dyDescent="0.4">
      <c r="A354" s="8"/>
      <c r="B354" s="8"/>
      <c r="C354" s="8"/>
      <c r="D354" s="8"/>
      <c r="E354" s="8"/>
      <c r="F354" s="8"/>
      <c r="G354" s="8"/>
      <c r="H354" s="8"/>
      <c r="I354" s="9"/>
      <c r="J354" s="9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</row>
    <row r="355" spans="1:31" ht="13.15" x14ac:dyDescent="0.4">
      <c r="A355" s="8"/>
      <c r="B355" s="8"/>
      <c r="C355" s="8"/>
      <c r="D355" s="8"/>
      <c r="E355" s="8"/>
      <c r="F355" s="8"/>
      <c r="G355" s="8"/>
      <c r="H355" s="8"/>
      <c r="I355" s="9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</row>
    <row r="356" spans="1:31" ht="13.15" x14ac:dyDescent="0.4">
      <c r="A356" s="8"/>
      <c r="B356" s="8"/>
      <c r="C356" s="8"/>
      <c r="D356" s="8"/>
      <c r="E356" s="8"/>
      <c r="F356" s="8"/>
      <c r="G356" s="8"/>
      <c r="H356" s="8"/>
      <c r="I356" s="9"/>
      <c r="J356" s="9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</row>
    <row r="357" spans="1:31" ht="13.15" x14ac:dyDescent="0.4">
      <c r="A357" s="8"/>
      <c r="B357" s="8"/>
      <c r="C357" s="8"/>
      <c r="D357" s="8"/>
      <c r="E357" s="8"/>
      <c r="F357" s="8"/>
      <c r="G357" s="8"/>
      <c r="H357" s="8"/>
      <c r="I357" s="9"/>
      <c r="J357" s="9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</row>
    <row r="358" spans="1:31" ht="13.15" x14ac:dyDescent="0.4">
      <c r="A358" s="8"/>
      <c r="B358" s="8"/>
      <c r="C358" s="8"/>
      <c r="D358" s="8"/>
      <c r="E358" s="8"/>
      <c r="F358" s="8"/>
      <c r="G358" s="8"/>
      <c r="H358" s="8"/>
      <c r="I358" s="9"/>
      <c r="J358" s="9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</row>
    <row r="359" spans="1:31" ht="13.15" x14ac:dyDescent="0.4">
      <c r="A359" s="8"/>
      <c r="B359" s="8"/>
      <c r="C359" s="8"/>
      <c r="D359" s="8"/>
      <c r="E359" s="8"/>
      <c r="F359" s="8"/>
      <c r="G359" s="8"/>
      <c r="H359" s="8"/>
      <c r="I359" s="9"/>
      <c r="J359" s="9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</row>
    <row r="360" spans="1:31" ht="13.15" x14ac:dyDescent="0.4">
      <c r="A360" s="8"/>
      <c r="B360" s="8"/>
      <c r="C360" s="8"/>
      <c r="D360" s="8"/>
      <c r="E360" s="8"/>
      <c r="F360" s="8"/>
      <c r="G360" s="8"/>
      <c r="H360" s="8"/>
      <c r="I360" s="9"/>
      <c r="J360" s="9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</row>
    <row r="361" spans="1:31" ht="13.15" x14ac:dyDescent="0.4">
      <c r="A361" s="8"/>
      <c r="B361" s="8"/>
      <c r="C361" s="8"/>
      <c r="D361" s="8"/>
      <c r="E361" s="8"/>
      <c r="F361" s="8"/>
      <c r="G361" s="8"/>
      <c r="H361" s="8"/>
      <c r="I361" s="9"/>
      <c r="J361" s="9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</row>
    <row r="362" spans="1:31" ht="13.15" x14ac:dyDescent="0.4">
      <c r="A362" s="8"/>
      <c r="B362" s="8"/>
      <c r="C362" s="8"/>
      <c r="D362" s="8"/>
      <c r="E362" s="8"/>
      <c r="F362" s="8"/>
      <c r="G362" s="8"/>
      <c r="H362" s="8"/>
      <c r="I362" s="9"/>
      <c r="J362" s="9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</row>
    <row r="363" spans="1:31" ht="13.15" x14ac:dyDescent="0.4">
      <c r="A363" s="8"/>
      <c r="B363" s="8"/>
      <c r="C363" s="8"/>
      <c r="D363" s="8"/>
      <c r="E363" s="8"/>
      <c r="F363" s="8"/>
      <c r="G363" s="8"/>
      <c r="H363" s="8"/>
      <c r="I363" s="9"/>
      <c r="J363" s="9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</row>
    <row r="364" spans="1:31" ht="13.15" x14ac:dyDescent="0.4">
      <c r="A364" s="8"/>
      <c r="B364" s="8"/>
      <c r="C364" s="8"/>
      <c r="D364" s="8"/>
      <c r="E364" s="8"/>
      <c r="F364" s="8"/>
      <c r="G364" s="8"/>
      <c r="H364" s="8"/>
      <c r="I364" s="9"/>
      <c r="J364" s="9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</row>
    <row r="365" spans="1:31" ht="13.15" x14ac:dyDescent="0.4">
      <c r="A365" s="8"/>
      <c r="B365" s="8"/>
      <c r="C365" s="8"/>
      <c r="D365" s="8"/>
      <c r="E365" s="8"/>
      <c r="F365" s="8"/>
      <c r="G365" s="8"/>
      <c r="H365" s="8"/>
      <c r="I365" s="9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</row>
    <row r="366" spans="1:31" ht="13.15" x14ac:dyDescent="0.4">
      <c r="A366" s="8"/>
      <c r="B366" s="8"/>
      <c r="C366" s="8"/>
      <c r="D366" s="8"/>
      <c r="E366" s="8"/>
      <c r="F366" s="8"/>
      <c r="G366" s="8"/>
      <c r="H366" s="8"/>
      <c r="I366" s="9"/>
      <c r="J366" s="9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</row>
    <row r="367" spans="1:31" ht="13.15" x14ac:dyDescent="0.4">
      <c r="A367" s="8"/>
      <c r="B367" s="8"/>
      <c r="C367" s="8"/>
      <c r="D367" s="8"/>
      <c r="E367" s="8"/>
      <c r="F367" s="8"/>
      <c r="G367" s="8"/>
      <c r="H367" s="8"/>
      <c r="I367" s="9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</row>
    <row r="368" spans="1:31" ht="13.15" x14ac:dyDescent="0.4">
      <c r="A368" s="8"/>
      <c r="B368" s="8"/>
      <c r="C368" s="8"/>
      <c r="D368" s="8"/>
      <c r="E368" s="8"/>
      <c r="F368" s="8"/>
      <c r="G368" s="8"/>
      <c r="H368" s="8"/>
      <c r="I368" s="9"/>
      <c r="J368" s="9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</row>
    <row r="369" spans="1:31" ht="13.15" x14ac:dyDescent="0.4">
      <c r="A369" s="8"/>
      <c r="B369" s="8"/>
      <c r="C369" s="8"/>
      <c r="D369" s="8"/>
      <c r="E369" s="8"/>
      <c r="F369" s="8"/>
      <c r="G369" s="8"/>
      <c r="H369" s="8"/>
      <c r="I369" s="9"/>
      <c r="J369" s="9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</row>
    <row r="370" spans="1:31" ht="13.15" x14ac:dyDescent="0.4">
      <c r="A370" s="8"/>
      <c r="B370" s="8"/>
      <c r="C370" s="8"/>
      <c r="D370" s="8"/>
      <c r="E370" s="8"/>
      <c r="F370" s="8"/>
      <c r="G370" s="8"/>
      <c r="H370" s="8"/>
      <c r="I370" s="9"/>
      <c r="J370" s="9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</row>
    <row r="371" spans="1:31" ht="13.15" x14ac:dyDescent="0.4">
      <c r="A371" s="8"/>
      <c r="B371" s="8"/>
      <c r="C371" s="8"/>
      <c r="D371" s="8"/>
      <c r="E371" s="8"/>
      <c r="F371" s="8"/>
      <c r="G371" s="8"/>
      <c r="H371" s="8"/>
      <c r="I371" s="9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</row>
    <row r="372" spans="1:31" ht="13.15" x14ac:dyDescent="0.4">
      <c r="A372" s="8"/>
      <c r="B372" s="8"/>
      <c r="C372" s="8"/>
      <c r="D372" s="8"/>
      <c r="E372" s="8"/>
      <c r="F372" s="8"/>
      <c r="G372" s="8"/>
      <c r="H372" s="8"/>
      <c r="I372" s="9"/>
      <c r="J372" s="9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</row>
    <row r="373" spans="1:31" ht="13.15" x14ac:dyDescent="0.4">
      <c r="A373" s="8"/>
      <c r="B373" s="8"/>
      <c r="C373" s="8"/>
      <c r="D373" s="8"/>
      <c r="E373" s="8"/>
      <c r="F373" s="8"/>
      <c r="G373" s="8"/>
      <c r="H373" s="8"/>
      <c r="I373" s="9"/>
      <c r="J373" s="9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</row>
    <row r="374" spans="1:31" ht="13.15" x14ac:dyDescent="0.4">
      <c r="A374" s="8"/>
      <c r="B374" s="8"/>
      <c r="C374" s="8"/>
      <c r="D374" s="8"/>
      <c r="E374" s="8"/>
      <c r="F374" s="8"/>
      <c r="G374" s="8"/>
      <c r="H374" s="8"/>
      <c r="I374" s="9"/>
      <c r="J374" s="9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</row>
    <row r="375" spans="1:31" ht="13.15" x14ac:dyDescent="0.4">
      <c r="A375" s="8"/>
      <c r="B375" s="8"/>
      <c r="C375" s="8"/>
      <c r="D375" s="8"/>
      <c r="E375" s="8"/>
      <c r="F375" s="8"/>
      <c r="G375" s="8"/>
      <c r="H375" s="8"/>
      <c r="I375" s="9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</row>
    <row r="376" spans="1:31" ht="13.15" x14ac:dyDescent="0.4">
      <c r="A376" s="8"/>
      <c r="B376" s="8"/>
      <c r="C376" s="8"/>
      <c r="D376" s="8"/>
      <c r="E376" s="8"/>
      <c r="F376" s="8"/>
      <c r="G376" s="8"/>
      <c r="H376" s="8"/>
      <c r="I376" s="9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</row>
    <row r="377" spans="1:31" ht="13.15" x14ac:dyDescent="0.4">
      <c r="A377" s="8"/>
      <c r="B377" s="8"/>
      <c r="C377" s="8"/>
      <c r="D377" s="8"/>
      <c r="E377" s="8"/>
      <c r="F377" s="8"/>
      <c r="G377" s="8"/>
      <c r="H377" s="8"/>
      <c r="I377" s="9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</row>
    <row r="378" spans="1:31" ht="13.15" x14ac:dyDescent="0.4">
      <c r="A378" s="8"/>
      <c r="B378" s="8"/>
      <c r="C378" s="8"/>
      <c r="D378" s="8"/>
      <c r="E378" s="8"/>
      <c r="F378" s="8"/>
      <c r="G378" s="8"/>
      <c r="H378" s="8"/>
      <c r="I378" s="9"/>
      <c r="J378" s="9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</row>
    <row r="379" spans="1:31" ht="13.15" x14ac:dyDescent="0.4">
      <c r="A379" s="8"/>
      <c r="B379" s="8"/>
      <c r="C379" s="8"/>
      <c r="D379" s="8"/>
      <c r="E379" s="8"/>
      <c r="F379" s="8"/>
      <c r="G379" s="8"/>
      <c r="H379" s="8"/>
      <c r="I379" s="9"/>
      <c r="J379" s="9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</row>
    <row r="380" spans="1:31" ht="13.15" x14ac:dyDescent="0.4">
      <c r="A380" s="8"/>
      <c r="B380" s="8"/>
      <c r="C380" s="8"/>
      <c r="D380" s="8"/>
      <c r="E380" s="8"/>
      <c r="F380" s="8"/>
      <c r="G380" s="8"/>
      <c r="H380" s="8"/>
      <c r="I380" s="9"/>
      <c r="J380" s="9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</row>
    <row r="381" spans="1:31" ht="13.15" x14ac:dyDescent="0.4">
      <c r="A381" s="8"/>
      <c r="B381" s="8"/>
      <c r="C381" s="8"/>
      <c r="D381" s="8"/>
      <c r="E381" s="8"/>
      <c r="F381" s="8"/>
      <c r="G381" s="8"/>
      <c r="H381" s="8"/>
      <c r="I381" s="9"/>
      <c r="J381" s="9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</row>
    <row r="382" spans="1:31" ht="13.15" x14ac:dyDescent="0.4">
      <c r="A382" s="8"/>
      <c r="B382" s="8"/>
      <c r="C382" s="8"/>
      <c r="D382" s="8"/>
      <c r="E382" s="8"/>
      <c r="F382" s="8"/>
      <c r="G382" s="8"/>
      <c r="H382" s="8"/>
      <c r="I382" s="9"/>
      <c r="J382" s="9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</row>
    <row r="383" spans="1:31" ht="13.15" x14ac:dyDescent="0.4">
      <c r="A383" s="8"/>
      <c r="B383" s="8"/>
      <c r="C383" s="8"/>
      <c r="D383" s="8"/>
      <c r="E383" s="8"/>
      <c r="F383" s="8"/>
      <c r="G383" s="8"/>
      <c r="H383" s="8"/>
      <c r="I383" s="9"/>
      <c r="J383" s="9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</row>
    <row r="384" spans="1:31" ht="13.15" x14ac:dyDescent="0.4">
      <c r="A384" s="8"/>
      <c r="B384" s="8"/>
      <c r="C384" s="8"/>
      <c r="D384" s="8"/>
      <c r="E384" s="8"/>
      <c r="F384" s="8"/>
      <c r="G384" s="8"/>
      <c r="H384" s="8"/>
      <c r="I384" s="9"/>
      <c r="J384" s="9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</row>
    <row r="385" spans="1:31" ht="13.15" x14ac:dyDescent="0.4">
      <c r="A385" s="8"/>
      <c r="B385" s="8"/>
      <c r="C385" s="8"/>
      <c r="D385" s="8"/>
      <c r="E385" s="8"/>
      <c r="F385" s="8"/>
      <c r="G385" s="8"/>
      <c r="H385" s="8"/>
      <c r="I385" s="9"/>
      <c r="J385" s="9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</row>
    <row r="386" spans="1:31" ht="13.15" x14ac:dyDescent="0.4">
      <c r="A386" s="8"/>
      <c r="B386" s="8"/>
      <c r="C386" s="8"/>
      <c r="D386" s="8"/>
      <c r="E386" s="8"/>
      <c r="F386" s="8"/>
      <c r="G386" s="8"/>
      <c r="H386" s="8"/>
      <c r="I386" s="9"/>
      <c r="J386" s="9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</row>
    <row r="387" spans="1:31" ht="13.15" x14ac:dyDescent="0.4">
      <c r="A387" s="8"/>
      <c r="B387" s="8"/>
      <c r="C387" s="8"/>
      <c r="D387" s="8"/>
      <c r="E387" s="8"/>
      <c r="F387" s="8"/>
      <c r="G387" s="8"/>
      <c r="H387" s="8"/>
      <c r="I387" s="12"/>
      <c r="J387" s="9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</row>
    <row r="388" spans="1:31" ht="13.15" x14ac:dyDescent="0.4">
      <c r="A388" s="8"/>
      <c r="B388" s="8"/>
      <c r="C388" s="8"/>
      <c r="D388" s="8"/>
      <c r="E388" s="8"/>
      <c r="F388" s="8"/>
      <c r="G388" s="8"/>
      <c r="H388" s="8"/>
      <c r="I388" s="9"/>
      <c r="J388" s="9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</row>
    <row r="389" spans="1:31" ht="13.15" x14ac:dyDescent="0.4">
      <c r="A389" s="8"/>
      <c r="B389" s="8"/>
      <c r="C389" s="8"/>
      <c r="D389" s="8"/>
      <c r="E389" s="8"/>
      <c r="F389" s="8"/>
      <c r="G389" s="8"/>
      <c r="H389" s="8"/>
      <c r="I389" s="9"/>
      <c r="J389" s="9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</row>
    <row r="390" spans="1:31" ht="13.15" x14ac:dyDescent="0.4">
      <c r="A390" s="8"/>
      <c r="B390" s="8"/>
      <c r="C390" s="8"/>
      <c r="D390" s="8"/>
      <c r="E390" s="8"/>
      <c r="F390" s="8"/>
      <c r="G390" s="8"/>
      <c r="H390" s="8"/>
      <c r="I390" s="9"/>
      <c r="J390" s="9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</row>
    <row r="391" spans="1:31" ht="13.15" x14ac:dyDescent="0.4">
      <c r="A391" s="8"/>
      <c r="B391" s="8"/>
      <c r="C391" s="8"/>
      <c r="D391" s="8"/>
      <c r="E391" s="8"/>
      <c r="F391" s="8"/>
      <c r="G391" s="8"/>
      <c r="H391" s="8"/>
      <c r="I391" s="9"/>
      <c r="J391" s="9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</row>
    <row r="392" spans="1:31" ht="13.15" x14ac:dyDescent="0.4">
      <c r="A392" s="8"/>
      <c r="B392" s="8"/>
      <c r="C392" s="8"/>
      <c r="D392" s="8"/>
      <c r="E392" s="8"/>
      <c r="F392" s="8"/>
      <c r="G392" s="8"/>
      <c r="H392" s="8"/>
      <c r="I392" s="9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</row>
    <row r="393" spans="1:31" ht="13.15" x14ac:dyDescent="0.4">
      <c r="A393" s="8"/>
      <c r="B393" s="8"/>
      <c r="C393" s="8"/>
      <c r="D393" s="8"/>
      <c r="E393" s="8"/>
      <c r="F393" s="8"/>
      <c r="G393" s="8"/>
      <c r="H393" s="8"/>
      <c r="I393" s="9"/>
      <c r="J393" s="9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</row>
    <row r="394" spans="1:31" ht="13.15" x14ac:dyDescent="0.4">
      <c r="A394" s="8"/>
      <c r="B394" s="8"/>
      <c r="C394" s="8"/>
      <c r="D394" s="8"/>
      <c r="E394" s="8"/>
      <c r="F394" s="8"/>
      <c r="G394" s="8"/>
      <c r="H394" s="8"/>
      <c r="I394" s="9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</row>
    <row r="395" spans="1:31" ht="13.15" x14ac:dyDescent="0.4">
      <c r="A395" s="8"/>
      <c r="B395" s="8"/>
      <c r="C395" s="8"/>
      <c r="D395" s="8"/>
      <c r="E395" s="8"/>
      <c r="F395" s="8"/>
      <c r="G395" s="8"/>
      <c r="H395" s="8"/>
      <c r="I395" s="9"/>
      <c r="J395" s="9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</row>
    <row r="396" spans="1:31" ht="13.15" x14ac:dyDescent="0.4">
      <c r="A396" s="8"/>
      <c r="B396" s="8"/>
      <c r="C396" s="8"/>
      <c r="D396" s="8"/>
      <c r="E396" s="8"/>
      <c r="F396" s="8"/>
      <c r="G396" s="8"/>
      <c r="H396" s="8"/>
      <c r="I396" s="9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</row>
    <row r="397" spans="1:31" ht="13.15" x14ac:dyDescent="0.4">
      <c r="A397" s="8"/>
      <c r="B397" s="8"/>
      <c r="C397" s="8"/>
      <c r="D397" s="8"/>
      <c r="E397" s="8"/>
      <c r="F397" s="8"/>
      <c r="G397" s="8"/>
      <c r="H397" s="8"/>
      <c r="I397" s="9"/>
      <c r="J397" s="9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</row>
    <row r="398" spans="1:31" ht="13.15" x14ac:dyDescent="0.4">
      <c r="A398" s="8"/>
      <c r="B398" s="8"/>
      <c r="C398" s="8"/>
      <c r="D398" s="8"/>
      <c r="E398" s="8"/>
      <c r="F398" s="8"/>
      <c r="G398" s="8"/>
      <c r="H398" s="8"/>
      <c r="I398" s="9"/>
      <c r="J398" s="9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</row>
    <row r="399" spans="1:31" ht="13.15" x14ac:dyDescent="0.4">
      <c r="A399" s="8"/>
      <c r="B399" s="8"/>
      <c r="C399" s="8"/>
      <c r="D399" s="8"/>
      <c r="E399" s="8"/>
      <c r="F399" s="8"/>
      <c r="G399" s="8"/>
      <c r="H399" s="8"/>
      <c r="I399" s="9"/>
      <c r="J399" s="9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</row>
    <row r="400" spans="1:31" ht="13.15" x14ac:dyDescent="0.4">
      <c r="A400" s="8"/>
      <c r="B400" s="8"/>
      <c r="C400" s="8"/>
      <c r="D400" s="8"/>
      <c r="E400" s="8"/>
      <c r="F400" s="8"/>
      <c r="G400" s="8"/>
      <c r="H400" s="8"/>
      <c r="I400" s="9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</row>
    <row r="401" spans="1:31" ht="13.15" x14ac:dyDescent="0.4">
      <c r="A401" s="8"/>
      <c r="B401" s="8"/>
      <c r="C401" s="8"/>
      <c r="D401" s="8"/>
      <c r="E401" s="8"/>
      <c r="F401" s="8"/>
      <c r="G401" s="8"/>
      <c r="H401" s="8"/>
      <c r="I401" s="9"/>
      <c r="J401" s="9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</row>
    <row r="402" spans="1:31" ht="13.15" x14ac:dyDescent="0.4">
      <c r="A402" s="8"/>
      <c r="B402" s="8"/>
      <c r="C402" s="8"/>
      <c r="D402" s="8"/>
      <c r="E402" s="8"/>
      <c r="F402" s="8"/>
      <c r="G402" s="8"/>
      <c r="H402" s="8"/>
      <c r="I402" s="9"/>
      <c r="J402" s="9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</row>
    <row r="403" spans="1:31" ht="13.15" x14ac:dyDescent="0.4">
      <c r="A403" s="8"/>
      <c r="B403" s="8"/>
      <c r="C403" s="8"/>
      <c r="D403" s="8"/>
      <c r="E403" s="8"/>
      <c r="F403" s="8"/>
      <c r="G403" s="8"/>
      <c r="H403" s="8"/>
      <c r="I403" s="9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</row>
    <row r="404" spans="1:31" ht="13.15" x14ac:dyDescent="0.4">
      <c r="A404" s="8"/>
      <c r="B404" s="8"/>
      <c r="C404" s="8"/>
      <c r="D404" s="8"/>
      <c r="E404" s="8"/>
      <c r="F404" s="8"/>
      <c r="G404" s="8"/>
      <c r="H404" s="8"/>
      <c r="I404" s="9"/>
      <c r="J404" s="9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</row>
    <row r="405" spans="1:31" ht="13.15" x14ac:dyDescent="0.4">
      <c r="A405" s="8"/>
      <c r="B405" s="8"/>
      <c r="C405" s="8"/>
      <c r="D405" s="8"/>
      <c r="E405" s="8"/>
      <c r="F405" s="8"/>
      <c r="G405" s="8"/>
      <c r="H405" s="8"/>
      <c r="I405" s="9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</row>
    <row r="406" spans="1:31" ht="13.15" x14ac:dyDescent="0.4">
      <c r="A406" s="8"/>
      <c r="B406" s="8"/>
      <c r="C406" s="8"/>
      <c r="D406" s="8"/>
      <c r="E406" s="8"/>
      <c r="F406" s="8"/>
      <c r="G406" s="8"/>
      <c r="H406" s="8"/>
      <c r="I406" s="9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</row>
    <row r="407" spans="1:31" ht="13.15" x14ac:dyDescent="0.4">
      <c r="A407" s="8"/>
      <c r="B407" s="8"/>
      <c r="C407" s="8"/>
      <c r="D407" s="8"/>
      <c r="E407" s="8"/>
      <c r="F407" s="8"/>
      <c r="G407" s="8"/>
      <c r="H407" s="8"/>
      <c r="I407" s="9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</row>
    <row r="408" spans="1:31" ht="13.15" x14ac:dyDescent="0.4">
      <c r="A408" s="8"/>
      <c r="B408" s="8"/>
      <c r="C408" s="8"/>
      <c r="D408" s="8"/>
      <c r="E408" s="8"/>
      <c r="F408" s="8"/>
      <c r="G408" s="8"/>
      <c r="H408" s="8"/>
      <c r="I408" s="12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</row>
    <row r="409" spans="1:31" ht="13.15" x14ac:dyDescent="0.4">
      <c r="A409" s="8"/>
      <c r="B409" s="8"/>
      <c r="C409" s="8"/>
      <c r="D409" s="8"/>
      <c r="E409" s="8"/>
      <c r="F409" s="8"/>
      <c r="G409" s="8"/>
      <c r="H409" s="8"/>
      <c r="I409" s="9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</row>
    <row r="410" spans="1:31" ht="13.15" x14ac:dyDescent="0.4">
      <c r="A410" s="8"/>
      <c r="B410" s="8"/>
      <c r="C410" s="8"/>
      <c r="D410" s="8"/>
      <c r="E410" s="8"/>
      <c r="F410" s="8"/>
      <c r="G410" s="8"/>
      <c r="H410" s="8"/>
      <c r="I410" s="9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</row>
    <row r="411" spans="1:31" ht="13.15" x14ac:dyDescent="0.4">
      <c r="A411" s="8"/>
      <c r="B411" s="8"/>
      <c r="C411" s="8"/>
      <c r="D411" s="8"/>
      <c r="E411" s="8"/>
      <c r="F411" s="8"/>
      <c r="G411" s="8"/>
      <c r="H411" s="8"/>
      <c r="I411" s="9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</row>
    <row r="412" spans="1:31" ht="13.15" x14ac:dyDescent="0.4">
      <c r="A412" s="8"/>
      <c r="B412" s="8"/>
      <c r="C412" s="8"/>
      <c r="D412" s="8"/>
      <c r="E412" s="8"/>
      <c r="F412" s="8"/>
      <c r="G412" s="8"/>
      <c r="H412" s="8"/>
      <c r="I412" s="9"/>
      <c r="J412" s="9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</row>
    <row r="413" spans="1:31" ht="13.15" x14ac:dyDescent="0.4">
      <c r="A413" s="8"/>
      <c r="B413" s="8"/>
      <c r="C413" s="8"/>
      <c r="D413" s="8"/>
      <c r="E413" s="8"/>
      <c r="F413" s="8"/>
      <c r="G413" s="8"/>
      <c r="H413" s="8"/>
      <c r="I413" s="9"/>
      <c r="J413" s="9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</row>
    <row r="414" spans="1:31" ht="13.15" x14ac:dyDescent="0.4">
      <c r="A414" s="8"/>
      <c r="B414" s="8"/>
      <c r="C414" s="8"/>
      <c r="D414" s="8"/>
      <c r="E414" s="8"/>
      <c r="F414" s="8"/>
      <c r="G414" s="8"/>
      <c r="H414" s="8"/>
      <c r="I414" s="9"/>
      <c r="J414" s="9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</row>
    <row r="415" spans="1:31" ht="13.15" x14ac:dyDescent="0.4">
      <c r="A415" s="8"/>
      <c r="B415" s="8"/>
      <c r="C415" s="8"/>
      <c r="D415" s="8"/>
      <c r="E415" s="8"/>
      <c r="F415" s="8"/>
      <c r="G415" s="8"/>
      <c r="H415" s="8"/>
      <c r="I415" s="9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</row>
    <row r="416" spans="1:31" ht="13.15" x14ac:dyDescent="0.4">
      <c r="A416" s="8"/>
      <c r="B416" s="8"/>
      <c r="C416" s="8"/>
      <c r="D416" s="8"/>
      <c r="E416" s="8"/>
      <c r="F416" s="8"/>
      <c r="G416" s="8"/>
      <c r="H416" s="8"/>
      <c r="I416" s="9"/>
      <c r="J416" s="9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</row>
    <row r="417" spans="1:31" ht="13.15" x14ac:dyDescent="0.4">
      <c r="A417" s="8"/>
      <c r="B417" s="8"/>
      <c r="C417" s="8"/>
      <c r="D417" s="8"/>
      <c r="E417" s="8"/>
      <c r="F417" s="8"/>
      <c r="G417" s="8"/>
      <c r="H417" s="8"/>
      <c r="I417" s="9"/>
      <c r="J417" s="9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</row>
    <row r="418" spans="1:31" ht="13.15" x14ac:dyDescent="0.4">
      <c r="A418" s="8"/>
      <c r="B418" s="8"/>
      <c r="C418" s="8"/>
      <c r="D418" s="8"/>
      <c r="E418" s="8"/>
      <c r="F418" s="8"/>
      <c r="G418" s="8"/>
      <c r="H418" s="8"/>
      <c r="I418" s="9"/>
      <c r="J418" s="9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</row>
    <row r="419" spans="1:31" ht="13.15" x14ac:dyDescent="0.4">
      <c r="A419" s="8"/>
      <c r="B419" s="8"/>
      <c r="C419" s="8"/>
      <c r="D419" s="8"/>
      <c r="E419" s="8"/>
      <c r="F419" s="8"/>
      <c r="G419" s="8"/>
      <c r="H419" s="8"/>
      <c r="I419" s="9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</row>
    <row r="420" spans="1:31" ht="13.15" x14ac:dyDescent="0.4">
      <c r="A420" s="8"/>
      <c r="B420" s="8"/>
      <c r="C420" s="8"/>
      <c r="D420" s="8"/>
      <c r="E420" s="8"/>
      <c r="F420" s="8"/>
      <c r="G420" s="8"/>
      <c r="H420" s="8"/>
      <c r="I420" s="9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</row>
    <row r="421" spans="1:31" ht="13.15" x14ac:dyDescent="0.4">
      <c r="A421" s="8"/>
      <c r="B421" s="8"/>
      <c r="C421" s="8"/>
      <c r="D421" s="8"/>
      <c r="E421" s="8"/>
      <c r="F421" s="8"/>
      <c r="G421" s="8"/>
      <c r="H421" s="8"/>
      <c r="I421" s="9"/>
      <c r="J421" s="9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</row>
    <row r="422" spans="1:31" ht="13.15" x14ac:dyDescent="0.4">
      <c r="A422" s="8"/>
      <c r="B422" s="8"/>
      <c r="C422" s="8"/>
      <c r="D422" s="8"/>
      <c r="E422" s="8"/>
      <c r="F422" s="8"/>
      <c r="G422" s="8"/>
      <c r="H422" s="8"/>
      <c r="I422" s="9"/>
      <c r="J422" s="9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</row>
    <row r="423" spans="1:31" ht="13.15" x14ac:dyDescent="0.4">
      <c r="A423" s="8"/>
      <c r="B423" s="8"/>
      <c r="C423" s="8"/>
      <c r="D423" s="8"/>
      <c r="E423" s="8"/>
      <c r="F423" s="8"/>
      <c r="G423" s="8"/>
      <c r="H423" s="8"/>
      <c r="I423" s="9"/>
      <c r="J423" s="9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</row>
    <row r="424" spans="1:31" ht="13.15" x14ac:dyDescent="0.4">
      <c r="A424" s="8"/>
      <c r="B424" s="8"/>
      <c r="C424" s="8"/>
      <c r="D424" s="8"/>
      <c r="E424" s="8"/>
      <c r="F424" s="8"/>
      <c r="G424" s="8"/>
      <c r="H424" s="8"/>
      <c r="I424" s="9"/>
      <c r="J424" s="9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</row>
    <row r="425" spans="1:31" ht="13.15" x14ac:dyDescent="0.4">
      <c r="A425" s="8"/>
      <c r="B425" s="8"/>
      <c r="C425" s="8"/>
      <c r="D425" s="8"/>
      <c r="E425" s="8"/>
      <c r="F425" s="8"/>
      <c r="G425" s="8"/>
      <c r="H425" s="8"/>
      <c r="I425" s="9"/>
      <c r="J425" s="9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</row>
    <row r="426" spans="1:31" ht="13.15" x14ac:dyDescent="0.4">
      <c r="A426" s="8"/>
      <c r="B426" s="8"/>
      <c r="C426" s="8"/>
      <c r="D426" s="8"/>
      <c r="E426" s="8"/>
      <c r="F426" s="8"/>
      <c r="G426" s="8"/>
      <c r="H426" s="8"/>
      <c r="I426" s="9"/>
      <c r="J426" s="9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</row>
    <row r="427" spans="1:31" ht="13.15" x14ac:dyDescent="0.4">
      <c r="A427" s="8"/>
      <c r="B427" s="8"/>
      <c r="C427" s="8"/>
      <c r="D427" s="8"/>
      <c r="E427" s="8"/>
      <c r="F427" s="8"/>
      <c r="G427" s="8"/>
      <c r="H427" s="8"/>
      <c r="I427" s="9"/>
      <c r="J427" s="9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</row>
    <row r="428" spans="1:31" ht="13.15" x14ac:dyDescent="0.4">
      <c r="A428" s="8"/>
      <c r="B428" s="8"/>
      <c r="C428" s="8"/>
      <c r="D428" s="8"/>
      <c r="E428" s="8"/>
      <c r="F428" s="8"/>
      <c r="G428" s="8"/>
      <c r="H428" s="8"/>
      <c r="I428" s="9"/>
      <c r="J428" s="9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</row>
    <row r="429" spans="1:31" ht="13.15" x14ac:dyDescent="0.4">
      <c r="A429" s="8"/>
      <c r="B429" s="8"/>
      <c r="C429" s="8"/>
      <c r="D429" s="8"/>
      <c r="E429" s="8"/>
      <c r="F429" s="8"/>
      <c r="G429" s="8"/>
      <c r="H429" s="8"/>
      <c r="I429" s="9"/>
      <c r="J429" s="9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</row>
    <row r="430" spans="1:31" ht="13.15" x14ac:dyDescent="0.4">
      <c r="A430" s="8"/>
      <c r="B430" s="8"/>
      <c r="C430" s="8"/>
      <c r="D430" s="8"/>
      <c r="E430" s="8"/>
      <c r="F430" s="8"/>
      <c r="G430" s="8"/>
      <c r="H430" s="8"/>
      <c r="I430" s="9"/>
      <c r="J430" s="9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</row>
    <row r="431" spans="1:31" ht="13.15" x14ac:dyDescent="0.4">
      <c r="A431" s="8"/>
      <c r="B431" s="8"/>
      <c r="C431" s="8"/>
      <c r="D431" s="8"/>
      <c r="E431" s="8"/>
      <c r="F431" s="8"/>
      <c r="G431" s="8"/>
      <c r="H431" s="8"/>
      <c r="I431" s="9"/>
      <c r="J431" s="9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</row>
    <row r="432" spans="1:31" ht="13.15" x14ac:dyDescent="0.4">
      <c r="A432" s="8"/>
      <c r="B432" s="8"/>
      <c r="C432" s="8"/>
      <c r="D432" s="8"/>
      <c r="E432" s="8"/>
      <c r="F432" s="8"/>
      <c r="G432" s="8"/>
      <c r="H432" s="8"/>
      <c r="I432" s="9"/>
      <c r="J432" s="9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</row>
    <row r="433" spans="1:31" ht="13.15" x14ac:dyDescent="0.4">
      <c r="A433" s="8"/>
      <c r="B433" s="8"/>
      <c r="C433" s="8"/>
      <c r="D433" s="8"/>
      <c r="E433" s="8"/>
      <c r="F433" s="8"/>
      <c r="G433" s="8"/>
      <c r="H433" s="8"/>
      <c r="I433" s="9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</row>
    <row r="434" spans="1:31" ht="13.15" x14ac:dyDescent="0.4">
      <c r="A434" s="8"/>
      <c r="B434" s="8"/>
      <c r="C434" s="8"/>
      <c r="D434" s="8"/>
      <c r="E434" s="8"/>
      <c r="F434" s="8"/>
      <c r="G434" s="8"/>
      <c r="H434" s="8"/>
      <c r="I434" s="9"/>
      <c r="J434" s="9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</row>
    <row r="435" spans="1:31" ht="13.15" x14ac:dyDescent="0.4">
      <c r="A435" s="8"/>
      <c r="B435" s="8"/>
      <c r="C435" s="8"/>
      <c r="D435" s="8"/>
      <c r="E435" s="8"/>
      <c r="F435" s="8"/>
      <c r="G435" s="8"/>
      <c r="H435" s="8"/>
      <c r="I435" s="9"/>
      <c r="J435" s="9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</row>
    <row r="436" spans="1:31" ht="13.15" x14ac:dyDescent="0.4">
      <c r="A436" s="8"/>
      <c r="B436" s="8"/>
      <c r="C436" s="8"/>
      <c r="D436" s="8"/>
      <c r="E436" s="8"/>
      <c r="F436" s="8"/>
      <c r="G436" s="8"/>
      <c r="H436" s="8"/>
      <c r="I436" s="9"/>
      <c r="J436" s="9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</row>
    <row r="437" spans="1:31" ht="13.15" x14ac:dyDescent="0.4">
      <c r="A437" s="8"/>
      <c r="B437" s="8"/>
      <c r="C437" s="8"/>
      <c r="D437" s="8"/>
      <c r="E437" s="8"/>
      <c r="F437" s="8"/>
      <c r="G437" s="8"/>
      <c r="H437" s="8"/>
      <c r="I437" s="9"/>
      <c r="J437" s="9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</row>
    <row r="438" spans="1:31" ht="13.15" x14ac:dyDescent="0.4">
      <c r="A438" s="8"/>
      <c r="B438" s="8"/>
      <c r="C438" s="8"/>
      <c r="D438" s="8"/>
      <c r="E438" s="8"/>
      <c r="F438" s="8"/>
      <c r="G438" s="8"/>
      <c r="H438" s="8"/>
      <c r="I438" s="9"/>
      <c r="J438" s="9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</row>
    <row r="439" spans="1:31" ht="13.15" x14ac:dyDescent="0.4">
      <c r="A439" s="8"/>
      <c r="B439" s="8"/>
      <c r="C439" s="8"/>
      <c r="D439" s="8"/>
      <c r="E439" s="8"/>
      <c r="F439" s="8"/>
      <c r="G439" s="8"/>
      <c r="H439" s="8"/>
      <c r="I439" s="9"/>
      <c r="J439" s="9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</row>
    <row r="440" spans="1:31" ht="13.15" x14ac:dyDescent="0.4">
      <c r="A440" s="8"/>
      <c r="B440" s="8"/>
      <c r="C440" s="8"/>
      <c r="D440" s="8"/>
      <c r="E440" s="8"/>
      <c r="F440" s="8"/>
      <c r="G440" s="8"/>
      <c r="H440" s="8"/>
      <c r="I440" s="9"/>
      <c r="J440" s="9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</row>
    <row r="441" spans="1:31" ht="13.15" x14ac:dyDescent="0.4">
      <c r="A441" s="8"/>
      <c r="B441" s="8"/>
      <c r="C441" s="8"/>
      <c r="D441" s="8"/>
      <c r="E441" s="8"/>
      <c r="F441" s="8"/>
      <c r="G441" s="8"/>
      <c r="H441" s="8"/>
      <c r="I441" s="9"/>
      <c r="J441" s="9"/>
      <c r="K441" s="8"/>
      <c r="L441" s="11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</row>
    <row r="442" spans="1:31" ht="13.15" x14ac:dyDescent="0.4">
      <c r="A442" s="8"/>
      <c r="B442" s="8"/>
      <c r="C442" s="8"/>
      <c r="D442" s="8"/>
      <c r="E442" s="8"/>
      <c r="F442" s="8"/>
      <c r="G442" s="8"/>
      <c r="H442" s="8"/>
      <c r="I442" s="9"/>
      <c r="J442" s="9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</row>
    <row r="443" spans="1:31" ht="13.15" x14ac:dyDescent="0.4">
      <c r="A443" s="8"/>
      <c r="B443" s="8"/>
      <c r="C443" s="8"/>
      <c r="D443" s="8"/>
      <c r="E443" s="8"/>
      <c r="F443" s="8"/>
      <c r="G443" s="8"/>
      <c r="H443" s="8"/>
      <c r="I443" s="9"/>
      <c r="J443" s="9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</row>
    <row r="444" spans="1:31" ht="13.15" x14ac:dyDescent="0.4">
      <c r="A444" s="8"/>
      <c r="B444" s="8"/>
      <c r="C444" s="8"/>
      <c r="D444" s="8"/>
      <c r="E444" s="8"/>
      <c r="F444" s="8"/>
      <c r="G444" s="8"/>
      <c r="H444" s="8"/>
      <c r="I444" s="9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</row>
    <row r="445" spans="1:31" ht="13.15" x14ac:dyDescent="0.4">
      <c r="A445" s="8"/>
      <c r="B445" s="8"/>
      <c r="C445" s="8"/>
      <c r="D445" s="8"/>
      <c r="E445" s="8"/>
      <c r="F445" s="8"/>
      <c r="G445" s="8"/>
      <c r="H445" s="8"/>
      <c r="I445" s="9"/>
      <c r="J445" s="9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</row>
    <row r="446" spans="1:31" ht="13.15" x14ac:dyDescent="0.4">
      <c r="A446" s="8"/>
      <c r="B446" s="8"/>
      <c r="C446" s="8"/>
      <c r="D446" s="8"/>
      <c r="E446" s="8"/>
      <c r="F446" s="8"/>
      <c r="G446" s="8"/>
      <c r="H446" s="8"/>
      <c r="I446" s="9"/>
      <c r="J446" s="9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</row>
    <row r="447" spans="1:31" ht="13.15" x14ac:dyDescent="0.4">
      <c r="A447" s="8"/>
      <c r="B447" s="8"/>
      <c r="C447" s="8"/>
      <c r="D447" s="8"/>
      <c r="E447" s="8"/>
      <c r="F447" s="8"/>
      <c r="G447" s="8"/>
      <c r="H447" s="8"/>
      <c r="I447" s="9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</row>
    <row r="448" spans="1:31" ht="13.15" x14ac:dyDescent="0.4">
      <c r="A448" s="8"/>
      <c r="B448" s="8"/>
      <c r="C448" s="8"/>
      <c r="D448" s="8"/>
      <c r="E448" s="8"/>
      <c r="F448" s="8"/>
      <c r="G448" s="8"/>
      <c r="H448" s="8"/>
      <c r="I448" s="9"/>
      <c r="J448" s="9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</row>
    <row r="449" spans="1:31" ht="13.15" x14ac:dyDescent="0.4">
      <c r="A449" s="8"/>
      <c r="B449" s="8"/>
      <c r="C449" s="8"/>
      <c r="D449" s="8"/>
      <c r="E449" s="8"/>
      <c r="F449" s="8"/>
      <c r="G449" s="8"/>
      <c r="H449" s="8"/>
      <c r="I449" s="9"/>
      <c r="J449" s="9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</row>
    <row r="450" spans="1:31" ht="13.15" x14ac:dyDescent="0.4">
      <c r="A450" s="8"/>
      <c r="B450" s="8"/>
      <c r="C450" s="8"/>
      <c r="D450" s="8"/>
      <c r="E450" s="8"/>
      <c r="F450" s="8"/>
      <c r="G450" s="8"/>
      <c r="H450" s="8"/>
      <c r="I450" s="9"/>
      <c r="J450" s="9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</row>
    <row r="451" spans="1:31" ht="13.15" x14ac:dyDescent="0.4">
      <c r="A451" s="8"/>
      <c r="B451" s="8"/>
      <c r="C451" s="8"/>
      <c r="D451" s="8"/>
      <c r="E451" s="8"/>
      <c r="F451" s="8"/>
      <c r="G451" s="8"/>
      <c r="H451" s="8"/>
      <c r="I451" s="9"/>
      <c r="J451" s="9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</row>
    <row r="452" spans="1:31" ht="13.15" x14ac:dyDescent="0.4">
      <c r="A452" s="8"/>
      <c r="B452" s="8"/>
      <c r="C452" s="8"/>
      <c r="D452" s="8"/>
      <c r="E452" s="8"/>
      <c r="F452" s="8"/>
      <c r="G452" s="8"/>
      <c r="H452" s="8"/>
      <c r="I452" s="9"/>
      <c r="J452" s="9"/>
      <c r="K452" s="8"/>
      <c r="L452" s="11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</row>
    <row r="453" spans="1:31" ht="13.15" x14ac:dyDescent="0.4">
      <c r="A453" s="8"/>
      <c r="B453" s="8"/>
      <c r="C453" s="8"/>
      <c r="D453" s="8"/>
      <c r="E453" s="8"/>
      <c r="F453" s="8"/>
      <c r="G453" s="8"/>
      <c r="H453" s="8"/>
      <c r="I453" s="9"/>
      <c r="J453" s="9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</row>
    <row r="454" spans="1:31" ht="13.15" x14ac:dyDescent="0.4">
      <c r="A454" s="8"/>
      <c r="B454" s="8"/>
      <c r="C454" s="8"/>
      <c r="D454" s="8"/>
      <c r="E454" s="8"/>
      <c r="F454" s="8"/>
      <c r="G454" s="8"/>
      <c r="H454" s="8"/>
      <c r="I454" s="9"/>
      <c r="J454" s="9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</row>
    <row r="455" spans="1:31" ht="13.15" x14ac:dyDescent="0.4">
      <c r="A455" s="8"/>
      <c r="B455" s="8"/>
      <c r="C455" s="8"/>
      <c r="D455" s="8"/>
      <c r="E455" s="8"/>
      <c r="F455" s="8"/>
      <c r="G455" s="8"/>
      <c r="H455" s="8"/>
      <c r="I455" s="9"/>
      <c r="J455" s="9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</row>
    <row r="456" spans="1:31" ht="13.15" x14ac:dyDescent="0.4">
      <c r="A456" s="8"/>
      <c r="B456" s="8"/>
      <c r="C456" s="8"/>
      <c r="D456" s="8"/>
      <c r="E456" s="8"/>
      <c r="F456" s="8"/>
      <c r="G456" s="8"/>
      <c r="H456" s="8"/>
      <c r="I456" s="9"/>
      <c r="J456" s="9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</row>
    <row r="457" spans="1:31" ht="13.15" x14ac:dyDescent="0.4">
      <c r="A457" s="8"/>
      <c r="B457" s="8"/>
      <c r="C457" s="8"/>
      <c r="D457" s="8"/>
      <c r="E457" s="8"/>
      <c r="F457" s="8"/>
      <c r="G457" s="8"/>
      <c r="H457" s="8"/>
      <c r="I457" s="9"/>
      <c r="J457" s="9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</row>
    <row r="458" spans="1:31" ht="13.15" x14ac:dyDescent="0.4">
      <c r="A458" s="8"/>
      <c r="B458" s="8"/>
      <c r="C458" s="8"/>
      <c r="D458" s="8"/>
      <c r="E458" s="8"/>
      <c r="F458" s="8"/>
      <c r="G458" s="8"/>
      <c r="H458" s="8"/>
      <c r="I458" s="9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</row>
    <row r="459" spans="1:31" ht="13.15" x14ac:dyDescent="0.4">
      <c r="A459" s="8"/>
      <c r="B459" s="8"/>
      <c r="C459" s="8"/>
      <c r="D459" s="8"/>
      <c r="E459" s="8"/>
      <c r="F459" s="8"/>
      <c r="G459" s="8"/>
      <c r="H459" s="8"/>
      <c r="I459" s="9"/>
      <c r="J459" s="9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</row>
    <row r="460" spans="1:31" ht="13.15" x14ac:dyDescent="0.4">
      <c r="A460" s="8"/>
      <c r="B460" s="8"/>
      <c r="C460" s="8"/>
      <c r="D460" s="8"/>
      <c r="E460" s="8"/>
      <c r="F460" s="8"/>
      <c r="G460" s="8"/>
      <c r="H460" s="8"/>
      <c r="I460" s="9"/>
      <c r="J460" s="9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</row>
    <row r="461" spans="1:31" ht="13.15" x14ac:dyDescent="0.4">
      <c r="A461" s="8"/>
      <c r="B461" s="8"/>
      <c r="C461" s="8"/>
      <c r="D461" s="8"/>
      <c r="E461" s="8"/>
      <c r="F461" s="8"/>
      <c r="G461" s="8"/>
      <c r="H461" s="8"/>
      <c r="I461" s="9"/>
      <c r="J461" s="9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</row>
    <row r="462" spans="1:31" ht="13.15" x14ac:dyDescent="0.4">
      <c r="A462" s="8"/>
      <c r="B462" s="8"/>
      <c r="C462" s="8"/>
      <c r="D462" s="8"/>
      <c r="E462" s="8"/>
      <c r="F462" s="8"/>
      <c r="G462" s="8"/>
      <c r="H462" s="8"/>
      <c r="I462" s="9"/>
      <c r="J462" s="9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</row>
    <row r="463" spans="1:31" ht="13.15" x14ac:dyDescent="0.4">
      <c r="A463" s="8"/>
      <c r="B463" s="8"/>
      <c r="C463" s="8"/>
      <c r="D463" s="8"/>
      <c r="E463" s="8"/>
      <c r="F463" s="8"/>
      <c r="G463" s="8"/>
      <c r="H463" s="8"/>
      <c r="I463" s="9"/>
      <c r="J463" s="9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</row>
    <row r="464" spans="1:31" ht="13.15" x14ac:dyDescent="0.4">
      <c r="A464" s="8"/>
      <c r="B464" s="8"/>
      <c r="C464" s="8"/>
      <c r="D464" s="8"/>
      <c r="E464" s="8"/>
      <c r="F464" s="8"/>
      <c r="G464" s="8"/>
      <c r="H464" s="8"/>
      <c r="I464" s="9"/>
      <c r="J464" s="9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</row>
    <row r="465" spans="1:31" ht="13.15" x14ac:dyDescent="0.4">
      <c r="A465" s="8"/>
      <c r="B465" s="8"/>
      <c r="C465" s="8"/>
      <c r="D465" s="8"/>
      <c r="E465" s="8"/>
      <c r="F465" s="8"/>
      <c r="G465" s="8"/>
      <c r="H465" s="8"/>
      <c r="I465" s="9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</row>
    <row r="466" spans="1:31" ht="13.15" x14ac:dyDescent="0.4">
      <c r="A466" s="8"/>
      <c r="B466" s="8"/>
      <c r="C466" s="8"/>
      <c r="D466" s="8"/>
      <c r="E466" s="8"/>
      <c r="F466" s="8"/>
      <c r="G466" s="8"/>
      <c r="H466" s="8"/>
      <c r="I466" s="9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</row>
    <row r="467" spans="1:31" ht="13.15" x14ac:dyDescent="0.4">
      <c r="A467" s="8"/>
      <c r="B467" s="8"/>
      <c r="C467" s="8"/>
      <c r="D467" s="8"/>
      <c r="E467" s="8"/>
      <c r="F467" s="8"/>
      <c r="G467" s="8"/>
      <c r="H467" s="8"/>
      <c r="I467" s="9"/>
      <c r="J467" s="9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</row>
    <row r="468" spans="1:31" ht="13.15" x14ac:dyDescent="0.4">
      <c r="A468" s="8"/>
      <c r="B468" s="8"/>
      <c r="C468" s="8"/>
      <c r="D468" s="8"/>
      <c r="E468" s="8"/>
      <c r="F468" s="8"/>
      <c r="G468" s="8"/>
      <c r="H468" s="8"/>
      <c r="I468" s="9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</row>
    <row r="469" spans="1:31" ht="13.15" x14ac:dyDescent="0.4">
      <c r="A469" s="8"/>
      <c r="B469" s="8"/>
      <c r="C469" s="8"/>
      <c r="D469" s="8"/>
      <c r="E469" s="8"/>
      <c r="F469" s="8"/>
      <c r="G469" s="8"/>
      <c r="H469" s="8"/>
      <c r="I469" s="9"/>
      <c r="J469" s="9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</row>
    <row r="470" spans="1:31" ht="13.15" x14ac:dyDescent="0.4">
      <c r="A470" s="8"/>
      <c r="B470" s="8"/>
      <c r="C470" s="8"/>
      <c r="D470" s="8"/>
      <c r="E470" s="8"/>
      <c r="F470" s="8"/>
      <c r="G470" s="8"/>
      <c r="H470" s="8"/>
      <c r="I470" s="9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</row>
    <row r="471" spans="1:31" ht="13.15" x14ac:dyDescent="0.4">
      <c r="A471" s="8"/>
      <c r="B471" s="8"/>
      <c r="C471" s="8"/>
      <c r="D471" s="8"/>
      <c r="E471" s="8"/>
      <c r="F471" s="8"/>
      <c r="G471" s="8"/>
      <c r="H471" s="8"/>
      <c r="I471" s="9"/>
      <c r="J471" s="9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</row>
    <row r="472" spans="1:31" ht="13.15" x14ac:dyDescent="0.4">
      <c r="A472" s="8"/>
      <c r="B472" s="8"/>
      <c r="C472" s="8"/>
      <c r="D472" s="8"/>
      <c r="E472" s="8"/>
      <c r="F472" s="8"/>
      <c r="G472" s="8"/>
      <c r="H472" s="8"/>
      <c r="I472" s="9"/>
      <c r="J472" s="9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</row>
    <row r="473" spans="1:31" ht="13.15" x14ac:dyDescent="0.4">
      <c r="A473" s="8"/>
      <c r="B473" s="8"/>
      <c r="C473" s="8"/>
      <c r="D473" s="8"/>
      <c r="E473" s="8"/>
      <c r="F473" s="8"/>
      <c r="G473" s="8"/>
      <c r="H473" s="8"/>
      <c r="I473" s="9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</row>
    <row r="474" spans="1:31" ht="13.15" x14ac:dyDescent="0.4">
      <c r="A474" s="8"/>
      <c r="B474" s="8"/>
      <c r="C474" s="8"/>
      <c r="D474" s="8"/>
      <c r="E474" s="8"/>
      <c r="F474" s="8"/>
      <c r="G474" s="8"/>
      <c r="H474" s="8"/>
      <c r="I474" s="9"/>
      <c r="J474" s="9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</row>
    <row r="475" spans="1:31" ht="13.15" x14ac:dyDescent="0.4">
      <c r="A475" s="8"/>
      <c r="B475" s="8"/>
      <c r="C475" s="8"/>
      <c r="D475" s="8"/>
      <c r="E475" s="8"/>
      <c r="F475" s="8"/>
      <c r="G475" s="8"/>
      <c r="H475" s="8"/>
      <c r="I475" s="9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</row>
    <row r="476" spans="1:31" ht="13.15" x14ac:dyDescent="0.4">
      <c r="A476" s="8"/>
      <c r="B476" s="8"/>
      <c r="C476" s="8"/>
      <c r="D476" s="8"/>
      <c r="E476" s="8"/>
      <c r="F476" s="8"/>
      <c r="G476" s="8"/>
      <c r="H476" s="8"/>
      <c r="I476" s="9"/>
      <c r="J476" s="9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</row>
    <row r="477" spans="1:31" ht="13.15" x14ac:dyDescent="0.4">
      <c r="A477" s="8"/>
      <c r="B477" s="8"/>
      <c r="C477" s="8"/>
      <c r="D477" s="8"/>
      <c r="E477" s="8"/>
      <c r="F477" s="8"/>
      <c r="G477" s="8"/>
      <c r="H477" s="8"/>
      <c r="I477" s="9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</row>
    <row r="478" spans="1:31" ht="13.15" x14ac:dyDescent="0.4">
      <c r="A478" s="8"/>
      <c r="B478" s="8"/>
      <c r="C478" s="8"/>
      <c r="D478" s="8"/>
      <c r="E478" s="8"/>
      <c r="F478" s="8"/>
      <c r="G478" s="8"/>
      <c r="H478" s="8"/>
      <c r="I478" s="9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</row>
    <row r="479" spans="1:31" ht="13.15" x14ac:dyDescent="0.4">
      <c r="A479" s="8"/>
      <c r="B479" s="8"/>
      <c r="C479" s="8"/>
      <c r="D479" s="8"/>
      <c r="E479" s="8"/>
      <c r="F479" s="8"/>
      <c r="G479" s="8"/>
      <c r="H479" s="8"/>
      <c r="I479" s="9"/>
      <c r="J479" s="9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</row>
    <row r="480" spans="1:31" ht="13.15" x14ac:dyDescent="0.4">
      <c r="A480" s="8"/>
      <c r="B480" s="8"/>
      <c r="C480" s="8"/>
      <c r="D480" s="8"/>
      <c r="E480" s="8"/>
      <c r="F480" s="8"/>
      <c r="G480" s="8"/>
      <c r="H480" s="8"/>
      <c r="I480" s="9"/>
      <c r="J480" s="9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</row>
    <row r="481" spans="1:31" ht="13.15" x14ac:dyDescent="0.4">
      <c r="A481" s="8"/>
      <c r="B481" s="8"/>
      <c r="C481" s="8"/>
      <c r="D481" s="8"/>
      <c r="E481" s="8"/>
      <c r="F481" s="8"/>
      <c r="G481" s="8"/>
      <c r="H481" s="8"/>
      <c r="I481" s="9"/>
      <c r="J481" s="9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</row>
    <row r="482" spans="1:31" ht="13.15" x14ac:dyDescent="0.4">
      <c r="A482" s="8"/>
      <c r="B482" s="8"/>
      <c r="C482" s="8"/>
      <c r="D482" s="8"/>
      <c r="E482" s="8"/>
      <c r="F482" s="8"/>
      <c r="G482" s="8"/>
      <c r="H482" s="8"/>
      <c r="I482" s="9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</row>
    <row r="483" spans="1:31" ht="13.15" x14ac:dyDescent="0.4">
      <c r="A483" s="8"/>
      <c r="B483" s="8"/>
      <c r="C483" s="8"/>
      <c r="D483" s="8"/>
      <c r="E483" s="8"/>
      <c r="F483" s="8"/>
      <c r="G483" s="8"/>
      <c r="H483" s="8"/>
      <c r="I483" s="9"/>
      <c r="J483" s="9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</row>
    <row r="484" spans="1:31" ht="13.15" x14ac:dyDescent="0.4">
      <c r="A484" s="8"/>
      <c r="B484" s="8"/>
      <c r="C484" s="8"/>
      <c r="D484" s="8"/>
      <c r="E484" s="8"/>
      <c r="F484" s="8"/>
      <c r="G484" s="8"/>
      <c r="H484" s="8"/>
      <c r="I484" s="9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</row>
    <row r="485" spans="1:31" ht="13.15" x14ac:dyDescent="0.4">
      <c r="A485" s="8"/>
      <c r="B485" s="8"/>
      <c r="C485" s="8"/>
      <c r="D485" s="8"/>
      <c r="E485" s="8"/>
      <c r="F485" s="8"/>
      <c r="G485" s="8"/>
      <c r="H485" s="8"/>
      <c r="I485" s="9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</row>
    <row r="486" spans="1:31" ht="13.15" x14ac:dyDescent="0.4">
      <c r="A486" s="8"/>
      <c r="B486" s="8"/>
      <c r="C486" s="8"/>
      <c r="D486" s="8"/>
      <c r="E486" s="8"/>
      <c r="F486" s="8"/>
      <c r="G486" s="8"/>
      <c r="H486" s="8"/>
      <c r="I486" s="9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</row>
    <row r="487" spans="1:31" ht="13.15" x14ac:dyDescent="0.4">
      <c r="A487" s="8"/>
      <c r="B487" s="8"/>
      <c r="C487" s="8"/>
      <c r="D487" s="8"/>
      <c r="E487" s="8"/>
      <c r="F487" s="8"/>
      <c r="G487" s="8"/>
      <c r="H487" s="8"/>
      <c r="I487" s="9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</row>
    <row r="488" spans="1:31" ht="13.15" x14ac:dyDescent="0.4">
      <c r="A488" s="8"/>
      <c r="B488" s="8"/>
      <c r="C488" s="8"/>
      <c r="D488" s="8"/>
      <c r="E488" s="8"/>
      <c r="F488" s="8"/>
      <c r="G488" s="8"/>
      <c r="H488" s="8"/>
      <c r="I488" s="9"/>
      <c r="J488" s="9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</row>
    <row r="489" spans="1:31" ht="13.15" x14ac:dyDescent="0.4">
      <c r="A489" s="8"/>
      <c r="B489" s="8"/>
      <c r="C489" s="8"/>
      <c r="D489" s="8"/>
      <c r="E489" s="8"/>
      <c r="F489" s="8"/>
      <c r="G489" s="8"/>
      <c r="H489" s="8"/>
      <c r="I489" s="9"/>
      <c r="J489" s="9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</row>
    <row r="490" spans="1:31" ht="13.15" x14ac:dyDescent="0.4">
      <c r="A490" s="8"/>
      <c r="B490" s="8"/>
      <c r="C490" s="8"/>
      <c r="D490" s="8"/>
      <c r="E490" s="8"/>
      <c r="F490" s="8"/>
      <c r="G490" s="8"/>
      <c r="H490" s="8"/>
      <c r="I490" s="9"/>
      <c r="J490" s="9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</row>
    <row r="491" spans="1:31" ht="13.15" x14ac:dyDescent="0.4">
      <c r="A491" s="8"/>
      <c r="B491" s="8"/>
      <c r="C491" s="8"/>
      <c r="D491" s="8"/>
      <c r="E491" s="8"/>
      <c r="F491" s="8"/>
      <c r="G491" s="8"/>
      <c r="H491" s="8"/>
      <c r="I491" s="9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</row>
    <row r="492" spans="1:31" ht="13.15" x14ac:dyDescent="0.4">
      <c r="A492" s="8"/>
      <c r="B492" s="8"/>
      <c r="C492" s="8"/>
      <c r="D492" s="8"/>
      <c r="E492" s="8"/>
      <c r="F492" s="8"/>
      <c r="G492" s="8"/>
      <c r="H492" s="8"/>
      <c r="I492" s="9"/>
      <c r="J492" s="8"/>
      <c r="K492" s="8"/>
      <c r="L492" s="11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</row>
    <row r="493" spans="1:31" ht="13.15" x14ac:dyDescent="0.4">
      <c r="A493" s="8"/>
      <c r="B493" s="8"/>
      <c r="C493" s="8"/>
      <c r="D493" s="8"/>
      <c r="E493" s="8"/>
      <c r="F493" s="8"/>
      <c r="G493" s="8"/>
      <c r="H493" s="8"/>
      <c r="I493" s="9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</row>
    <row r="494" spans="1:31" ht="13.15" x14ac:dyDescent="0.4">
      <c r="A494" s="8"/>
      <c r="B494" s="8"/>
      <c r="C494" s="8"/>
      <c r="D494" s="8"/>
      <c r="E494" s="8"/>
      <c r="F494" s="8"/>
      <c r="G494" s="8"/>
      <c r="H494" s="8"/>
      <c r="I494" s="9"/>
      <c r="J494" s="9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</row>
    <row r="495" spans="1:31" ht="13.15" x14ac:dyDescent="0.4">
      <c r="A495" s="8"/>
      <c r="B495" s="8"/>
      <c r="C495" s="8"/>
      <c r="D495" s="8"/>
      <c r="E495" s="8"/>
      <c r="F495" s="8"/>
      <c r="G495" s="8"/>
      <c r="H495" s="8"/>
      <c r="I495" s="9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</row>
    <row r="496" spans="1:31" ht="13.15" x14ac:dyDescent="0.4">
      <c r="A496" s="8"/>
      <c r="B496" s="8"/>
      <c r="C496" s="8"/>
      <c r="D496" s="8"/>
      <c r="E496" s="8"/>
      <c r="F496" s="8"/>
      <c r="G496" s="8"/>
      <c r="H496" s="8"/>
      <c r="I496" s="9"/>
      <c r="J496" s="9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</row>
    <row r="497" spans="1:31" ht="13.15" x14ac:dyDescent="0.4">
      <c r="A497" s="8"/>
      <c r="B497" s="8"/>
      <c r="C497" s="8"/>
      <c r="D497" s="8"/>
      <c r="E497" s="8"/>
      <c r="F497" s="8"/>
      <c r="G497" s="8"/>
      <c r="H497" s="8"/>
      <c r="I497" s="9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</row>
    <row r="498" spans="1:31" ht="13.15" x14ac:dyDescent="0.4">
      <c r="A498" s="8"/>
      <c r="B498" s="8"/>
      <c r="C498" s="8"/>
      <c r="D498" s="8"/>
      <c r="E498" s="8"/>
      <c r="F498" s="8"/>
      <c r="G498" s="8"/>
      <c r="H498" s="8"/>
      <c r="I498" s="9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</row>
    <row r="499" spans="1:31" ht="13.15" x14ac:dyDescent="0.4">
      <c r="A499" s="8"/>
      <c r="B499" s="8"/>
      <c r="C499" s="8"/>
      <c r="D499" s="8"/>
      <c r="E499" s="8"/>
      <c r="F499" s="8"/>
      <c r="G499" s="8"/>
      <c r="H499" s="8"/>
      <c r="I499" s="9"/>
      <c r="J499" s="9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</row>
    <row r="500" spans="1:31" ht="13.15" x14ac:dyDescent="0.4">
      <c r="A500" s="8"/>
      <c r="B500" s="8"/>
      <c r="C500" s="8"/>
      <c r="D500" s="8"/>
      <c r="E500" s="8"/>
      <c r="F500" s="8"/>
      <c r="G500" s="8"/>
      <c r="H500" s="8"/>
      <c r="I500" s="9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</row>
    <row r="501" spans="1:31" ht="13.15" x14ac:dyDescent="0.4">
      <c r="A501" s="8"/>
      <c r="B501" s="8"/>
      <c r="C501" s="8"/>
      <c r="D501" s="8"/>
      <c r="E501" s="8"/>
      <c r="F501" s="8"/>
      <c r="G501" s="8"/>
      <c r="H501" s="8"/>
      <c r="I501" s="9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</row>
    <row r="502" spans="1:31" ht="13.15" x14ac:dyDescent="0.4">
      <c r="A502" s="8"/>
      <c r="B502" s="8"/>
      <c r="C502" s="8"/>
      <c r="D502" s="8"/>
      <c r="E502" s="8"/>
      <c r="F502" s="8"/>
      <c r="G502" s="8"/>
      <c r="H502" s="8"/>
      <c r="I502" s="9"/>
      <c r="J502" s="9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</row>
    <row r="503" spans="1:31" ht="13.15" x14ac:dyDescent="0.4">
      <c r="A503" s="8"/>
      <c r="B503" s="8"/>
      <c r="C503" s="8"/>
      <c r="D503" s="8"/>
      <c r="E503" s="8"/>
      <c r="F503" s="8"/>
      <c r="G503" s="8"/>
      <c r="H503" s="8"/>
      <c r="I503" s="9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</row>
    <row r="504" spans="1:31" ht="13.15" x14ac:dyDescent="0.4">
      <c r="A504" s="8"/>
      <c r="B504" s="8"/>
      <c r="C504" s="8"/>
      <c r="D504" s="8"/>
      <c r="E504" s="8"/>
      <c r="F504" s="8"/>
      <c r="G504" s="8"/>
      <c r="H504" s="8"/>
      <c r="I504" s="9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</row>
    <row r="505" spans="1:31" ht="13.15" x14ac:dyDescent="0.4">
      <c r="A505" s="8"/>
      <c r="B505" s="8"/>
      <c r="C505" s="8"/>
      <c r="D505" s="8"/>
      <c r="E505" s="8"/>
      <c r="F505" s="8"/>
      <c r="G505" s="8"/>
      <c r="H505" s="8"/>
      <c r="I505" s="9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</row>
    <row r="506" spans="1:31" ht="13.15" x14ac:dyDescent="0.4">
      <c r="A506" s="8"/>
      <c r="B506" s="8"/>
      <c r="C506" s="8"/>
      <c r="D506" s="8"/>
      <c r="E506" s="8"/>
      <c r="F506" s="8"/>
      <c r="G506" s="8"/>
      <c r="H506" s="8"/>
      <c r="I506" s="9"/>
      <c r="J506" s="9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</row>
    <row r="507" spans="1:31" ht="13.15" x14ac:dyDescent="0.4">
      <c r="A507" s="8"/>
      <c r="B507" s="8"/>
      <c r="C507" s="8"/>
      <c r="D507" s="8"/>
      <c r="E507" s="8"/>
      <c r="F507" s="8"/>
      <c r="G507" s="8"/>
      <c r="H507" s="8"/>
      <c r="I507" s="9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</row>
    <row r="508" spans="1:31" ht="13.15" x14ac:dyDescent="0.4">
      <c r="A508" s="8"/>
      <c r="B508" s="8"/>
      <c r="C508" s="8"/>
      <c r="D508" s="8"/>
      <c r="E508" s="8"/>
      <c r="F508" s="8"/>
      <c r="G508" s="8"/>
      <c r="H508" s="8"/>
      <c r="I508" s="9"/>
      <c r="J508" s="9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</row>
    <row r="509" spans="1:31" ht="13.15" x14ac:dyDescent="0.4">
      <c r="A509" s="8"/>
      <c r="B509" s="8"/>
      <c r="C509" s="8"/>
      <c r="D509" s="8"/>
      <c r="E509" s="8"/>
      <c r="F509" s="8"/>
      <c r="G509" s="8"/>
      <c r="H509" s="8"/>
      <c r="I509" s="9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</row>
    <row r="510" spans="1:31" ht="13.15" x14ac:dyDescent="0.4">
      <c r="A510" s="8"/>
      <c r="B510" s="8"/>
      <c r="C510" s="8"/>
      <c r="D510" s="8"/>
      <c r="E510" s="8"/>
      <c r="F510" s="8"/>
      <c r="G510" s="8"/>
      <c r="H510" s="8"/>
      <c r="I510" s="9"/>
      <c r="J510" s="9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</row>
    <row r="511" spans="1:31" ht="13.15" x14ac:dyDescent="0.4">
      <c r="A511" s="8"/>
      <c r="B511" s="8"/>
      <c r="C511" s="8"/>
      <c r="D511" s="8"/>
      <c r="E511" s="8"/>
      <c r="F511" s="8"/>
      <c r="G511" s="8"/>
      <c r="H511" s="8"/>
      <c r="I511" s="9"/>
      <c r="J511" s="9"/>
      <c r="K511" s="8"/>
      <c r="L511" s="11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</row>
    <row r="512" spans="1:31" ht="13.15" x14ac:dyDescent="0.4">
      <c r="A512" s="8"/>
      <c r="B512" s="8"/>
      <c r="C512" s="8"/>
      <c r="D512" s="8"/>
      <c r="E512" s="8"/>
      <c r="F512" s="8"/>
      <c r="G512" s="8"/>
      <c r="H512" s="8"/>
      <c r="I512" s="9"/>
      <c r="J512" s="9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</row>
    <row r="513" spans="1:31" ht="13.15" x14ac:dyDescent="0.4">
      <c r="A513" s="8"/>
      <c r="B513" s="8"/>
      <c r="C513" s="8"/>
      <c r="D513" s="8"/>
      <c r="E513" s="8"/>
      <c r="F513" s="8"/>
      <c r="G513" s="8"/>
      <c r="H513" s="8"/>
      <c r="I513" s="9"/>
      <c r="J513" s="9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</row>
    <row r="514" spans="1:31" ht="13.15" x14ac:dyDescent="0.4">
      <c r="A514" s="8"/>
      <c r="B514" s="8"/>
      <c r="C514" s="8"/>
      <c r="D514" s="8"/>
      <c r="E514" s="8"/>
      <c r="F514" s="8"/>
      <c r="G514" s="8"/>
      <c r="H514" s="8"/>
      <c r="I514" s="9"/>
      <c r="J514" s="9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</row>
    <row r="515" spans="1:31" ht="13.15" x14ac:dyDescent="0.4">
      <c r="A515" s="8"/>
      <c r="B515" s="8"/>
      <c r="C515" s="8"/>
      <c r="D515" s="8"/>
      <c r="E515" s="8"/>
      <c r="F515" s="8"/>
      <c r="G515" s="8"/>
      <c r="H515" s="8"/>
      <c r="I515" s="9"/>
      <c r="J515" s="9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</row>
    <row r="516" spans="1:31" ht="13.15" x14ac:dyDescent="0.4">
      <c r="A516" s="8"/>
      <c r="B516" s="8"/>
      <c r="C516" s="8"/>
      <c r="D516" s="8"/>
      <c r="E516" s="8"/>
      <c r="F516" s="8"/>
      <c r="G516" s="8"/>
      <c r="H516" s="8"/>
      <c r="I516" s="9"/>
      <c r="J516" s="9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</row>
    <row r="517" spans="1:31" ht="13.15" x14ac:dyDescent="0.4">
      <c r="A517" s="8"/>
      <c r="B517" s="8"/>
      <c r="C517" s="8"/>
      <c r="D517" s="8"/>
      <c r="E517" s="8"/>
      <c r="F517" s="8"/>
      <c r="G517" s="8"/>
      <c r="H517" s="8"/>
      <c r="I517" s="9"/>
      <c r="J517" s="9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</row>
    <row r="518" spans="1:31" ht="13.15" x14ac:dyDescent="0.4">
      <c r="A518" s="8"/>
      <c r="B518" s="8"/>
      <c r="C518" s="8"/>
      <c r="D518" s="8"/>
      <c r="E518" s="8"/>
      <c r="F518" s="8"/>
      <c r="G518" s="8"/>
      <c r="H518" s="8"/>
      <c r="I518" s="9"/>
      <c r="J518" s="9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</row>
    <row r="519" spans="1:31" ht="13.15" x14ac:dyDescent="0.4">
      <c r="A519" s="8"/>
      <c r="B519" s="8"/>
      <c r="C519" s="8"/>
      <c r="D519" s="8"/>
      <c r="E519" s="8"/>
      <c r="F519" s="8"/>
      <c r="G519" s="8"/>
      <c r="H519" s="8"/>
      <c r="I519" s="9"/>
      <c r="J519" s="9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</row>
    <row r="520" spans="1:31" ht="13.15" x14ac:dyDescent="0.4">
      <c r="A520" s="8"/>
      <c r="B520" s="8"/>
      <c r="C520" s="8"/>
      <c r="D520" s="8"/>
      <c r="E520" s="8"/>
      <c r="F520" s="8"/>
      <c r="G520" s="8"/>
      <c r="H520" s="8"/>
      <c r="I520" s="9"/>
      <c r="J520" s="9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</row>
    <row r="521" spans="1:31" ht="13.15" x14ac:dyDescent="0.4">
      <c r="A521" s="8"/>
      <c r="B521" s="8"/>
      <c r="C521" s="8"/>
      <c r="D521" s="8"/>
      <c r="E521" s="8"/>
      <c r="F521" s="8"/>
      <c r="G521" s="8"/>
      <c r="H521" s="8"/>
      <c r="I521" s="9"/>
      <c r="J521" s="8"/>
      <c r="K521" s="8"/>
      <c r="L521" s="11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</row>
    <row r="522" spans="1:31" ht="13.15" x14ac:dyDescent="0.4">
      <c r="A522" s="8"/>
      <c r="B522" s="8"/>
      <c r="C522" s="8"/>
      <c r="D522" s="8"/>
      <c r="E522" s="8"/>
      <c r="F522" s="8"/>
      <c r="G522" s="8"/>
      <c r="H522" s="8"/>
      <c r="I522" s="9"/>
      <c r="J522" s="9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</row>
    <row r="523" spans="1:31" ht="13.15" x14ac:dyDescent="0.4">
      <c r="A523" s="8"/>
      <c r="B523" s="8"/>
      <c r="C523" s="8"/>
      <c r="D523" s="8"/>
      <c r="E523" s="8"/>
      <c r="F523" s="8"/>
      <c r="G523" s="8"/>
      <c r="H523" s="8"/>
      <c r="I523" s="9"/>
      <c r="J523" s="9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</row>
    <row r="524" spans="1:31" ht="13.15" x14ac:dyDescent="0.4">
      <c r="A524" s="8"/>
      <c r="B524" s="8"/>
      <c r="C524" s="8"/>
      <c r="D524" s="8"/>
      <c r="E524" s="8"/>
      <c r="F524" s="8"/>
      <c r="G524" s="8"/>
      <c r="H524" s="8"/>
      <c r="I524" s="9"/>
      <c r="J524" s="9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</row>
    <row r="525" spans="1:31" ht="13.15" x14ac:dyDescent="0.4">
      <c r="A525" s="8"/>
      <c r="B525" s="8"/>
      <c r="C525" s="8"/>
      <c r="D525" s="8"/>
      <c r="E525" s="8"/>
      <c r="F525" s="8"/>
      <c r="G525" s="8"/>
      <c r="H525" s="8"/>
      <c r="I525" s="9"/>
      <c r="J525" s="9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</row>
    <row r="526" spans="1:31" ht="13.15" x14ac:dyDescent="0.4">
      <c r="A526" s="8"/>
      <c r="B526" s="8"/>
      <c r="C526" s="8"/>
      <c r="D526" s="8"/>
      <c r="E526" s="8"/>
      <c r="F526" s="8"/>
      <c r="G526" s="8"/>
      <c r="H526" s="8"/>
      <c r="I526" s="9"/>
      <c r="J526" s="9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</row>
    <row r="527" spans="1:31" ht="13.15" x14ac:dyDescent="0.4">
      <c r="A527" s="8"/>
      <c r="B527" s="8"/>
      <c r="C527" s="8"/>
      <c r="D527" s="8"/>
      <c r="E527" s="8"/>
      <c r="F527" s="8"/>
      <c r="G527" s="8"/>
      <c r="H527" s="8"/>
      <c r="I527" s="9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</row>
    <row r="528" spans="1:31" ht="13.15" x14ac:dyDescent="0.4">
      <c r="A528" s="8"/>
      <c r="B528" s="8"/>
      <c r="C528" s="8"/>
      <c r="D528" s="8"/>
      <c r="E528" s="8"/>
      <c r="F528" s="8"/>
      <c r="G528" s="8"/>
      <c r="H528" s="8"/>
      <c r="I528" s="9"/>
      <c r="J528" s="9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</row>
    <row r="529" spans="1:31" ht="13.15" x14ac:dyDescent="0.4">
      <c r="A529" s="8"/>
      <c r="B529" s="8"/>
      <c r="C529" s="8"/>
      <c r="D529" s="8"/>
      <c r="E529" s="8"/>
      <c r="F529" s="8"/>
      <c r="G529" s="8"/>
      <c r="H529" s="8"/>
      <c r="I529" s="9"/>
      <c r="J529" s="9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</row>
    <row r="530" spans="1:31" ht="13.15" x14ac:dyDescent="0.4">
      <c r="A530" s="8"/>
      <c r="B530" s="8"/>
      <c r="C530" s="8"/>
      <c r="D530" s="8"/>
      <c r="E530" s="8"/>
      <c r="F530" s="8"/>
      <c r="G530" s="8"/>
      <c r="H530" s="8"/>
      <c r="I530" s="9"/>
      <c r="J530" s="9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</row>
    <row r="531" spans="1:31" ht="13.15" x14ac:dyDescent="0.4">
      <c r="A531" s="8"/>
      <c r="B531" s="8"/>
      <c r="C531" s="8"/>
      <c r="D531" s="8"/>
      <c r="E531" s="8"/>
      <c r="F531" s="8"/>
      <c r="G531" s="8"/>
      <c r="H531" s="8"/>
      <c r="I531" s="9"/>
      <c r="J531" s="9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</row>
    <row r="532" spans="1:31" ht="13.15" x14ac:dyDescent="0.4">
      <c r="A532" s="8"/>
      <c r="B532" s="8"/>
      <c r="C532" s="8"/>
      <c r="D532" s="8"/>
      <c r="E532" s="8"/>
      <c r="F532" s="8"/>
      <c r="G532" s="8"/>
      <c r="H532" s="8"/>
      <c r="I532" s="9"/>
      <c r="J532" s="9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</row>
    <row r="533" spans="1:31" ht="13.15" x14ac:dyDescent="0.4">
      <c r="A533" s="8"/>
      <c r="B533" s="8"/>
      <c r="C533" s="8"/>
      <c r="D533" s="8"/>
      <c r="E533" s="8"/>
      <c r="F533" s="8"/>
      <c r="G533" s="8"/>
      <c r="H533" s="8"/>
      <c r="I533" s="9"/>
      <c r="J533" s="9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</row>
    <row r="534" spans="1:31" ht="13.15" x14ac:dyDescent="0.4">
      <c r="A534" s="8"/>
      <c r="B534" s="8"/>
      <c r="C534" s="8"/>
      <c r="D534" s="8"/>
      <c r="E534" s="8"/>
      <c r="F534" s="8"/>
      <c r="G534" s="8"/>
      <c r="H534" s="8"/>
      <c r="I534" s="9"/>
      <c r="J534" s="9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</row>
    <row r="535" spans="1:31" ht="13.15" x14ac:dyDescent="0.4">
      <c r="A535" s="8"/>
      <c r="B535" s="8"/>
      <c r="C535" s="8"/>
      <c r="D535" s="8"/>
      <c r="E535" s="8"/>
      <c r="F535" s="8"/>
      <c r="G535" s="8"/>
      <c r="H535" s="8"/>
      <c r="I535" s="9"/>
      <c r="J535" s="9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</row>
    <row r="536" spans="1:31" ht="13.15" x14ac:dyDescent="0.4">
      <c r="A536" s="8"/>
      <c r="B536" s="8"/>
      <c r="C536" s="8"/>
      <c r="D536" s="8"/>
      <c r="E536" s="8"/>
      <c r="F536" s="8"/>
      <c r="G536" s="8"/>
      <c r="H536" s="8"/>
      <c r="I536" s="9"/>
      <c r="J536" s="9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</row>
    <row r="537" spans="1:31" ht="13.15" x14ac:dyDescent="0.4">
      <c r="A537" s="8"/>
      <c r="B537" s="8"/>
      <c r="C537" s="8"/>
      <c r="D537" s="8"/>
      <c r="E537" s="8"/>
      <c r="F537" s="8"/>
      <c r="G537" s="8"/>
      <c r="H537" s="8"/>
      <c r="I537" s="9"/>
      <c r="J537" s="9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</row>
    <row r="538" spans="1:31" ht="13.15" x14ac:dyDescent="0.4">
      <c r="A538" s="8"/>
      <c r="B538" s="8"/>
      <c r="C538" s="8"/>
      <c r="D538" s="8"/>
      <c r="E538" s="8"/>
      <c r="F538" s="8"/>
      <c r="G538" s="8"/>
      <c r="H538" s="8"/>
      <c r="I538" s="9"/>
      <c r="J538" s="9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</row>
    <row r="539" spans="1:31" ht="13.15" x14ac:dyDescent="0.4">
      <c r="A539" s="8"/>
      <c r="B539" s="8"/>
      <c r="C539" s="8"/>
      <c r="D539" s="8"/>
      <c r="E539" s="8"/>
      <c r="F539" s="8"/>
      <c r="G539" s="8"/>
      <c r="H539" s="8"/>
      <c r="I539" s="9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</row>
    <row r="540" spans="1:31" ht="13.15" x14ac:dyDescent="0.4">
      <c r="A540" s="8"/>
      <c r="B540" s="8"/>
      <c r="C540" s="8"/>
      <c r="D540" s="8"/>
      <c r="E540" s="8"/>
      <c r="F540" s="8"/>
      <c r="G540" s="8"/>
      <c r="H540" s="8"/>
      <c r="I540" s="9"/>
      <c r="J540" s="9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</row>
    <row r="541" spans="1:31" ht="13.15" x14ac:dyDescent="0.4">
      <c r="A541" s="8"/>
      <c r="B541" s="8"/>
      <c r="C541" s="8"/>
      <c r="D541" s="8"/>
      <c r="E541" s="8"/>
      <c r="F541" s="8"/>
      <c r="G541" s="8"/>
      <c r="H541" s="8"/>
      <c r="I541" s="9"/>
      <c r="J541" s="9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</row>
    <row r="542" spans="1:31" ht="13.15" x14ac:dyDescent="0.4">
      <c r="A542" s="8"/>
      <c r="B542" s="8"/>
      <c r="C542" s="8"/>
      <c r="D542" s="8"/>
      <c r="E542" s="8"/>
      <c r="F542" s="8"/>
      <c r="G542" s="8"/>
      <c r="H542" s="8"/>
      <c r="I542" s="9"/>
      <c r="J542" s="9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</row>
    <row r="543" spans="1:31" ht="13.15" x14ac:dyDescent="0.4">
      <c r="A543" s="8"/>
      <c r="B543" s="8"/>
      <c r="C543" s="8"/>
      <c r="D543" s="8"/>
      <c r="E543" s="8"/>
      <c r="F543" s="8"/>
      <c r="G543" s="8"/>
      <c r="H543" s="8"/>
      <c r="I543" s="9"/>
      <c r="J543" s="9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</row>
    <row r="544" spans="1:31" ht="13.15" x14ac:dyDescent="0.4">
      <c r="A544" s="8"/>
      <c r="B544" s="8"/>
      <c r="C544" s="8"/>
      <c r="D544" s="8"/>
      <c r="E544" s="8"/>
      <c r="F544" s="8"/>
      <c r="G544" s="8"/>
      <c r="H544" s="8"/>
      <c r="I544" s="9"/>
      <c r="J544" s="9"/>
      <c r="K544" s="8"/>
      <c r="L544" s="11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</row>
    <row r="545" spans="1:31" ht="13.15" x14ac:dyDescent="0.4">
      <c r="A545" s="8"/>
      <c r="B545" s="8"/>
      <c r="C545" s="8"/>
      <c r="D545" s="8"/>
      <c r="E545" s="8"/>
      <c r="F545" s="8"/>
      <c r="G545" s="8"/>
      <c r="H545" s="8"/>
      <c r="I545" s="9"/>
      <c r="J545" s="9"/>
      <c r="K545" s="8"/>
      <c r="L545" s="11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</row>
    <row r="546" spans="1:31" ht="13.15" x14ac:dyDescent="0.4">
      <c r="A546" s="8"/>
      <c r="B546" s="8"/>
      <c r="C546" s="8"/>
      <c r="D546" s="8"/>
      <c r="E546" s="8"/>
      <c r="F546" s="8"/>
      <c r="G546" s="8"/>
      <c r="H546" s="8"/>
      <c r="I546" s="9"/>
      <c r="J546" s="9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</row>
    <row r="547" spans="1:31" ht="13.15" x14ac:dyDescent="0.4">
      <c r="A547" s="8"/>
      <c r="B547" s="8"/>
      <c r="C547" s="8"/>
      <c r="D547" s="8"/>
      <c r="E547" s="8"/>
      <c r="F547" s="8"/>
      <c r="G547" s="8"/>
      <c r="H547" s="8"/>
      <c r="I547" s="9"/>
      <c r="J547" s="9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</row>
    <row r="548" spans="1:31" ht="13.15" x14ac:dyDescent="0.4">
      <c r="A548" s="8"/>
      <c r="B548" s="8"/>
      <c r="C548" s="8"/>
      <c r="D548" s="8"/>
      <c r="E548" s="8"/>
      <c r="F548" s="8"/>
      <c r="G548" s="8"/>
      <c r="H548" s="8"/>
      <c r="I548" s="9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</row>
    <row r="549" spans="1:31" ht="13.15" x14ac:dyDescent="0.4">
      <c r="A549" s="8"/>
      <c r="B549" s="8"/>
      <c r="C549" s="8"/>
      <c r="D549" s="8"/>
      <c r="E549" s="8"/>
      <c r="F549" s="8"/>
      <c r="G549" s="8"/>
      <c r="H549" s="8"/>
      <c r="I549" s="9"/>
      <c r="J549" s="9"/>
      <c r="K549" s="8"/>
      <c r="L549" s="11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</row>
    <row r="550" spans="1:31" ht="13.15" x14ac:dyDescent="0.4">
      <c r="A550" s="8"/>
      <c r="B550" s="8"/>
      <c r="C550" s="8"/>
      <c r="D550" s="8"/>
      <c r="E550" s="8"/>
      <c r="F550" s="8"/>
      <c r="G550" s="8"/>
      <c r="H550" s="8"/>
      <c r="I550" s="9"/>
      <c r="J550" s="9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</row>
    <row r="551" spans="1:31" ht="13.15" x14ac:dyDescent="0.4">
      <c r="A551" s="8"/>
      <c r="B551" s="8"/>
      <c r="C551" s="8"/>
      <c r="D551" s="8"/>
      <c r="E551" s="8"/>
      <c r="F551" s="8"/>
      <c r="G551" s="8"/>
      <c r="H551" s="8"/>
      <c r="I551" s="9"/>
      <c r="J551" s="9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</row>
    <row r="552" spans="1:31" ht="13.15" x14ac:dyDescent="0.4">
      <c r="A552" s="8"/>
      <c r="B552" s="8"/>
      <c r="C552" s="8"/>
      <c r="D552" s="8"/>
      <c r="E552" s="8"/>
      <c r="F552" s="8"/>
      <c r="G552" s="8"/>
      <c r="H552" s="8"/>
      <c r="I552" s="9"/>
      <c r="J552" s="9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</row>
    <row r="553" spans="1:31" ht="13.15" x14ac:dyDescent="0.4">
      <c r="A553" s="8"/>
      <c r="B553" s="8"/>
      <c r="C553" s="8"/>
      <c r="D553" s="8"/>
      <c r="E553" s="8"/>
      <c r="F553" s="8"/>
      <c r="G553" s="8"/>
      <c r="H553" s="8"/>
      <c r="I553" s="9"/>
      <c r="J553" s="9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</row>
    <row r="554" spans="1:31" ht="13.15" x14ac:dyDescent="0.4">
      <c r="A554" s="8"/>
      <c r="B554" s="8"/>
      <c r="C554" s="8"/>
      <c r="D554" s="8"/>
      <c r="E554" s="8"/>
      <c r="F554" s="8"/>
      <c r="G554" s="8"/>
      <c r="H554" s="8"/>
      <c r="I554" s="9"/>
      <c r="J554" s="9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</row>
    <row r="555" spans="1:31" ht="13.15" x14ac:dyDescent="0.4">
      <c r="A555" s="8"/>
      <c r="B555" s="8"/>
      <c r="C555" s="8"/>
      <c r="D555" s="8"/>
      <c r="E555" s="8"/>
      <c r="F555" s="8"/>
      <c r="G555" s="8"/>
      <c r="H555" s="8"/>
      <c r="I555" s="9"/>
      <c r="J555" s="9"/>
      <c r="K555" s="8"/>
      <c r="L555" s="11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</row>
    <row r="556" spans="1:31" ht="13.15" x14ac:dyDescent="0.4">
      <c r="A556" s="8"/>
      <c r="B556" s="8"/>
      <c r="C556" s="8"/>
      <c r="D556" s="8"/>
      <c r="E556" s="8"/>
      <c r="F556" s="8"/>
      <c r="G556" s="8"/>
      <c r="H556" s="8"/>
      <c r="I556" s="9"/>
      <c r="J556" s="9"/>
      <c r="K556" s="8"/>
      <c r="L556" s="11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</row>
    <row r="557" spans="1:31" ht="13.15" x14ac:dyDescent="0.4">
      <c r="A557" s="8"/>
      <c r="B557" s="8"/>
      <c r="C557" s="8"/>
      <c r="D557" s="8"/>
      <c r="E557" s="8"/>
      <c r="F557" s="8"/>
      <c r="G557" s="8"/>
      <c r="H557" s="8"/>
      <c r="I557" s="9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</row>
    <row r="558" spans="1:31" ht="13.15" x14ac:dyDescent="0.4">
      <c r="A558" s="8"/>
      <c r="B558" s="8"/>
      <c r="C558" s="8"/>
      <c r="D558" s="8"/>
      <c r="E558" s="8"/>
      <c r="F558" s="8"/>
      <c r="G558" s="8"/>
      <c r="H558" s="8"/>
      <c r="I558" s="9"/>
      <c r="J558" s="9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</row>
    <row r="559" spans="1:31" ht="13.15" x14ac:dyDescent="0.4">
      <c r="A559" s="8"/>
      <c r="B559" s="8"/>
      <c r="C559" s="8"/>
      <c r="D559" s="8"/>
      <c r="E559" s="8"/>
      <c r="F559" s="8"/>
      <c r="G559" s="8"/>
      <c r="H559" s="8"/>
      <c r="I559" s="9"/>
      <c r="J559" s="9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</row>
    <row r="560" spans="1:31" ht="13.15" x14ac:dyDescent="0.4">
      <c r="A560" s="8"/>
      <c r="B560" s="8"/>
      <c r="C560" s="8"/>
      <c r="D560" s="8"/>
      <c r="E560" s="8"/>
      <c r="F560" s="8"/>
      <c r="G560" s="8"/>
      <c r="H560" s="8"/>
      <c r="I560" s="9"/>
      <c r="J560" s="9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</row>
    <row r="561" spans="1:31" ht="13.15" x14ac:dyDescent="0.4">
      <c r="A561" s="8"/>
      <c r="B561" s="8"/>
      <c r="C561" s="8"/>
      <c r="D561" s="8"/>
      <c r="E561" s="8"/>
      <c r="F561" s="8"/>
      <c r="G561" s="8"/>
      <c r="H561" s="8"/>
      <c r="I561" s="9"/>
      <c r="J561" s="9"/>
      <c r="K561" s="8"/>
      <c r="L561" s="11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</row>
    <row r="562" spans="1:31" ht="13.15" x14ac:dyDescent="0.4">
      <c r="A562" s="8"/>
      <c r="B562" s="8"/>
      <c r="C562" s="8"/>
      <c r="D562" s="8"/>
      <c r="E562" s="8"/>
      <c r="F562" s="8"/>
      <c r="G562" s="8"/>
      <c r="H562" s="8"/>
      <c r="I562" s="9"/>
      <c r="J562" s="9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</row>
    <row r="563" spans="1:31" ht="13.15" x14ac:dyDescent="0.4">
      <c r="A563" s="8"/>
      <c r="B563" s="8"/>
      <c r="C563" s="8"/>
      <c r="D563" s="8"/>
      <c r="E563" s="8"/>
      <c r="F563" s="8"/>
      <c r="G563" s="8"/>
      <c r="H563" s="8"/>
      <c r="I563" s="9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</row>
    <row r="564" spans="1:31" ht="13.15" x14ac:dyDescent="0.4">
      <c r="A564" s="8"/>
      <c r="B564" s="8"/>
      <c r="C564" s="8"/>
      <c r="D564" s="8"/>
      <c r="E564" s="8"/>
      <c r="F564" s="8"/>
      <c r="G564" s="8"/>
      <c r="H564" s="8"/>
      <c r="I564" s="9"/>
      <c r="J564" s="9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</row>
    <row r="565" spans="1:31" ht="13.15" x14ac:dyDescent="0.4">
      <c r="A565" s="8"/>
      <c r="B565" s="8"/>
      <c r="C565" s="8"/>
      <c r="D565" s="8"/>
      <c r="E565" s="8"/>
      <c r="F565" s="8"/>
      <c r="G565" s="8"/>
      <c r="H565" s="8"/>
      <c r="I565" s="9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</row>
    <row r="566" spans="1:31" ht="13.15" x14ac:dyDescent="0.4">
      <c r="A566" s="8"/>
      <c r="B566" s="8"/>
      <c r="C566" s="8"/>
      <c r="D566" s="8"/>
      <c r="E566" s="8"/>
      <c r="F566" s="8"/>
      <c r="G566" s="8"/>
      <c r="H566" s="8"/>
      <c r="I566" s="9"/>
      <c r="J566" s="8"/>
      <c r="K566" s="8"/>
      <c r="L566" s="11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</row>
    <row r="567" spans="1:31" ht="13.15" x14ac:dyDescent="0.4">
      <c r="A567" s="8"/>
      <c r="B567" s="8"/>
      <c r="C567" s="8"/>
      <c r="D567" s="8"/>
      <c r="E567" s="8"/>
      <c r="F567" s="8"/>
      <c r="G567" s="8"/>
      <c r="H567" s="8"/>
      <c r="I567" s="9"/>
      <c r="J567" s="9"/>
      <c r="K567" s="8"/>
      <c r="L567" s="11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</row>
    <row r="568" spans="1:31" ht="13.15" x14ac:dyDescent="0.4">
      <c r="A568" s="8"/>
      <c r="B568" s="8"/>
      <c r="C568" s="8"/>
      <c r="D568" s="8"/>
      <c r="E568" s="8"/>
      <c r="F568" s="8"/>
      <c r="G568" s="8"/>
      <c r="H568" s="8"/>
      <c r="I568" s="9"/>
      <c r="J568" s="9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</row>
    <row r="569" spans="1:31" ht="13.15" x14ac:dyDescent="0.4">
      <c r="A569" s="8"/>
      <c r="B569" s="8"/>
      <c r="C569" s="8"/>
      <c r="D569" s="8"/>
      <c r="E569" s="8"/>
      <c r="F569" s="8"/>
      <c r="G569" s="8"/>
      <c r="H569" s="8"/>
      <c r="I569" s="9"/>
      <c r="J569" s="9"/>
      <c r="K569" s="8"/>
      <c r="L569" s="11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</row>
    <row r="570" spans="1:31" ht="13.15" x14ac:dyDescent="0.4">
      <c r="A570" s="8"/>
      <c r="B570" s="8"/>
      <c r="C570" s="8"/>
      <c r="D570" s="8"/>
      <c r="E570" s="8"/>
      <c r="F570" s="8"/>
      <c r="G570" s="8"/>
      <c r="H570" s="8"/>
      <c r="I570" s="12"/>
      <c r="J570" s="9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</row>
    <row r="571" spans="1:31" ht="13.15" x14ac:dyDescent="0.4">
      <c r="A571" s="8"/>
      <c r="B571" s="8"/>
      <c r="C571" s="8"/>
      <c r="D571" s="8"/>
      <c r="E571" s="8"/>
      <c r="F571" s="8"/>
      <c r="G571" s="8"/>
      <c r="H571" s="8"/>
      <c r="I571" s="9"/>
      <c r="J571" s="9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</row>
    <row r="572" spans="1:31" ht="13.15" x14ac:dyDescent="0.4">
      <c r="A572" s="8"/>
      <c r="B572" s="8"/>
      <c r="C572" s="8"/>
      <c r="D572" s="8"/>
      <c r="E572" s="8"/>
      <c r="F572" s="8"/>
      <c r="G572" s="8"/>
      <c r="H572" s="8"/>
      <c r="I572" s="9"/>
      <c r="J572" s="9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</row>
    <row r="573" spans="1:31" ht="13.15" x14ac:dyDescent="0.4">
      <c r="A573" s="8"/>
      <c r="B573" s="8"/>
      <c r="C573" s="8"/>
      <c r="D573" s="8"/>
      <c r="E573" s="8"/>
      <c r="F573" s="8"/>
      <c r="G573" s="8"/>
      <c r="H573" s="8"/>
      <c r="I573" s="9"/>
      <c r="J573" s="9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</row>
    <row r="574" spans="1:31" ht="13.15" x14ac:dyDescent="0.4">
      <c r="A574" s="8"/>
      <c r="B574" s="8"/>
      <c r="C574" s="8"/>
      <c r="D574" s="8"/>
      <c r="E574" s="8"/>
      <c r="F574" s="8"/>
      <c r="G574" s="8"/>
      <c r="H574" s="8"/>
      <c r="I574" s="9"/>
      <c r="J574" s="9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</row>
    <row r="575" spans="1:31" ht="13.15" x14ac:dyDescent="0.4">
      <c r="A575" s="8"/>
      <c r="B575" s="8"/>
      <c r="C575" s="8"/>
      <c r="D575" s="8"/>
      <c r="E575" s="8"/>
      <c r="F575" s="8"/>
      <c r="G575" s="8"/>
      <c r="H575" s="8"/>
      <c r="I575" s="9"/>
      <c r="J575" s="9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</row>
    <row r="576" spans="1:31" ht="13.15" x14ac:dyDescent="0.4">
      <c r="A576" s="8"/>
      <c r="B576" s="8"/>
      <c r="C576" s="8"/>
      <c r="D576" s="8"/>
      <c r="E576" s="8"/>
      <c r="F576" s="8"/>
      <c r="G576" s="8"/>
      <c r="H576" s="8"/>
      <c r="I576" s="9"/>
      <c r="J576" s="9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</row>
    <row r="577" spans="1:31" ht="13.15" x14ac:dyDescent="0.4">
      <c r="A577" s="8"/>
      <c r="B577" s="8"/>
      <c r="C577" s="8"/>
      <c r="D577" s="8"/>
      <c r="E577" s="8"/>
      <c r="F577" s="8"/>
      <c r="G577" s="8"/>
      <c r="H577" s="8"/>
      <c r="I577" s="9"/>
      <c r="J577" s="9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</row>
    <row r="578" spans="1:31" ht="13.15" x14ac:dyDescent="0.4">
      <c r="A578" s="8"/>
      <c r="B578" s="8"/>
      <c r="C578" s="8"/>
      <c r="D578" s="8"/>
      <c r="E578" s="8"/>
      <c r="F578" s="8"/>
      <c r="G578" s="8"/>
      <c r="H578" s="8"/>
      <c r="I578" s="9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</row>
    <row r="579" spans="1:31" ht="13.15" x14ac:dyDescent="0.4">
      <c r="A579" s="8"/>
      <c r="B579" s="8"/>
      <c r="C579" s="8"/>
      <c r="D579" s="8"/>
      <c r="E579" s="8"/>
      <c r="F579" s="8"/>
      <c r="G579" s="8"/>
      <c r="H579" s="8"/>
      <c r="I579" s="9"/>
      <c r="J579" s="9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</row>
    <row r="580" spans="1:31" ht="13.15" x14ac:dyDescent="0.4">
      <c r="A580" s="8"/>
      <c r="B580" s="8"/>
      <c r="C580" s="8"/>
      <c r="D580" s="8"/>
      <c r="E580" s="8"/>
      <c r="F580" s="8"/>
      <c r="G580" s="8"/>
      <c r="H580" s="8"/>
      <c r="I580" s="9"/>
      <c r="J580" s="9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</row>
    <row r="581" spans="1:31" ht="13.15" x14ac:dyDescent="0.4">
      <c r="A581" s="8"/>
      <c r="B581" s="8"/>
      <c r="C581" s="8"/>
      <c r="D581" s="8"/>
      <c r="E581" s="8"/>
      <c r="F581" s="8"/>
      <c r="G581" s="8"/>
      <c r="H581" s="8"/>
      <c r="I581" s="9"/>
      <c r="J581" s="9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</row>
    <row r="582" spans="1:31" ht="13.15" x14ac:dyDescent="0.4">
      <c r="A582" s="8"/>
      <c r="B582" s="8"/>
      <c r="C582" s="8"/>
      <c r="D582" s="8"/>
      <c r="E582" s="8"/>
      <c r="F582" s="8"/>
      <c r="G582" s="8"/>
      <c r="H582" s="8"/>
      <c r="I582" s="9"/>
      <c r="J582" s="9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</row>
    <row r="583" spans="1:31" ht="13.15" x14ac:dyDescent="0.4">
      <c r="A583" s="8"/>
      <c r="B583" s="8"/>
      <c r="C583" s="8"/>
      <c r="D583" s="8"/>
      <c r="E583" s="8"/>
      <c r="F583" s="8"/>
      <c r="G583" s="8"/>
      <c r="H583" s="8"/>
      <c r="I583" s="9"/>
      <c r="J583" s="9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</row>
    <row r="584" spans="1:31" ht="13.15" x14ac:dyDescent="0.4">
      <c r="A584" s="8"/>
      <c r="B584" s="8"/>
      <c r="C584" s="8"/>
      <c r="D584" s="8"/>
      <c r="E584" s="8"/>
      <c r="F584" s="8"/>
      <c r="G584" s="8"/>
      <c r="H584" s="8"/>
      <c r="I584" s="9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</row>
    <row r="585" spans="1:31" ht="13.15" x14ac:dyDescent="0.4">
      <c r="A585" s="8"/>
      <c r="B585" s="8"/>
      <c r="C585" s="8"/>
      <c r="D585" s="8"/>
      <c r="E585" s="8"/>
      <c r="F585" s="8"/>
      <c r="G585" s="8"/>
      <c r="H585" s="8"/>
      <c r="I585" s="9"/>
      <c r="J585" s="9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</row>
    <row r="586" spans="1:31" ht="13.15" x14ac:dyDescent="0.4">
      <c r="A586" s="8"/>
      <c r="B586" s="8"/>
      <c r="C586" s="8"/>
      <c r="D586" s="8"/>
      <c r="E586" s="8"/>
      <c r="F586" s="8"/>
      <c r="G586" s="8"/>
      <c r="H586" s="8"/>
      <c r="I586" s="9"/>
      <c r="J586" s="9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</row>
    <row r="587" spans="1:31" ht="13.15" x14ac:dyDescent="0.4">
      <c r="A587" s="8"/>
      <c r="B587" s="8"/>
      <c r="C587" s="8"/>
      <c r="D587" s="8"/>
      <c r="E587" s="8"/>
      <c r="F587" s="8"/>
      <c r="G587" s="8"/>
      <c r="H587" s="8"/>
      <c r="I587" s="9"/>
      <c r="J587" s="9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</row>
    <row r="588" spans="1:31" ht="13.15" x14ac:dyDescent="0.4">
      <c r="A588" s="8"/>
      <c r="B588" s="8"/>
      <c r="C588" s="8"/>
      <c r="D588" s="8"/>
      <c r="E588" s="8"/>
      <c r="F588" s="8"/>
      <c r="G588" s="8"/>
      <c r="H588" s="8"/>
      <c r="I588" s="9"/>
      <c r="J588" s="9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</row>
    <row r="589" spans="1:31" ht="13.15" x14ac:dyDescent="0.4">
      <c r="A589" s="8"/>
      <c r="B589" s="8"/>
      <c r="C589" s="8"/>
      <c r="D589" s="8"/>
      <c r="E589" s="8"/>
      <c r="F589" s="8"/>
      <c r="G589" s="8"/>
      <c r="H589" s="8"/>
      <c r="I589" s="9"/>
      <c r="J589" s="9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</row>
    <row r="590" spans="1:31" ht="13.15" x14ac:dyDescent="0.4">
      <c r="A590" s="8"/>
      <c r="B590" s="8"/>
      <c r="C590" s="8"/>
      <c r="D590" s="8"/>
      <c r="E590" s="8"/>
      <c r="F590" s="8"/>
      <c r="G590" s="8"/>
      <c r="H590" s="8"/>
      <c r="I590" s="9"/>
      <c r="J590" s="9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</row>
    <row r="591" spans="1:31" ht="13.15" x14ac:dyDescent="0.4">
      <c r="A591" s="8"/>
      <c r="B591" s="8"/>
      <c r="C591" s="8"/>
      <c r="D591" s="8"/>
      <c r="E591" s="8"/>
      <c r="F591" s="8"/>
      <c r="G591" s="8"/>
      <c r="H591" s="8"/>
      <c r="I591" s="9"/>
      <c r="J591" s="9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</row>
    <row r="592" spans="1:31" ht="13.15" x14ac:dyDescent="0.4">
      <c r="A592" s="8"/>
      <c r="B592" s="8"/>
      <c r="C592" s="8"/>
      <c r="D592" s="8"/>
      <c r="E592" s="8"/>
      <c r="F592" s="8"/>
      <c r="G592" s="8"/>
      <c r="H592" s="8"/>
      <c r="I592" s="9"/>
      <c r="J592" s="9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</row>
    <row r="593" spans="1:31" ht="13.15" x14ac:dyDescent="0.4">
      <c r="A593" s="8"/>
      <c r="B593" s="8"/>
      <c r="C593" s="8"/>
      <c r="D593" s="8"/>
      <c r="E593" s="8"/>
      <c r="F593" s="8"/>
      <c r="G593" s="8"/>
      <c r="H593" s="8"/>
      <c r="I593" s="9"/>
      <c r="J593" s="9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</row>
    <row r="594" spans="1:31" ht="13.15" x14ac:dyDescent="0.4">
      <c r="A594" s="8"/>
      <c r="B594" s="8"/>
      <c r="C594" s="8"/>
      <c r="D594" s="8"/>
      <c r="E594" s="8"/>
      <c r="F594" s="8"/>
      <c r="G594" s="8"/>
      <c r="H594" s="8"/>
      <c r="I594" s="9"/>
      <c r="J594" s="9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</row>
    <row r="595" spans="1:31" ht="13.15" x14ac:dyDescent="0.4">
      <c r="A595" s="8"/>
      <c r="B595" s="8"/>
      <c r="C595" s="8"/>
      <c r="D595" s="8"/>
      <c r="E595" s="8"/>
      <c r="F595" s="8"/>
      <c r="G595" s="8"/>
      <c r="H595" s="8"/>
      <c r="I595" s="9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</row>
    <row r="596" spans="1:31" ht="13.15" x14ac:dyDescent="0.4">
      <c r="A596" s="8"/>
      <c r="B596" s="8"/>
      <c r="C596" s="8"/>
      <c r="D596" s="8"/>
      <c r="E596" s="8"/>
      <c r="F596" s="8"/>
      <c r="G596" s="8"/>
      <c r="H596" s="8"/>
      <c r="I596" s="9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</row>
    <row r="597" spans="1:31" ht="13.15" x14ac:dyDescent="0.4">
      <c r="A597" s="8"/>
      <c r="B597" s="8"/>
      <c r="C597" s="8"/>
      <c r="D597" s="8"/>
      <c r="E597" s="8"/>
      <c r="F597" s="8"/>
      <c r="G597" s="8"/>
      <c r="H597" s="8"/>
      <c r="I597" s="9"/>
      <c r="J597" s="9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</row>
    <row r="598" spans="1:31" ht="13.15" x14ac:dyDescent="0.4">
      <c r="A598" s="8"/>
      <c r="B598" s="8"/>
      <c r="C598" s="8"/>
      <c r="D598" s="8"/>
      <c r="E598" s="8"/>
      <c r="F598" s="8"/>
      <c r="G598" s="8"/>
      <c r="H598" s="8"/>
      <c r="I598" s="9"/>
      <c r="J598" s="9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</row>
    <row r="599" spans="1:31" ht="13.15" x14ac:dyDescent="0.4">
      <c r="A599" s="8"/>
      <c r="B599" s="8"/>
      <c r="C599" s="8"/>
      <c r="D599" s="8"/>
      <c r="E599" s="8"/>
      <c r="F599" s="8"/>
      <c r="G599" s="8"/>
      <c r="H599" s="8"/>
      <c r="I599" s="9"/>
      <c r="J599" s="9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</row>
    <row r="600" spans="1:31" ht="13.15" x14ac:dyDescent="0.4">
      <c r="A600" s="8"/>
      <c r="B600" s="8"/>
      <c r="C600" s="8"/>
      <c r="D600" s="8"/>
      <c r="E600" s="8"/>
      <c r="F600" s="8"/>
      <c r="G600" s="8"/>
      <c r="H600" s="8"/>
      <c r="I600" s="9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</row>
    <row r="601" spans="1:31" ht="13.15" x14ac:dyDescent="0.4">
      <c r="A601" s="8"/>
      <c r="B601" s="8"/>
      <c r="C601" s="8"/>
      <c r="D601" s="8"/>
      <c r="E601" s="8"/>
      <c r="F601" s="8"/>
      <c r="G601" s="8"/>
      <c r="H601" s="8"/>
      <c r="I601" s="9"/>
      <c r="J601" s="9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</row>
    <row r="602" spans="1:31" ht="13.15" x14ac:dyDescent="0.4">
      <c r="A602" s="8"/>
      <c r="B602" s="8"/>
      <c r="C602" s="8"/>
      <c r="D602" s="8"/>
      <c r="E602" s="8"/>
      <c r="F602" s="8"/>
      <c r="G602" s="8"/>
      <c r="H602" s="8"/>
      <c r="I602" s="9"/>
      <c r="J602" s="9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</row>
    <row r="603" spans="1:31" ht="13.15" x14ac:dyDescent="0.4">
      <c r="A603" s="8"/>
      <c r="B603" s="8"/>
      <c r="C603" s="8"/>
      <c r="D603" s="8"/>
      <c r="E603" s="8"/>
      <c r="F603" s="8"/>
      <c r="G603" s="8"/>
      <c r="H603" s="8"/>
      <c r="I603" s="9"/>
      <c r="J603" s="9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</row>
    <row r="604" spans="1:31" ht="13.15" x14ac:dyDescent="0.4">
      <c r="A604" s="8"/>
      <c r="B604" s="8"/>
      <c r="C604" s="8"/>
      <c r="D604" s="8"/>
      <c r="E604" s="8"/>
      <c r="F604" s="8"/>
      <c r="G604" s="8"/>
      <c r="H604" s="8"/>
      <c r="I604" s="9"/>
      <c r="J604" s="9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</row>
    <row r="605" spans="1:31" ht="13.15" x14ac:dyDescent="0.4">
      <c r="A605" s="8"/>
      <c r="B605" s="8"/>
      <c r="C605" s="8"/>
      <c r="D605" s="8"/>
      <c r="E605" s="8"/>
      <c r="F605" s="8"/>
      <c r="G605" s="8"/>
      <c r="H605" s="8"/>
      <c r="I605" s="9"/>
      <c r="J605" s="9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</row>
    <row r="606" spans="1:31" ht="13.15" x14ac:dyDescent="0.4">
      <c r="A606" s="8"/>
      <c r="B606" s="8"/>
      <c r="C606" s="8"/>
      <c r="D606" s="8"/>
      <c r="E606" s="8"/>
      <c r="F606" s="8"/>
      <c r="G606" s="8"/>
      <c r="H606" s="8"/>
      <c r="I606" s="9"/>
      <c r="J606" s="9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</row>
    <row r="607" spans="1:31" ht="13.15" x14ac:dyDescent="0.4">
      <c r="A607" s="8"/>
      <c r="B607" s="8"/>
      <c r="C607" s="8"/>
      <c r="D607" s="8"/>
      <c r="E607" s="8"/>
      <c r="F607" s="8"/>
      <c r="G607" s="8"/>
      <c r="H607" s="8"/>
      <c r="I607" s="9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</row>
    <row r="608" spans="1:31" ht="13.15" x14ac:dyDescent="0.4">
      <c r="A608" s="8"/>
      <c r="B608" s="8"/>
      <c r="C608" s="8"/>
      <c r="D608" s="8"/>
      <c r="E608" s="8"/>
      <c r="F608" s="8"/>
      <c r="G608" s="8"/>
      <c r="H608" s="8"/>
      <c r="I608" s="9"/>
      <c r="J608" s="9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</row>
    <row r="609" spans="1:31" ht="13.15" x14ac:dyDescent="0.4">
      <c r="A609" s="8"/>
      <c r="B609" s="8"/>
      <c r="C609" s="8"/>
      <c r="D609" s="8"/>
      <c r="E609" s="8"/>
      <c r="F609" s="8"/>
      <c r="G609" s="8"/>
      <c r="H609" s="8"/>
      <c r="I609" s="9"/>
      <c r="J609" s="9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</row>
    <row r="610" spans="1:31" ht="13.15" x14ac:dyDescent="0.4">
      <c r="A610" s="8"/>
      <c r="B610" s="8"/>
      <c r="C610" s="8"/>
      <c r="D610" s="8"/>
      <c r="E610" s="8"/>
      <c r="F610" s="8"/>
      <c r="G610" s="8"/>
      <c r="H610" s="8"/>
      <c r="I610" s="9"/>
      <c r="J610" s="9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</row>
    <row r="611" spans="1:31" ht="13.15" x14ac:dyDescent="0.4">
      <c r="A611" s="8"/>
      <c r="B611" s="8"/>
      <c r="C611" s="8"/>
      <c r="D611" s="8"/>
      <c r="E611" s="8"/>
      <c r="F611" s="8"/>
      <c r="G611" s="8"/>
      <c r="H611" s="8"/>
      <c r="I611" s="9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</row>
    <row r="612" spans="1:31" ht="13.15" x14ac:dyDescent="0.4">
      <c r="A612" s="8"/>
      <c r="B612" s="8"/>
      <c r="C612" s="8"/>
      <c r="D612" s="8"/>
      <c r="E612" s="8"/>
      <c r="F612" s="8"/>
      <c r="G612" s="8"/>
      <c r="H612" s="8"/>
      <c r="I612" s="9"/>
      <c r="J612" s="9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</row>
    <row r="613" spans="1:31" ht="13.15" x14ac:dyDescent="0.4">
      <c r="A613" s="8"/>
      <c r="B613" s="8"/>
      <c r="C613" s="8"/>
      <c r="D613" s="8"/>
      <c r="E613" s="8"/>
      <c r="F613" s="8"/>
      <c r="G613" s="8"/>
      <c r="H613" s="8"/>
      <c r="I613" s="9"/>
      <c r="J613" s="9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</row>
    <row r="614" spans="1:31" ht="13.15" x14ac:dyDescent="0.4">
      <c r="A614" s="8"/>
      <c r="B614" s="8"/>
      <c r="C614" s="8"/>
      <c r="D614" s="8"/>
      <c r="E614" s="8"/>
      <c r="F614" s="8"/>
      <c r="G614" s="8"/>
      <c r="H614" s="8"/>
      <c r="I614" s="9"/>
      <c r="J614" s="9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</row>
    <row r="615" spans="1:31" ht="13.15" x14ac:dyDescent="0.4">
      <c r="A615" s="8"/>
      <c r="B615" s="8"/>
      <c r="C615" s="8"/>
      <c r="D615" s="8"/>
      <c r="E615" s="8"/>
      <c r="F615" s="8"/>
      <c r="G615" s="8"/>
      <c r="H615" s="8"/>
      <c r="I615" s="9"/>
      <c r="J615" s="9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</row>
    <row r="616" spans="1:31" ht="13.15" x14ac:dyDescent="0.4">
      <c r="A616" s="8"/>
      <c r="B616" s="8"/>
      <c r="C616" s="8"/>
      <c r="D616" s="8"/>
      <c r="E616" s="8"/>
      <c r="F616" s="8"/>
      <c r="G616" s="8"/>
      <c r="H616" s="8"/>
      <c r="I616" s="9"/>
      <c r="J616" s="9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</row>
    <row r="617" spans="1:31" ht="13.15" x14ac:dyDescent="0.4">
      <c r="A617" s="8"/>
      <c r="B617" s="8"/>
      <c r="C617" s="8"/>
      <c r="D617" s="8"/>
      <c r="E617" s="8"/>
      <c r="F617" s="8"/>
      <c r="G617" s="8"/>
      <c r="H617" s="8"/>
      <c r="I617" s="9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</row>
    <row r="618" spans="1:31" ht="13.15" x14ac:dyDescent="0.4">
      <c r="A618" s="8"/>
      <c r="B618" s="8"/>
      <c r="C618" s="8"/>
      <c r="D618" s="8"/>
      <c r="E618" s="8"/>
      <c r="F618" s="8"/>
      <c r="G618" s="8"/>
      <c r="H618" s="8"/>
      <c r="I618" s="9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</row>
    <row r="619" spans="1:31" ht="13.15" x14ac:dyDescent="0.4">
      <c r="A619" s="8"/>
      <c r="B619" s="8"/>
      <c r="C619" s="8"/>
      <c r="D619" s="8"/>
      <c r="E619" s="8"/>
      <c r="F619" s="8"/>
      <c r="G619" s="8"/>
      <c r="H619" s="8"/>
      <c r="I619" s="9"/>
      <c r="J619" s="9"/>
      <c r="K619" s="8"/>
      <c r="L619" s="11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</row>
    <row r="620" spans="1:31" ht="13.15" x14ac:dyDescent="0.4">
      <c r="A620" s="8"/>
      <c r="B620" s="8"/>
      <c r="C620" s="8"/>
      <c r="D620" s="8"/>
      <c r="E620" s="8"/>
      <c r="F620" s="8"/>
      <c r="G620" s="8"/>
      <c r="H620" s="8"/>
      <c r="I620" s="9"/>
      <c r="J620" s="9"/>
      <c r="K620" s="8"/>
      <c r="L620" s="11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</row>
    <row r="621" spans="1:31" ht="13.15" x14ac:dyDescent="0.4">
      <c r="A621" s="8"/>
      <c r="B621" s="8"/>
      <c r="C621" s="8"/>
      <c r="D621" s="8"/>
      <c r="E621" s="8"/>
      <c r="F621" s="8"/>
      <c r="G621" s="8"/>
      <c r="H621" s="8"/>
      <c r="I621" s="9"/>
      <c r="J621" s="9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</row>
    <row r="622" spans="1:31" ht="13.15" x14ac:dyDescent="0.4">
      <c r="A622" s="8"/>
      <c r="B622" s="8"/>
      <c r="C622" s="8"/>
      <c r="D622" s="8"/>
      <c r="E622" s="8"/>
      <c r="F622" s="8"/>
      <c r="G622" s="8"/>
      <c r="H622" s="8"/>
      <c r="I622" s="9"/>
      <c r="J622" s="9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</row>
    <row r="623" spans="1:31" ht="13.15" x14ac:dyDescent="0.4">
      <c r="A623" s="8"/>
      <c r="B623" s="8"/>
      <c r="C623" s="8"/>
      <c r="D623" s="8"/>
      <c r="E623" s="8"/>
      <c r="F623" s="8"/>
      <c r="G623" s="8"/>
      <c r="H623" s="8"/>
      <c r="I623" s="9"/>
      <c r="J623" s="9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</row>
    <row r="624" spans="1:31" ht="13.15" x14ac:dyDescent="0.4">
      <c r="A624" s="8"/>
      <c r="B624" s="8"/>
      <c r="C624" s="8"/>
      <c r="D624" s="8"/>
      <c r="E624" s="8"/>
      <c r="F624" s="8"/>
      <c r="G624" s="8"/>
      <c r="H624" s="8"/>
      <c r="I624" s="9"/>
      <c r="J624" s="9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</row>
    <row r="625" spans="1:31" ht="13.15" x14ac:dyDescent="0.4">
      <c r="A625" s="8"/>
      <c r="B625" s="8"/>
      <c r="C625" s="8"/>
      <c r="D625" s="8"/>
      <c r="E625" s="8"/>
      <c r="F625" s="8"/>
      <c r="G625" s="8"/>
      <c r="H625" s="8"/>
      <c r="I625" s="9"/>
      <c r="J625" s="9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</row>
    <row r="626" spans="1:31" ht="13.15" x14ac:dyDescent="0.4">
      <c r="A626" s="8"/>
      <c r="B626" s="8"/>
      <c r="C626" s="8"/>
      <c r="D626" s="8"/>
      <c r="E626" s="8"/>
      <c r="F626" s="8"/>
      <c r="G626" s="8"/>
      <c r="H626" s="8"/>
      <c r="I626" s="9"/>
      <c r="J626" s="9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</row>
    <row r="627" spans="1:31" ht="13.15" x14ac:dyDescent="0.4">
      <c r="A627" s="8"/>
      <c r="B627" s="8"/>
      <c r="C627" s="8"/>
      <c r="D627" s="8"/>
      <c r="E627" s="8"/>
      <c r="F627" s="8"/>
      <c r="G627" s="8"/>
      <c r="H627" s="8"/>
      <c r="I627" s="9"/>
      <c r="J627" s="9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</row>
    <row r="628" spans="1:31" ht="13.15" x14ac:dyDescent="0.4">
      <c r="A628" s="8"/>
      <c r="B628" s="8"/>
      <c r="C628" s="8"/>
      <c r="D628" s="8"/>
      <c r="E628" s="8"/>
      <c r="F628" s="8"/>
      <c r="G628" s="8"/>
      <c r="H628" s="8"/>
      <c r="I628" s="9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</row>
    <row r="629" spans="1:31" ht="13.15" x14ac:dyDescent="0.4">
      <c r="A629" s="8"/>
      <c r="B629" s="8"/>
      <c r="C629" s="8"/>
      <c r="D629" s="8"/>
      <c r="E629" s="8"/>
      <c r="F629" s="8"/>
      <c r="G629" s="8"/>
      <c r="H629" s="8"/>
      <c r="I629" s="9"/>
      <c r="J629" s="9"/>
      <c r="K629" s="8"/>
      <c r="L629" s="11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</row>
    <row r="630" spans="1:31" ht="13.15" x14ac:dyDescent="0.4">
      <c r="A630" s="8"/>
      <c r="B630" s="8"/>
      <c r="C630" s="8"/>
      <c r="D630" s="8"/>
      <c r="E630" s="8"/>
      <c r="F630" s="8"/>
      <c r="G630" s="8"/>
      <c r="H630" s="8"/>
      <c r="I630" s="9"/>
      <c r="J630" s="9"/>
      <c r="K630" s="8"/>
      <c r="L630" s="11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</row>
    <row r="631" spans="1:31" ht="13.15" x14ac:dyDescent="0.4">
      <c r="A631" s="8"/>
      <c r="B631" s="8"/>
      <c r="C631" s="8"/>
      <c r="D631" s="8"/>
      <c r="E631" s="8"/>
      <c r="F631" s="8"/>
      <c r="G631" s="8"/>
      <c r="H631" s="8"/>
      <c r="I631" s="9"/>
      <c r="J631" s="9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</row>
    <row r="632" spans="1:31" ht="13.15" x14ac:dyDescent="0.4">
      <c r="A632" s="8"/>
      <c r="B632" s="8"/>
      <c r="C632" s="8"/>
      <c r="D632" s="8"/>
      <c r="E632" s="8"/>
      <c r="F632" s="8"/>
      <c r="G632" s="8"/>
      <c r="H632" s="8"/>
      <c r="I632" s="9"/>
      <c r="J632" s="9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</row>
    <row r="633" spans="1:31" ht="13.15" x14ac:dyDescent="0.4">
      <c r="A633" s="8"/>
      <c r="B633" s="8"/>
      <c r="C633" s="8"/>
      <c r="D633" s="8"/>
      <c r="E633" s="8"/>
      <c r="F633" s="8"/>
      <c r="G633" s="8"/>
      <c r="H633" s="8"/>
      <c r="I633" s="9"/>
      <c r="J633" s="9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</row>
    <row r="634" spans="1:31" ht="13.15" x14ac:dyDescent="0.4">
      <c r="A634" s="8"/>
      <c r="B634" s="8"/>
      <c r="C634" s="8"/>
      <c r="D634" s="8"/>
      <c r="E634" s="8"/>
      <c r="F634" s="8"/>
      <c r="G634" s="8"/>
      <c r="H634" s="8"/>
      <c r="I634" s="9"/>
      <c r="J634" s="9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</row>
    <row r="635" spans="1:31" ht="13.15" x14ac:dyDescent="0.4">
      <c r="A635" s="8"/>
      <c r="B635" s="8"/>
      <c r="C635" s="8"/>
      <c r="D635" s="8"/>
      <c r="E635" s="8"/>
      <c r="F635" s="8"/>
      <c r="G635" s="8"/>
      <c r="H635" s="8"/>
      <c r="I635" s="9"/>
      <c r="J635" s="9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</row>
    <row r="636" spans="1:31" ht="13.15" x14ac:dyDescent="0.4">
      <c r="A636" s="8"/>
      <c r="B636" s="8"/>
      <c r="C636" s="8"/>
      <c r="D636" s="8"/>
      <c r="E636" s="8"/>
      <c r="F636" s="8"/>
      <c r="G636" s="8"/>
      <c r="H636" s="8"/>
      <c r="I636" s="9"/>
      <c r="J636" s="9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</row>
    <row r="637" spans="1:31" ht="13.15" x14ac:dyDescent="0.4">
      <c r="A637" s="8"/>
      <c r="B637" s="8"/>
      <c r="C637" s="8"/>
      <c r="D637" s="8"/>
      <c r="E637" s="8"/>
      <c r="F637" s="8"/>
      <c r="G637" s="8"/>
      <c r="H637" s="8"/>
      <c r="I637" s="9"/>
      <c r="J637" s="9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</row>
    <row r="638" spans="1:31" ht="13.15" x14ac:dyDescent="0.4">
      <c r="A638" s="8"/>
      <c r="B638" s="8"/>
      <c r="C638" s="8"/>
      <c r="D638" s="8"/>
      <c r="E638" s="8"/>
      <c r="F638" s="8"/>
      <c r="G638" s="8"/>
      <c r="H638" s="8"/>
      <c r="I638" s="9"/>
      <c r="J638" s="9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</row>
    <row r="639" spans="1:31" ht="13.15" x14ac:dyDescent="0.4">
      <c r="A639" s="8"/>
      <c r="B639" s="8"/>
      <c r="C639" s="8"/>
      <c r="D639" s="8"/>
      <c r="E639" s="8"/>
      <c r="F639" s="8"/>
      <c r="G639" s="8"/>
      <c r="H639" s="8"/>
      <c r="I639" s="9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</row>
    <row r="640" spans="1:31" ht="13.15" x14ac:dyDescent="0.4">
      <c r="A640" s="8"/>
      <c r="B640" s="8"/>
      <c r="C640" s="8"/>
      <c r="D640" s="8"/>
      <c r="E640" s="8"/>
      <c r="F640" s="8"/>
      <c r="G640" s="8"/>
      <c r="H640" s="8"/>
      <c r="I640" s="9"/>
      <c r="J640" s="9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</row>
    <row r="641" spans="1:31" ht="13.15" x14ac:dyDescent="0.4">
      <c r="A641" s="8"/>
      <c r="B641" s="8"/>
      <c r="C641" s="8"/>
      <c r="D641" s="8"/>
      <c r="E641" s="8"/>
      <c r="F641" s="8"/>
      <c r="G641" s="8"/>
      <c r="H641" s="8"/>
      <c r="I641" s="9"/>
      <c r="J641" s="9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</row>
    <row r="642" spans="1:31" ht="13.15" x14ac:dyDescent="0.4">
      <c r="A642" s="8"/>
      <c r="B642" s="8"/>
      <c r="C642" s="8"/>
      <c r="D642" s="8"/>
      <c r="E642" s="8"/>
      <c r="F642" s="8"/>
      <c r="G642" s="8"/>
      <c r="H642" s="8"/>
      <c r="I642" s="9"/>
      <c r="J642" s="9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</row>
    <row r="643" spans="1:31" ht="13.15" x14ac:dyDescent="0.4">
      <c r="A643" s="8"/>
      <c r="B643" s="8"/>
      <c r="C643" s="8"/>
      <c r="D643" s="8"/>
      <c r="E643" s="8"/>
      <c r="F643" s="8"/>
      <c r="G643" s="8"/>
      <c r="H643" s="8"/>
      <c r="I643" s="9"/>
      <c r="J643" s="9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</row>
    <row r="644" spans="1:31" ht="13.15" x14ac:dyDescent="0.4">
      <c r="A644" s="8"/>
      <c r="B644" s="8"/>
      <c r="C644" s="8"/>
      <c r="D644" s="8"/>
      <c r="E644" s="8"/>
      <c r="F644" s="8"/>
      <c r="G644" s="8"/>
      <c r="H644" s="8"/>
      <c r="I644" s="9"/>
      <c r="J644" s="9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</row>
    <row r="645" spans="1:31" ht="13.15" x14ac:dyDescent="0.4">
      <c r="A645" s="8"/>
      <c r="B645" s="8"/>
      <c r="C645" s="8"/>
      <c r="D645" s="8"/>
      <c r="E645" s="8"/>
      <c r="F645" s="8"/>
      <c r="G645" s="8"/>
      <c r="H645" s="8"/>
      <c r="I645" s="9"/>
      <c r="J645" s="9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</row>
    <row r="646" spans="1:31" ht="13.15" x14ac:dyDescent="0.4">
      <c r="A646" s="8"/>
      <c r="B646" s="8"/>
      <c r="C646" s="8"/>
      <c r="D646" s="8"/>
      <c r="E646" s="8"/>
      <c r="F646" s="8"/>
      <c r="G646" s="8"/>
      <c r="H646" s="8"/>
      <c r="I646" s="9"/>
      <c r="J646" s="9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</row>
    <row r="647" spans="1:31" ht="13.15" x14ac:dyDescent="0.4">
      <c r="A647" s="8"/>
      <c r="B647" s="8"/>
      <c r="C647" s="8"/>
      <c r="D647" s="8"/>
      <c r="E647" s="8"/>
      <c r="F647" s="8"/>
      <c r="G647" s="8"/>
      <c r="H647" s="8"/>
      <c r="I647" s="9"/>
      <c r="J647" s="9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</row>
    <row r="648" spans="1:31" ht="13.15" x14ac:dyDescent="0.4">
      <c r="A648" s="8"/>
      <c r="B648" s="8"/>
      <c r="C648" s="8"/>
      <c r="D648" s="8"/>
      <c r="E648" s="8"/>
      <c r="F648" s="8"/>
      <c r="G648" s="8"/>
      <c r="H648" s="8"/>
      <c r="I648" s="9"/>
      <c r="J648" s="9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</row>
    <row r="649" spans="1:31" ht="13.15" x14ac:dyDescent="0.4">
      <c r="A649" s="8"/>
      <c r="B649" s="8"/>
      <c r="C649" s="8"/>
      <c r="D649" s="8"/>
      <c r="E649" s="8"/>
      <c r="F649" s="8"/>
      <c r="G649" s="8"/>
      <c r="H649" s="8"/>
      <c r="I649" s="9"/>
      <c r="J649" s="9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</row>
    <row r="650" spans="1:31" ht="13.15" x14ac:dyDescent="0.4">
      <c r="A650" s="8"/>
      <c r="B650" s="8"/>
      <c r="C650" s="8"/>
      <c r="D650" s="8"/>
      <c r="E650" s="8"/>
      <c r="F650" s="8"/>
      <c r="G650" s="8"/>
      <c r="H650" s="8"/>
      <c r="I650" s="9"/>
      <c r="J650" s="9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</row>
    <row r="651" spans="1:31" ht="13.15" x14ac:dyDescent="0.4">
      <c r="A651" s="8"/>
      <c r="B651" s="8"/>
      <c r="C651" s="8"/>
      <c r="D651" s="8"/>
      <c r="E651" s="8"/>
      <c r="F651" s="8"/>
      <c r="G651" s="8"/>
      <c r="H651" s="8"/>
      <c r="I651" s="9"/>
      <c r="J651" s="9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</row>
    <row r="652" spans="1:31" ht="13.15" x14ac:dyDescent="0.4">
      <c r="A652" s="8"/>
      <c r="B652" s="8"/>
      <c r="C652" s="8"/>
      <c r="D652" s="8"/>
      <c r="E652" s="8"/>
      <c r="F652" s="8"/>
      <c r="G652" s="8"/>
      <c r="H652" s="8"/>
      <c r="I652" s="9"/>
      <c r="J652" s="9"/>
      <c r="K652" s="8"/>
      <c r="L652" s="11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</row>
    <row r="653" spans="1:31" ht="13.15" x14ac:dyDescent="0.4">
      <c r="A653" s="8"/>
      <c r="B653" s="8"/>
      <c r="C653" s="8"/>
      <c r="D653" s="8"/>
      <c r="E653" s="8"/>
      <c r="F653" s="8"/>
      <c r="G653" s="8"/>
      <c r="H653" s="8"/>
      <c r="I653" s="9"/>
      <c r="J653" s="9"/>
      <c r="K653" s="8"/>
      <c r="L653" s="11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</row>
    <row r="654" spans="1:31" ht="13.15" x14ac:dyDescent="0.4">
      <c r="A654" s="8"/>
      <c r="B654" s="8"/>
      <c r="C654" s="8"/>
      <c r="D654" s="8"/>
      <c r="E654" s="8"/>
      <c r="F654" s="8"/>
      <c r="G654" s="8"/>
      <c r="H654" s="8"/>
      <c r="I654" s="9"/>
      <c r="J654" s="9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</row>
    <row r="655" spans="1:31" ht="13.15" x14ac:dyDescent="0.4">
      <c r="A655" s="8"/>
      <c r="B655" s="8"/>
      <c r="C655" s="8"/>
      <c r="D655" s="8"/>
      <c r="E655" s="8"/>
      <c r="F655" s="8"/>
      <c r="G655" s="8"/>
      <c r="H655" s="8"/>
      <c r="I655" s="9"/>
      <c r="J655" s="9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</row>
    <row r="656" spans="1:31" ht="13.15" x14ac:dyDescent="0.4">
      <c r="A656" s="8"/>
      <c r="B656" s="8"/>
      <c r="C656" s="8"/>
      <c r="D656" s="8"/>
      <c r="E656" s="8"/>
      <c r="F656" s="8"/>
      <c r="G656" s="8"/>
      <c r="H656" s="8"/>
      <c r="I656" s="9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</row>
    <row r="657" spans="1:31" ht="13.15" x14ac:dyDescent="0.4">
      <c r="A657" s="8"/>
      <c r="B657" s="8"/>
      <c r="C657" s="8"/>
      <c r="D657" s="8"/>
      <c r="E657" s="8"/>
      <c r="F657" s="8"/>
      <c r="G657" s="8"/>
      <c r="H657" s="8"/>
      <c r="I657" s="9"/>
      <c r="J657" s="9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</row>
    <row r="658" spans="1:31" ht="13.15" x14ac:dyDescent="0.4">
      <c r="A658" s="8"/>
      <c r="B658" s="8"/>
      <c r="C658" s="8"/>
      <c r="D658" s="8"/>
      <c r="E658" s="8"/>
      <c r="F658" s="8"/>
      <c r="G658" s="8"/>
      <c r="H658" s="8"/>
      <c r="I658" s="9"/>
      <c r="J658" s="9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</row>
    <row r="659" spans="1:31" ht="13.15" x14ac:dyDescent="0.4">
      <c r="A659" s="8"/>
      <c r="B659" s="8"/>
      <c r="C659" s="8"/>
      <c r="D659" s="8"/>
      <c r="E659" s="8"/>
      <c r="F659" s="8"/>
      <c r="G659" s="8"/>
      <c r="H659" s="8"/>
      <c r="I659" s="9"/>
      <c r="J659" s="9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</row>
    <row r="660" spans="1:31" ht="13.15" x14ac:dyDescent="0.4">
      <c r="A660" s="8"/>
      <c r="B660" s="8"/>
      <c r="C660" s="8"/>
      <c r="D660" s="8"/>
      <c r="E660" s="8"/>
      <c r="F660" s="8"/>
      <c r="G660" s="8"/>
      <c r="H660" s="8"/>
      <c r="I660" s="9"/>
      <c r="J660" s="9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</row>
    <row r="661" spans="1:31" ht="13.15" x14ac:dyDescent="0.4">
      <c r="A661" s="8"/>
      <c r="B661" s="8"/>
      <c r="C661" s="8"/>
      <c r="D661" s="8"/>
      <c r="E661" s="8"/>
      <c r="F661" s="8"/>
      <c r="G661" s="8"/>
      <c r="H661" s="8"/>
      <c r="I661" s="9"/>
      <c r="J661" s="9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</row>
    <row r="662" spans="1:31" ht="13.15" x14ac:dyDescent="0.4">
      <c r="A662" s="8"/>
      <c r="B662" s="8"/>
      <c r="C662" s="8"/>
      <c r="D662" s="8"/>
      <c r="E662" s="8"/>
      <c r="F662" s="8"/>
      <c r="G662" s="8"/>
      <c r="H662" s="8"/>
      <c r="I662" s="9"/>
      <c r="J662" s="9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</row>
    <row r="663" spans="1:31" ht="13.15" x14ac:dyDescent="0.4">
      <c r="A663" s="8"/>
      <c r="B663" s="8"/>
      <c r="C663" s="8"/>
      <c r="D663" s="8"/>
      <c r="E663" s="8"/>
      <c r="F663" s="8"/>
      <c r="G663" s="8"/>
      <c r="H663" s="8"/>
      <c r="I663" s="9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</row>
    <row r="664" spans="1:31" ht="13.15" x14ac:dyDescent="0.4">
      <c r="A664" s="8"/>
      <c r="B664" s="8"/>
      <c r="C664" s="8"/>
      <c r="D664" s="8"/>
      <c r="E664" s="8"/>
      <c r="F664" s="8"/>
      <c r="G664" s="8"/>
      <c r="H664" s="8"/>
      <c r="I664" s="9"/>
      <c r="J664" s="9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</row>
    <row r="665" spans="1:31" ht="13.15" x14ac:dyDescent="0.4">
      <c r="A665" s="8"/>
      <c r="B665" s="8"/>
      <c r="C665" s="8"/>
      <c r="D665" s="8"/>
      <c r="E665" s="8"/>
      <c r="F665" s="8"/>
      <c r="G665" s="8"/>
      <c r="H665" s="8"/>
      <c r="I665" s="9"/>
      <c r="J665" s="9"/>
      <c r="K665" s="8"/>
      <c r="L665" s="11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</row>
    <row r="666" spans="1:31" ht="13.15" x14ac:dyDescent="0.4">
      <c r="A666" s="8"/>
      <c r="B666" s="8"/>
      <c r="C666" s="8"/>
      <c r="D666" s="8"/>
      <c r="E666" s="8"/>
      <c r="F666" s="8"/>
      <c r="G666" s="8"/>
      <c r="H666" s="8"/>
      <c r="I666" s="9"/>
      <c r="J666" s="9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</row>
    <row r="667" spans="1:31" ht="13.15" x14ac:dyDescent="0.4">
      <c r="A667" s="8"/>
      <c r="B667" s="8"/>
      <c r="C667" s="8"/>
      <c r="D667" s="8"/>
      <c r="E667" s="8"/>
      <c r="F667" s="8"/>
      <c r="G667" s="8"/>
      <c r="H667" s="8"/>
      <c r="I667" s="9"/>
      <c r="J667" s="9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</row>
    <row r="668" spans="1:31" ht="13.15" x14ac:dyDescent="0.4">
      <c r="A668" s="8"/>
      <c r="B668" s="8"/>
      <c r="C668" s="8"/>
      <c r="D668" s="8"/>
      <c r="E668" s="8"/>
      <c r="F668" s="8"/>
      <c r="G668" s="8"/>
      <c r="H668" s="8"/>
      <c r="I668" s="9"/>
      <c r="J668" s="9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</row>
    <row r="669" spans="1:31" ht="13.15" x14ac:dyDescent="0.4">
      <c r="A669" s="8"/>
      <c r="B669" s="8"/>
      <c r="C669" s="8"/>
      <c r="D669" s="8"/>
      <c r="E669" s="8"/>
      <c r="F669" s="8"/>
      <c r="G669" s="8"/>
      <c r="H669" s="8"/>
      <c r="I669" s="9"/>
      <c r="J669" s="9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</row>
    <row r="670" spans="1:31" ht="13.15" x14ac:dyDescent="0.4">
      <c r="A670" s="8"/>
      <c r="B670" s="8"/>
      <c r="C670" s="8"/>
      <c r="D670" s="8"/>
      <c r="E670" s="8"/>
      <c r="F670" s="8"/>
      <c r="G670" s="8"/>
      <c r="H670" s="8"/>
      <c r="I670" s="9"/>
      <c r="J670" s="9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</row>
    <row r="671" spans="1:31" ht="13.15" x14ac:dyDescent="0.4">
      <c r="A671" s="8"/>
      <c r="B671" s="8"/>
      <c r="C671" s="8"/>
      <c r="D671" s="8"/>
      <c r="E671" s="8"/>
      <c r="F671" s="8"/>
      <c r="G671" s="8"/>
      <c r="H671" s="8"/>
      <c r="I671" s="9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</row>
    <row r="672" spans="1:31" ht="13.15" x14ac:dyDescent="0.4">
      <c r="A672" s="8"/>
      <c r="B672" s="8"/>
      <c r="C672" s="8"/>
      <c r="D672" s="8"/>
      <c r="E672" s="8"/>
      <c r="F672" s="8"/>
      <c r="G672" s="8"/>
      <c r="H672" s="8"/>
      <c r="I672" s="9"/>
      <c r="J672" s="9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</row>
    <row r="673" spans="1:31" ht="13.15" x14ac:dyDescent="0.4">
      <c r="A673" s="8"/>
      <c r="B673" s="8"/>
      <c r="C673" s="8"/>
      <c r="D673" s="8"/>
      <c r="E673" s="8"/>
      <c r="F673" s="8"/>
      <c r="G673" s="8"/>
      <c r="H673" s="8"/>
      <c r="I673" s="9"/>
      <c r="J673" s="9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</row>
    <row r="674" spans="1:31" ht="13.15" x14ac:dyDescent="0.4">
      <c r="A674" s="8"/>
      <c r="B674" s="8"/>
      <c r="C674" s="8"/>
      <c r="D674" s="8"/>
      <c r="E674" s="8"/>
      <c r="F674" s="8"/>
      <c r="G674" s="8"/>
      <c r="H674" s="8"/>
      <c r="I674" s="9"/>
      <c r="J674" s="9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</row>
    <row r="675" spans="1:31" ht="13.15" x14ac:dyDescent="0.4">
      <c r="A675" s="8"/>
      <c r="B675" s="8"/>
      <c r="C675" s="8"/>
      <c r="D675" s="8"/>
      <c r="E675" s="8"/>
      <c r="F675" s="8"/>
      <c r="G675" s="8"/>
      <c r="H675" s="8"/>
      <c r="I675" s="9"/>
      <c r="J675" s="9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</row>
    <row r="676" spans="1:31" ht="13.15" x14ac:dyDescent="0.4">
      <c r="A676" s="8"/>
      <c r="B676" s="8"/>
      <c r="C676" s="8"/>
      <c r="D676" s="8"/>
      <c r="E676" s="8"/>
      <c r="F676" s="8"/>
      <c r="G676" s="8"/>
      <c r="H676" s="8"/>
      <c r="I676" s="9"/>
      <c r="J676" s="9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</row>
    <row r="677" spans="1:31" ht="13.15" x14ac:dyDescent="0.4">
      <c r="A677" s="8"/>
      <c r="B677" s="8"/>
      <c r="C677" s="8"/>
      <c r="D677" s="8"/>
      <c r="E677" s="8"/>
      <c r="F677" s="8"/>
      <c r="G677" s="8"/>
      <c r="H677" s="8"/>
      <c r="I677" s="9"/>
      <c r="J677" s="9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</row>
    <row r="678" spans="1:31" ht="13.15" x14ac:dyDescent="0.4">
      <c r="A678" s="8"/>
      <c r="B678" s="8"/>
      <c r="C678" s="8"/>
      <c r="D678" s="8"/>
      <c r="E678" s="8"/>
      <c r="F678" s="8"/>
      <c r="G678" s="8"/>
      <c r="H678" s="8"/>
      <c r="I678" s="9"/>
      <c r="J678" s="9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</row>
    <row r="679" spans="1:31" ht="13.15" x14ac:dyDescent="0.4">
      <c r="A679" s="8"/>
      <c r="B679" s="8"/>
      <c r="C679" s="8"/>
      <c r="D679" s="8"/>
      <c r="E679" s="8"/>
      <c r="F679" s="8"/>
      <c r="G679" s="8"/>
      <c r="H679" s="8"/>
      <c r="I679" s="9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</row>
    <row r="680" spans="1:31" ht="13.15" x14ac:dyDescent="0.4">
      <c r="A680" s="8"/>
      <c r="B680" s="8"/>
      <c r="C680" s="8"/>
      <c r="D680" s="8"/>
      <c r="E680" s="8"/>
      <c r="F680" s="8"/>
      <c r="G680" s="8"/>
      <c r="H680" s="8"/>
      <c r="I680" s="9"/>
      <c r="J680" s="9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</row>
    <row r="681" spans="1:31" ht="13.15" x14ac:dyDescent="0.4">
      <c r="A681" s="8"/>
      <c r="B681" s="8"/>
      <c r="C681" s="8"/>
      <c r="D681" s="8"/>
      <c r="E681" s="8"/>
      <c r="F681" s="8"/>
      <c r="G681" s="8"/>
      <c r="H681" s="8"/>
      <c r="I681" s="9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</row>
    <row r="682" spans="1:31" ht="13.15" x14ac:dyDescent="0.4">
      <c r="A682" s="8"/>
      <c r="B682" s="8"/>
      <c r="C682" s="8"/>
      <c r="D682" s="8"/>
      <c r="E682" s="8"/>
      <c r="F682" s="8"/>
      <c r="G682" s="8"/>
      <c r="H682" s="8"/>
      <c r="I682" s="9"/>
      <c r="J682" s="9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</row>
    <row r="683" spans="1:31" ht="13.15" x14ac:dyDescent="0.4">
      <c r="A683" s="8"/>
      <c r="B683" s="8"/>
      <c r="C683" s="8"/>
      <c r="D683" s="8"/>
      <c r="E683" s="8"/>
      <c r="F683" s="8"/>
      <c r="G683" s="8"/>
      <c r="H683" s="8"/>
      <c r="I683" s="9"/>
      <c r="J683" s="9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</row>
    <row r="684" spans="1:31" ht="13.15" x14ac:dyDescent="0.4">
      <c r="A684" s="8"/>
      <c r="B684" s="8"/>
      <c r="C684" s="8"/>
      <c r="D684" s="8"/>
      <c r="E684" s="8"/>
      <c r="F684" s="8"/>
      <c r="G684" s="8"/>
      <c r="H684" s="8"/>
      <c r="I684" s="9"/>
      <c r="J684" s="9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</row>
    <row r="685" spans="1:31" ht="13.15" x14ac:dyDescent="0.4">
      <c r="A685" s="8"/>
      <c r="B685" s="8"/>
      <c r="C685" s="8"/>
      <c r="D685" s="8"/>
      <c r="E685" s="8"/>
      <c r="F685" s="8"/>
      <c r="G685" s="8"/>
      <c r="H685" s="8"/>
      <c r="I685" s="9"/>
      <c r="J685" s="9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</row>
    <row r="686" spans="1:31" ht="13.15" x14ac:dyDescent="0.4">
      <c r="A686" s="8"/>
      <c r="B686" s="8"/>
      <c r="C686" s="8"/>
      <c r="D686" s="8"/>
      <c r="E686" s="8"/>
      <c r="F686" s="8"/>
      <c r="G686" s="8"/>
      <c r="H686" s="8"/>
      <c r="I686" s="9"/>
      <c r="J686" s="9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</row>
    <row r="687" spans="1:31" ht="13.15" x14ac:dyDescent="0.4">
      <c r="A687" s="8"/>
      <c r="B687" s="8"/>
      <c r="C687" s="8"/>
      <c r="D687" s="8"/>
      <c r="E687" s="8"/>
      <c r="F687" s="8"/>
      <c r="G687" s="8"/>
      <c r="H687" s="8"/>
      <c r="I687" s="9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</row>
    <row r="688" spans="1:31" ht="13.15" x14ac:dyDescent="0.4">
      <c r="A688" s="8"/>
      <c r="B688" s="8"/>
      <c r="C688" s="8"/>
      <c r="D688" s="8"/>
      <c r="E688" s="8"/>
      <c r="F688" s="8"/>
      <c r="G688" s="8"/>
      <c r="H688" s="8"/>
      <c r="I688" s="9"/>
      <c r="J688" s="9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</row>
    <row r="689" spans="1:31" ht="13.15" x14ac:dyDescent="0.4">
      <c r="A689" s="8"/>
      <c r="B689" s="8"/>
      <c r="C689" s="8"/>
      <c r="D689" s="8"/>
      <c r="E689" s="8"/>
      <c r="F689" s="8"/>
      <c r="G689" s="8"/>
      <c r="H689" s="8"/>
      <c r="I689" s="9"/>
      <c r="J689" s="9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</row>
    <row r="690" spans="1:31" ht="13.15" x14ac:dyDescent="0.4">
      <c r="A690" s="8"/>
      <c r="B690" s="8"/>
      <c r="C690" s="8"/>
      <c r="D690" s="8"/>
      <c r="E690" s="8"/>
      <c r="F690" s="8"/>
      <c r="G690" s="8"/>
      <c r="H690" s="8"/>
      <c r="I690" s="9"/>
      <c r="J690" s="9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</row>
    <row r="691" spans="1:31" ht="13.15" x14ac:dyDescent="0.4">
      <c r="A691" s="8"/>
      <c r="B691" s="8"/>
      <c r="C691" s="8"/>
      <c r="D691" s="8"/>
      <c r="E691" s="8"/>
      <c r="F691" s="8"/>
      <c r="G691" s="8"/>
      <c r="H691" s="8"/>
      <c r="I691" s="9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</row>
    <row r="692" spans="1:31" ht="13.15" x14ac:dyDescent="0.4">
      <c r="A692" s="8"/>
      <c r="B692" s="8"/>
      <c r="C692" s="8"/>
      <c r="D692" s="8"/>
      <c r="E692" s="8"/>
      <c r="F692" s="8"/>
      <c r="G692" s="8"/>
      <c r="H692" s="8"/>
      <c r="I692" s="9"/>
      <c r="J692" s="9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</row>
    <row r="693" spans="1:31" ht="13.15" x14ac:dyDescent="0.4">
      <c r="A693" s="8"/>
      <c r="B693" s="8"/>
      <c r="C693" s="8"/>
      <c r="D693" s="8"/>
      <c r="E693" s="8"/>
      <c r="F693" s="8"/>
      <c r="G693" s="8"/>
      <c r="H693" s="8"/>
      <c r="I693" s="9"/>
      <c r="J693" s="9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</row>
    <row r="694" spans="1:31" ht="13.15" x14ac:dyDescent="0.4">
      <c r="A694" s="8"/>
      <c r="B694" s="8"/>
      <c r="C694" s="8"/>
      <c r="D694" s="8"/>
      <c r="E694" s="8"/>
      <c r="F694" s="8"/>
      <c r="G694" s="8"/>
      <c r="H694" s="8"/>
      <c r="I694" s="9"/>
      <c r="J694" s="9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</row>
    <row r="695" spans="1:31" ht="13.15" x14ac:dyDescent="0.4">
      <c r="A695" s="8"/>
      <c r="B695" s="8"/>
      <c r="C695" s="8"/>
      <c r="D695" s="8"/>
      <c r="E695" s="8"/>
      <c r="F695" s="8"/>
      <c r="G695" s="8"/>
      <c r="H695" s="8"/>
      <c r="I695" s="9"/>
      <c r="J695" s="9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</row>
    <row r="696" spans="1:31" ht="13.15" x14ac:dyDescent="0.4">
      <c r="A696" s="8"/>
      <c r="B696" s="8"/>
      <c r="C696" s="8"/>
      <c r="D696" s="8"/>
      <c r="E696" s="8"/>
      <c r="F696" s="8"/>
      <c r="G696" s="8"/>
      <c r="H696" s="8"/>
      <c r="I696" s="9"/>
      <c r="J696" s="9"/>
      <c r="K696" s="8"/>
      <c r="L696" s="11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</row>
    <row r="697" spans="1:31" ht="13.15" x14ac:dyDescent="0.4">
      <c r="A697" s="8"/>
      <c r="B697" s="8"/>
      <c r="C697" s="8"/>
      <c r="D697" s="8"/>
      <c r="E697" s="8"/>
      <c r="F697" s="8"/>
      <c r="G697" s="8"/>
      <c r="H697" s="8"/>
      <c r="I697" s="9"/>
      <c r="J697" s="9"/>
      <c r="K697" s="8"/>
      <c r="L697" s="11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</row>
    <row r="698" spans="1:31" ht="13.15" x14ac:dyDescent="0.4">
      <c r="A698" s="8"/>
      <c r="B698" s="8"/>
      <c r="C698" s="8"/>
      <c r="D698" s="8"/>
      <c r="E698" s="8"/>
      <c r="F698" s="8"/>
      <c r="G698" s="8"/>
      <c r="H698" s="8"/>
      <c r="I698" s="9"/>
      <c r="J698" s="9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</row>
    <row r="699" spans="1:31" ht="13.15" x14ac:dyDescent="0.4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</row>
    <row r="700" spans="1:31" ht="13.15" x14ac:dyDescent="0.4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</row>
    <row r="701" spans="1:31" ht="13.15" x14ac:dyDescent="0.4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</row>
    <row r="702" spans="1:31" ht="13.15" x14ac:dyDescent="0.4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</row>
    <row r="703" spans="1:31" ht="13.15" x14ac:dyDescent="0.4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</row>
    <row r="704" spans="1:31" ht="13.15" x14ac:dyDescent="0.4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</row>
    <row r="705" spans="1:31" ht="13.15" x14ac:dyDescent="0.4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</row>
    <row r="706" spans="1:31" ht="13.15" x14ac:dyDescent="0.4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</row>
    <row r="707" spans="1:31" ht="13.15" x14ac:dyDescent="0.4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</row>
    <row r="708" spans="1:31" ht="13.15" x14ac:dyDescent="0.4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</row>
    <row r="709" spans="1:31" ht="13.15" x14ac:dyDescent="0.4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</row>
    <row r="710" spans="1:31" ht="13.15" x14ac:dyDescent="0.4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</row>
    <row r="711" spans="1:31" ht="13.15" x14ac:dyDescent="0.4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</row>
    <row r="712" spans="1:31" ht="13.15" x14ac:dyDescent="0.4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</row>
    <row r="713" spans="1:31" ht="13.15" x14ac:dyDescent="0.4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</row>
    <row r="714" spans="1:31" ht="13.15" x14ac:dyDescent="0.4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</row>
    <row r="715" spans="1:31" ht="13.15" x14ac:dyDescent="0.4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</row>
    <row r="716" spans="1:31" ht="13.15" x14ac:dyDescent="0.4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</row>
    <row r="717" spans="1:31" ht="13.15" x14ac:dyDescent="0.4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</row>
    <row r="718" spans="1:31" ht="13.15" x14ac:dyDescent="0.4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</row>
    <row r="719" spans="1:31" ht="13.15" x14ac:dyDescent="0.4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</row>
    <row r="720" spans="1:31" ht="13.15" x14ac:dyDescent="0.4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</row>
    <row r="721" spans="1:31" ht="13.15" x14ac:dyDescent="0.4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</row>
    <row r="722" spans="1:31" ht="13.15" x14ac:dyDescent="0.4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</row>
    <row r="723" spans="1:31" ht="13.15" x14ac:dyDescent="0.4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</row>
    <row r="724" spans="1:31" ht="13.15" x14ac:dyDescent="0.4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</row>
    <row r="725" spans="1:31" ht="13.15" x14ac:dyDescent="0.4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</row>
    <row r="726" spans="1:31" ht="13.15" x14ac:dyDescent="0.4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</row>
    <row r="727" spans="1:31" ht="13.15" x14ac:dyDescent="0.4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</row>
    <row r="728" spans="1:31" ht="13.15" x14ac:dyDescent="0.4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</row>
    <row r="729" spans="1:31" ht="13.15" x14ac:dyDescent="0.4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</row>
    <row r="730" spans="1:31" ht="13.15" x14ac:dyDescent="0.4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</row>
    <row r="731" spans="1:31" ht="13.15" x14ac:dyDescent="0.4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</row>
    <row r="732" spans="1:31" ht="13.15" x14ac:dyDescent="0.4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</row>
    <row r="733" spans="1:31" ht="13.15" x14ac:dyDescent="0.4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</row>
    <row r="734" spans="1:31" ht="13.15" x14ac:dyDescent="0.4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</row>
    <row r="735" spans="1:31" ht="13.15" x14ac:dyDescent="0.4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</row>
    <row r="736" spans="1:31" ht="13.15" x14ac:dyDescent="0.4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</row>
    <row r="737" spans="1:31" ht="13.15" x14ac:dyDescent="0.4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</row>
    <row r="738" spans="1:31" ht="13.15" x14ac:dyDescent="0.4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</row>
    <row r="739" spans="1:31" ht="13.15" x14ac:dyDescent="0.4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</row>
    <row r="740" spans="1:31" ht="13.15" x14ac:dyDescent="0.4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</row>
    <row r="741" spans="1:31" ht="13.15" x14ac:dyDescent="0.4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</row>
    <row r="742" spans="1:31" ht="13.15" x14ac:dyDescent="0.4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</row>
    <row r="743" spans="1:31" ht="13.15" x14ac:dyDescent="0.4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</row>
    <row r="744" spans="1:31" ht="13.15" x14ac:dyDescent="0.4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</row>
    <row r="745" spans="1:31" ht="13.15" x14ac:dyDescent="0.4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</row>
    <row r="746" spans="1:31" ht="13.15" x14ac:dyDescent="0.4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</row>
    <row r="747" spans="1:31" ht="13.15" x14ac:dyDescent="0.4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</row>
    <row r="748" spans="1:31" ht="13.15" x14ac:dyDescent="0.4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</row>
    <row r="749" spans="1:31" ht="13.15" x14ac:dyDescent="0.4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</row>
    <row r="750" spans="1:31" ht="13.15" x14ac:dyDescent="0.4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</row>
    <row r="751" spans="1:31" ht="13.15" x14ac:dyDescent="0.4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</row>
    <row r="752" spans="1:31" ht="13.15" x14ac:dyDescent="0.4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</row>
    <row r="753" spans="1:31" ht="13.15" x14ac:dyDescent="0.4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</row>
    <row r="754" spans="1:31" ht="13.15" x14ac:dyDescent="0.4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</row>
    <row r="755" spans="1:31" ht="13.15" x14ac:dyDescent="0.4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</row>
    <row r="756" spans="1:31" ht="13.15" x14ac:dyDescent="0.4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</row>
    <row r="757" spans="1:31" ht="13.15" x14ac:dyDescent="0.4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</row>
    <row r="758" spans="1:31" ht="13.15" x14ac:dyDescent="0.4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</row>
    <row r="759" spans="1:31" ht="13.15" x14ac:dyDescent="0.4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</row>
    <row r="760" spans="1:31" ht="13.15" x14ac:dyDescent="0.4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</row>
    <row r="761" spans="1:31" ht="13.15" x14ac:dyDescent="0.4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</row>
    <row r="762" spans="1:31" ht="13.15" x14ac:dyDescent="0.4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</row>
    <row r="763" spans="1:31" ht="13.15" x14ac:dyDescent="0.4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</row>
    <row r="764" spans="1:31" ht="13.15" x14ac:dyDescent="0.4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</row>
    <row r="765" spans="1:31" ht="13.15" x14ac:dyDescent="0.4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</row>
    <row r="766" spans="1:31" ht="13.15" x14ac:dyDescent="0.4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</row>
    <row r="767" spans="1:31" ht="13.15" x14ac:dyDescent="0.4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</row>
    <row r="768" spans="1:31" ht="13.15" x14ac:dyDescent="0.4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</row>
    <row r="769" spans="1:31" ht="13.15" x14ac:dyDescent="0.4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</row>
    <row r="770" spans="1:31" ht="13.15" x14ac:dyDescent="0.4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</row>
    <row r="771" spans="1:31" ht="13.15" x14ac:dyDescent="0.4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</row>
    <row r="772" spans="1:31" ht="13.15" x14ac:dyDescent="0.4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</row>
    <row r="773" spans="1:31" ht="13.15" x14ac:dyDescent="0.4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</row>
    <row r="774" spans="1:31" ht="13.15" x14ac:dyDescent="0.4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</row>
    <row r="775" spans="1:31" ht="13.15" x14ac:dyDescent="0.4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</row>
    <row r="776" spans="1:31" ht="13.15" x14ac:dyDescent="0.4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</row>
    <row r="777" spans="1:31" ht="13.15" x14ac:dyDescent="0.4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</row>
    <row r="778" spans="1:31" ht="13.15" x14ac:dyDescent="0.4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</row>
    <row r="779" spans="1:31" ht="13.15" x14ac:dyDescent="0.4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</row>
    <row r="780" spans="1:31" ht="13.15" x14ac:dyDescent="0.4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</row>
    <row r="781" spans="1:31" ht="13.15" x14ac:dyDescent="0.4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</row>
    <row r="782" spans="1:31" ht="13.15" x14ac:dyDescent="0.4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</row>
    <row r="783" spans="1:31" ht="13.15" x14ac:dyDescent="0.4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</row>
    <row r="784" spans="1:31" ht="13.15" x14ac:dyDescent="0.4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</row>
    <row r="785" spans="1:31" ht="13.15" x14ac:dyDescent="0.4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</row>
    <row r="786" spans="1:31" ht="13.15" x14ac:dyDescent="0.4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</row>
    <row r="787" spans="1:31" ht="13.15" x14ac:dyDescent="0.4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</row>
    <row r="788" spans="1:31" ht="13.15" x14ac:dyDescent="0.4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</row>
    <row r="789" spans="1:31" ht="13.15" x14ac:dyDescent="0.4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</row>
    <row r="790" spans="1:31" ht="13.15" x14ac:dyDescent="0.4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</row>
    <row r="791" spans="1:31" ht="13.15" x14ac:dyDescent="0.4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</row>
    <row r="792" spans="1:31" ht="13.15" x14ac:dyDescent="0.4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</row>
    <row r="793" spans="1:31" ht="13.15" x14ac:dyDescent="0.4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</row>
    <row r="794" spans="1:31" ht="13.15" x14ac:dyDescent="0.4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</row>
    <row r="795" spans="1:31" ht="13.15" x14ac:dyDescent="0.4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</row>
    <row r="796" spans="1:31" ht="13.15" x14ac:dyDescent="0.4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</row>
    <row r="797" spans="1:31" ht="13.15" x14ac:dyDescent="0.4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</row>
    <row r="798" spans="1:31" ht="13.15" x14ac:dyDescent="0.4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</row>
    <row r="799" spans="1:31" ht="13.15" x14ac:dyDescent="0.4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</row>
    <row r="800" spans="1:31" ht="13.15" x14ac:dyDescent="0.4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</row>
    <row r="801" spans="1:31" ht="13.15" x14ac:dyDescent="0.4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</row>
    <row r="802" spans="1:31" ht="13.15" x14ac:dyDescent="0.4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</row>
    <row r="803" spans="1:31" ht="13.15" x14ac:dyDescent="0.4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</row>
    <row r="804" spans="1:31" ht="13.15" x14ac:dyDescent="0.4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</row>
    <row r="805" spans="1:31" ht="13.15" x14ac:dyDescent="0.4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</row>
    <row r="806" spans="1:31" ht="13.15" x14ac:dyDescent="0.4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</row>
    <row r="807" spans="1:31" ht="13.15" x14ac:dyDescent="0.4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</row>
    <row r="808" spans="1:31" ht="13.15" x14ac:dyDescent="0.4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</row>
    <row r="809" spans="1:31" ht="13.15" x14ac:dyDescent="0.4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</row>
    <row r="810" spans="1:31" ht="13.15" x14ac:dyDescent="0.4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</row>
    <row r="811" spans="1:31" ht="13.15" x14ac:dyDescent="0.4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</row>
    <row r="812" spans="1:31" ht="13.15" x14ac:dyDescent="0.4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</row>
    <row r="813" spans="1:31" ht="13.15" x14ac:dyDescent="0.4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</row>
    <row r="814" spans="1:31" ht="13.15" x14ac:dyDescent="0.4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</row>
    <row r="815" spans="1:31" ht="13.15" x14ac:dyDescent="0.4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</row>
    <row r="816" spans="1:31" ht="13.15" x14ac:dyDescent="0.4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</row>
    <row r="817" spans="1:31" ht="13.15" x14ac:dyDescent="0.4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</row>
    <row r="818" spans="1:31" ht="13.15" x14ac:dyDescent="0.4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</row>
    <row r="819" spans="1:31" ht="13.15" x14ac:dyDescent="0.4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</row>
    <row r="820" spans="1:31" ht="13.15" x14ac:dyDescent="0.4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</row>
    <row r="821" spans="1:31" ht="13.15" x14ac:dyDescent="0.4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</row>
    <row r="822" spans="1:31" ht="13.15" x14ac:dyDescent="0.4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</row>
    <row r="823" spans="1:31" ht="13.15" x14ac:dyDescent="0.4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</row>
    <row r="824" spans="1:31" ht="13.15" x14ac:dyDescent="0.4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</row>
    <row r="825" spans="1:31" ht="13.15" x14ac:dyDescent="0.4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</row>
    <row r="826" spans="1:31" ht="13.15" x14ac:dyDescent="0.4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</row>
    <row r="827" spans="1:31" ht="13.15" x14ac:dyDescent="0.4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</row>
    <row r="828" spans="1:31" ht="13.15" x14ac:dyDescent="0.4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</row>
    <row r="829" spans="1:31" ht="13.15" x14ac:dyDescent="0.4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</row>
    <row r="830" spans="1:31" ht="13.15" x14ac:dyDescent="0.4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</row>
    <row r="831" spans="1:31" ht="13.15" x14ac:dyDescent="0.4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</row>
    <row r="832" spans="1:31" ht="13.15" x14ac:dyDescent="0.4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</row>
    <row r="833" spans="1:31" ht="13.15" x14ac:dyDescent="0.4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</row>
    <row r="834" spans="1:31" ht="13.15" x14ac:dyDescent="0.4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</row>
    <row r="835" spans="1:31" ht="13.15" x14ac:dyDescent="0.4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</row>
    <row r="836" spans="1:31" ht="13.15" x14ac:dyDescent="0.4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</row>
    <row r="837" spans="1:31" ht="13.15" x14ac:dyDescent="0.4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</row>
    <row r="838" spans="1:31" ht="13.15" x14ac:dyDescent="0.4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</row>
    <row r="839" spans="1:31" ht="13.15" x14ac:dyDescent="0.4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</row>
    <row r="840" spans="1:31" ht="13.15" x14ac:dyDescent="0.4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</row>
    <row r="841" spans="1:31" ht="13.15" x14ac:dyDescent="0.4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</row>
    <row r="842" spans="1:31" ht="13.15" x14ac:dyDescent="0.4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</row>
    <row r="843" spans="1:31" ht="13.15" x14ac:dyDescent="0.4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</row>
    <row r="844" spans="1:31" ht="13.15" x14ac:dyDescent="0.4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</row>
    <row r="845" spans="1:31" ht="13.15" x14ac:dyDescent="0.4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</row>
    <row r="846" spans="1:31" ht="13.15" x14ac:dyDescent="0.4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</row>
    <row r="847" spans="1:31" ht="13.15" x14ac:dyDescent="0.4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</row>
    <row r="848" spans="1:31" ht="13.15" x14ac:dyDescent="0.4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</row>
    <row r="849" spans="1:31" ht="13.15" x14ac:dyDescent="0.4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</row>
    <row r="850" spans="1:31" ht="13.15" x14ac:dyDescent="0.4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</row>
    <row r="851" spans="1:31" ht="13.15" x14ac:dyDescent="0.4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</row>
    <row r="852" spans="1:31" ht="13.15" x14ac:dyDescent="0.4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</row>
    <row r="853" spans="1:31" ht="13.15" x14ac:dyDescent="0.4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</row>
    <row r="854" spans="1:31" ht="13.15" x14ac:dyDescent="0.4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</row>
    <row r="855" spans="1:31" ht="13.15" x14ac:dyDescent="0.4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</row>
    <row r="856" spans="1:31" ht="13.15" x14ac:dyDescent="0.4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</row>
    <row r="857" spans="1:31" ht="13.15" x14ac:dyDescent="0.4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</row>
    <row r="858" spans="1:31" ht="13.15" x14ac:dyDescent="0.4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</row>
    <row r="859" spans="1:31" ht="13.15" x14ac:dyDescent="0.4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</row>
    <row r="860" spans="1:31" ht="13.15" x14ac:dyDescent="0.4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</row>
    <row r="861" spans="1:31" ht="13.15" x14ac:dyDescent="0.4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</row>
    <row r="862" spans="1:31" ht="13.15" x14ac:dyDescent="0.4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</row>
    <row r="863" spans="1:31" ht="13.15" x14ac:dyDescent="0.4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</row>
    <row r="864" spans="1:31" ht="13.15" x14ac:dyDescent="0.4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</row>
    <row r="865" spans="1:31" ht="13.15" x14ac:dyDescent="0.4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</row>
    <row r="866" spans="1:31" ht="13.15" x14ac:dyDescent="0.4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</row>
    <row r="867" spans="1:31" ht="13.15" x14ac:dyDescent="0.4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</row>
    <row r="868" spans="1:31" ht="13.15" x14ac:dyDescent="0.4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</row>
    <row r="869" spans="1:31" ht="13.15" x14ac:dyDescent="0.4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</row>
    <row r="870" spans="1:31" ht="13.15" x14ac:dyDescent="0.4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</row>
    <row r="871" spans="1:31" ht="13.15" x14ac:dyDescent="0.4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</row>
    <row r="872" spans="1:31" ht="13.15" x14ac:dyDescent="0.4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</row>
    <row r="873" spans="1:31" ht="13.15" x14ac:dyDescent="0.4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</row>
    <row r="874" spans="1:31" ht="13.15" x14ac:dyDescent="0.4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</row>
    <row r="875" spans="1:31" ht="13.15" x14ac:dyDescent="0.4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</row>
    <row r="876" spans="1:31" ht="13.15" x14ac:dyDescent="0.4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</row>
    <row r="877" spans="1:31" ht="13.15" x14ac:dyDescent="0.4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</row>
    <row r="878" spans="1:31" ht="13.15" x14ac:dyDescent="0.4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</row>
    <row r="879" spans="1:31" ht="13.15" x14ac:dyDescent="0.4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</row>
    <row r="880" spans="1:31" ht="13.15" x14ac:dyDescent="0.4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</row>
    <row r="881" spans="1:31" ht="13.15" x14ac:dyDescent="0.4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</row>
    <row r="882" spans="1:31" ht="13.15" x14ac:dyDescent="0.4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</row>
    <row r="883" spans="1:31" ht="13.15" x14ac:dyDescent="0.4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</row>
    <row r="884" spans="1:31" ht="13.15" x14ac:dyDescent="0.4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</row>
    <row r="885" spans="1:31" ht="13.15" x14ac:dyDescent="0.4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</row>
    <row r="886" spans="1:31" ht="13.15" x14ac:dyDescent="0.4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</row>
    <row r="887" spans="1:31" ht="13.15" x14ac:dyDescent="0.4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</row>
    <row r="888" spans="1:31" ht="13.15" x14ac:dyDescent="0.4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</row>
    <row r="889" spans="1:31" ht="13.15" x14ac:dyDescent="0.4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</row>
    <row r="890" spans="1:31" ht="13.15" x14ac:dyDescent="0.4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</row>
    <row r="891" spans="1:31" ht="13.15" x14ac:dyDescent="0.4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</row>
    <row r="892" spans="1:31" ht="13.15" x14ac:dyDescent="0.4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</row>
    <row r="893" spans="1:31" ht="13.15" x14ac:dyDescent="0.4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</row>
    <row r="894" spans="1:31" ht="13.15" x14ac:dyDescent="0.4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</row>
    <row r="895" spans="1:31" ht="13.15" x14ac:dyDescent="0.4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</row>
    <row r="896" spans="1:31" ht="13.15" x14ac:dyDescent="0.4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</row>
    <row r="897" spans="1:31" ht="13.15" x14ac:dyDescent="0.4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</row>
    <row r="898" spans="1:31" ht="13.15" x14ac:dyDescent="0.4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</row>
    <row r="899" spans="1:31" ht="13.15" x14ac:dyDescent="0.4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</row>
    <row r="900" spans="1:31" ht="13.15" x14ac:dyDescent="0.4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</row>
    <row r="901" spans="1:31" ht="13.15" x14ac:dyDescent="0.4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</row>
    <row r="902" spans="1:31" ht="13.15" x14ac:dyDescent="0.4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</row>
    <row r="903" spans="1:31" ht="13.15" x14ac:dyDescent="0.4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</row>
    <row r="904" spans="1:31" ht="13.15" x14ac:dyDescent="0.4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</row>
    <row r="905" spans="1:31" ht="13.15" x14ac:dyDescent="0.4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</row>
    <row r="906" spans="1:31" ht="13.15" x14ac:dyDescent="0.4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</row>
    <row r="907" spans="1:31" ht="13.15" x14ac:dyDescent="0.4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</row>
    <row r="908" spans="1:31" ht="13.15" x14ac:dyDescent="0.4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</row>
    <row r="909" spans="1:31" ht="13.15" x14ac:dyDescent="0.4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</row>
    <row r="910" spans="1:31" ht="13.15" x14ac:dyDescent="0.4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</row>
    <row r="911" spans="1:31" ht="13.15" x14ac:dyDescent="0.4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</row>
    <row r="912" spans="1:31" ht="13.15" x14ac:dyDescent="0.4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</row>
    <row r="913" spans="1:31" ht="13.15" x14ac:dyDescent="0.4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</row>
    <row r="914" spans="1:31" ht="13.15" x14ac:dyDescent="0.4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</row>
    <row r="915" spans="1:31" ht="13.15" x14ac:dyDescent="0.4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</row>
    <row r="916" spans="1:31" ht="13.15" x14ac:dyDescent="0.4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</row>
    <row r="917" spans="1:31" ht="13.15" x14ac:dyDescent="0.4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</row>
    <row r="918" spans="1:31" ht="13.15" x14ac:dyDescent="0.4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</row>
    <row r="919" spans="1:31" ht="13.15" x14ac:dyDescent="0.4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</row>
    <row r="920" spans="1:31" ht="13.15" x14ac:dyDescent="0.4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</row>
    <row r="921" spans="1:31" ht="13.15" x14ac:dyDescent="0.4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</row>
    <row r="922" spans="1:31" ht="13.15" x14ac:dyDescent="0.4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</row>
    <row r="923" spans="1:31" ht="13.15" x14ac:dyDescent="0.4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</row>
    <row r="924" spans="1:31" ht="13.15" x14ac:dyDescent="0.4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</row>
    <row r="925" spans="1:31" ht="13.15" x14ac:dyDescent="0.4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</row>
    <row r="926" spans="1:31" ht="13.15" x14ac:dyDescent="0.4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</row>
    <row r="927" spans="1:31" ht="13.15" x14ac:dyDescent="0.4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</row>
    <row r="928" spans="1:31" ht="13.15" x14ac:dyDescent="0.4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</row>
    <row r="929" spans="1:31" ht="13.15" x14ac:dyDescent="0.4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</row>
    <row r="930" spans="1:31" ht="13.15" x14ac:dyDescent="0.4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</row>
    <row r="931" spans="1:31" ht="13.15" x14ac:dyDescent="0.4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</row>
    <row r="932" spans="1:31" ht="13.15" x14ac:dyDescent="0.4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</row>
    <row r="933" spans="1:31" ht="13.15" x14ac:dyDescent="0.4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</row>
    <row r="934" spans="1:31" ht="13.15" x14ac:dyDescent="0.4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</row>
    <row r="935" spans="1:31" ht="13.15" x14ac:dyDescent="0.4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</row>
    <row r="936" spans="1:31" ht="13.15" x14ac:dyDescent="0.4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</row>
    <row r="937" spans="1:31" ht="13.15" x14ac:dyDescent="0.4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</row>
    <row r="938" spans="1:31" ht="13.15" x14ac:dyDescent="0.4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</row>
    <row r="939" spans="1:31" ht="13.15" x14ac:dyDescent="0.4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</row>
    <row r="940" spans="1:31" ht="13.15" x14ac:dyDescent="0.4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</row>
    <row r="941" spans="1:31" ht="13.15" x14ac:dyDescent="0.4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</row>
    <row r="942" spans="1:31" ht="13.15" x14ac:dyDescent="0.4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</row>
    <row r="943" spans="1:31" ht="13.15" x14ac:dyDescent="0.4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</row>
    <row r="944" spans="1:31" ht="13.15" x14ac:dyDescent="0.4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</row>
    <row r="945" spans="1:31" ht="13.15" x14ac:dyDescent="0.4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</row>
    <row r="946" spans="1:31" ht="13.15" x14ac:dyDescent="0.4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</row>
    <row r="947" spans="1:31" ht="13.15" x14ac:dyDescent="0.4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</row>
    <row r="948" spans="1:31" ht="13.15" x14ac:dyDescent="0.4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</row>
    <row r="949" spans="1:31" ht="13.15" x14ac:dyDescent="0.4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</row>
    <row r="950" spans="1:31" ht="13.15" x14ac:dyDescent="0.4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</row>
    <row r="951" spans="1:31" ht="13.15" x14ac:dyDescent="0.4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</row>
    <row r="952" spans="1:31" ht="13.15" x14ac:dyDescent="0.4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</row>
    <row r="953" spans="1:31" ht="13.15" x14ac:dyDescent="0.4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</row>
    <row r="954" spans="1:31" ht="13.15" x14ac:dyDescent="0.4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</row>
    <row r="955" spans="1:31" ht="13.15" x14ac:dyDescent="0.4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</row>
    <row r="956" spans="1:31" ht="13.15" x14ac:dyDescent="0.4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</row>
    <row r="957" spans="1:31" ht="13.15" x14ac:dyDescent="0.4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</row>
    <row r="958" spans="1:31" ht="13.15" x14ac:dyDescent="0.4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</row>
    <row r="959" spans="1:31" ht="13.15" x14ac:dyDescent="0.4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</row>
    <row r="960" spans="1:31" ht="13.15" x14ac:dyDescent="0.4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</row>
    <row r="961" spans="1:31" ht="13.15" x14ac:dyDescent="0.4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</row>
    <row r="962" spans="1:31" ht="13.15" x14ac:dyDescent="0.4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</row>
    <row r="963" spans="1:31" ht="13.15" x14ac:dyDescent="0.4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</row>
    <row r="964" spans="1:31" ht="13.15" x14ac:dyDescent="0.4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</row>
    <row r="965" spans="1:31" ht="13.15" x14ac:dyDescent="0.4"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</row>
    <row r="966" spans="1:31" ht="13.15" x14ac:dyDescent="0.4"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AE1001"/>
  <sheetViews>
    <sheetView workbookViewId="0">
      <pane ySplit="1" topLeftCell="A2" activePane="bottomLeft" state="frozen"/>
      <selection pane="bottomLeft" activeCell="B3" sqref="B3"/>
    </sheetView>
  </sheetViews>
  <sheetFormatPr defaultColWidth="12.59765625" defaultRowHeight="15.75" customHeight="1" x14ac:dyDescent="0.35"/>
  <cols>
    <col min="6" max="6" width="26.86328125" customWidth="1"/>
    <col min="7" max="7" width="16.73046875" customWidth="1"/>
    <col min="8" max="8" width="17.3984375" customWidth="1"/>
    <col min="9" max="9" width="19.1328125" customWidth="1"/>
  </cols>
  <sheetData>
    <row r="1" spans="1:31" ht="15.75" customHeight="1" x14ac:dyDescent="0.4">
      <c r="A1" s="4"/>
      <c r="B1" s="4"/>
      <c r="C1" s="4"/>
      <c r="D1" s="4"/>
      <c r="E1" s="4" t="s">
        <v>0</v>
      </c>
      <c r="F1" s="4" t="s">
        <v>4</v>
      </c>
      <c r="G1" s="4" t="s">
        <v>5</v>
      </c>
      <c r="H1" s="4" t="s">
        <v>6</v>
      </c>
      <c r="I1" s="4" t="s">
        <v>7</v>
      </c>
      <c r="J1" s="4" t="s">
        <v>8</v>
      </c>
      <c r="K1" s="4" t="s">
        <v>9</v>
      </c>
      <c r="L1" s="4" t="s">
        <v>10</v>
      </c>
      <c r="M1" s="4" t="s">
        <v>11</v>
      </c>
      <c r="N1" s="4" t="s">
        <v>12</v>
      </c>
      <c r="O1" s="4" t="s">
        <v>13</v>
      </c>
      <c r="P1" s="4" t="s">
        <v>14</v>
      </c>
      <c r="Q1" s="4" t="s">
        <v>15</v>
      </c>
      <c r="R1" s="4" t="s">
        <v>16</v>
      </c>
      <c r="S1" s="4" t="s">
        <v>74</v>
      </c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ht="15.75" customHeight="1" x14ac:dyDescent="0.4">
      <c r="A2" s="1" t="s">
        <v>3</v>
      </c>
      <c r="B2" s="1" t="s">
        <v>1</v>
      </c>
      <c r="C2" s="2"/>
      <c r="D2" s="2"/>
      <c r="E2" s="2" t="s">
        <v>19</v>
      </c>
      <c r="F2" s="2" t="s">
        <v>75</v>
      </c>
      <c r="G2" s="2" t="s">
        <v>76</v>
      </c>
      <c r="H2" s="2" t="s">
        <v>77</v>
      </c>
      <c r="I2" s="16">
        <v>45355</v>
      </c>
      <c r="J2" s="16">
        <v>45355</v>
      </c>
      <c r="K2" s="2" t="s">
        <v>78</v>
      </c>
      <c r="L2" s="2" t="s">
        <v>79</v>
      </c>
      <c r="M2" s="2" t="s">
        <v>80</v>
      </c>
      <c r="N2" s="2">
        <v>4</v>
      </c>
      <c r="O2" s="2" t="s">
        <v>81</v>
      </c>
      <c r="P2" s="2">
        <v>1</v>
      </c>
      <c r="Q2" s="2">
        <v>1</v>
      </c>
      <c r="R2" s="2">
        <v>1</v>
      </c>
      <c r="S2" s="2">
        <v>1</v>
      </c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</row>
    <row r="3" spans="1:31" ht="15.75" customHeight="1" x14ac:dyDescent="0.4">
      <c r="A3" s="2" t="s">
        <v>82</v>
      </c>
      <c r="B3" s="2">
        <f>COUNTIF($H$2:$H1001,"Damon DiFabio")</f>
        <v>8</v>
      </c>
      <c r="C3" s="2"/>
      <c r="D3" s="2"/>
      <c r="E3" s="2" t="s">
        <v>19</v>
      </c>
      <c r="F3" s="2" t="s">
        <v>83</v>
      </c>
      <c r="G3" s="2" t="s">
        <v>84</v>
      </c>
      <c r="H3" s="2" t="s">
        <v>77</v>
      </c>
      <c r="I3" s="16">
        <v>45355</v>
      </c>
      <c r="J3" s="16">
        <v>45356</v>
      </c>
      <c r="K3" s="2" t="s">
        <v>85</v>
      </c>
      <c r="L3" s="2" t="s">
        <v>86</v>
      </c>
      <c r="M3" s="2" t="s">
        <v>80</v>
      </c>
      <c r="N3" s="2">
        <v>4</v>
      </c>
      <c r="O3" s="2" t="s">
        <v>81</v>
      </c>
      <c r="P3" s="2">
        <v>1</v>
      </c>
      <c r="Q3" s="2">
        <v>1</v>
      </c>
      <c r="R3" s="2">
        <v>1</v>
      </c>
      <c r="S3" s="2">
        <v>1</v>
      </c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</row>
    <row r="4" spans="1:31" ht="15.75" customHeight="1" x14ac:dyDescent="0.4">
      <c r="A4" s="2" t="s">
        <v>31</v>
      </c>
      <c r="B4" s="2">
        <f>COUNTIF($H$2:$H1001,"Noah Belcik")</f>
        <v>12</v>
      </c>
      <c r="C4" s="2"/>
      <c r="D4" s="2"/>
      <c r="E4" s="2" t="s">
        <v>19</v>
      </c>
      <c r="F4" s="2" t="s">
        <v>75</v>
      </c>
      <c r="G4" s="2" t="s">
        <v>87</v>
      </c>
      <c r="H4" s="2" t="s">
        <v>77</v>
      </c>
      <c r="I4" s="16">
        <v>45356</v>
      </c>
      <c r="J4" s="16">
        <v>45357</v>
      </c>
      <c r="K4" s="2" t="s">
        <v>78</v>
      </c>
      <c r="L4" s="2" t="s">
        <v>88</v>
      </c>
      <c r="M4" s="2" t="s">
        <v>80</v>
      </c>
      <c r="N4" s="2">
        <v>5.5</v>
      </c>
      <c r="O4" s="2" t="s">
        <v>81</v>
      </c>
      <c r="P4" s="2">
        <v>1</v>
      </c>
      <c r="Q4" s="2">
        <v>1.5</v>
      </c>
      <c r="R4" s="2">
        <v>2</v>
      </c>
      <c r="S4" s="2">
        <v>1</v>
      </c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</row>
    <row r="5" spans="1:31" ht="15.75" customHeight="1" x14ac:dyDescent="0.4">
      <c r="A5" s="2" t="s">
        <v>32</v>
      </c>
      <c r="B5" s="2">
        <f>COUNTIF($H$2:$H1001,"Patrick Hellman")</f>
        <v>9</v>
      </c>
      <c r="C5" s="2"/>
      <c r="D5" s="2"/>
      <c r="E5" s="2" t="s">
        <v>19</v>
      </c>
      <c r="F5" s="2" t="s">
        <v>89</v>
      </c>
      <c r="G5" s="2" t="s">
        <v>90</v>
      </c>
      <c r="H5" s="2" t="s">
        <v>77</v>
      </c>
      <c r="I5" s="16">
        <v>45356</v>
      </c>
      <c r="J5" s="16">
        <v>45356</v>
      </c>
      <c r="K5" s="2" t="s">
        <v>85</v>
      </c>
      <c r="L5" s="2"/>
      <c r="M5" s="2"/>
      <c r="N5" s="2">
        <v>8.5</v>
      </c>
      <c r="O5" s="2" t="s">
        <v>91</v>
      </c>
      <c r="P5" s="2">
        <v>2</v>
      </c>
      <c r="Q5" s="2">
        <v>4</v>
      </c>
      <c r="R5" s="2">
        <v>2.5</v>
      </c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</row>
    <row r="6" spans="1:31" ht="15.75" customHeight="1" x14ac:dyDescent="0.4">
      <c r="A6" s="2" t="s">
        <v>33</v>
      </c>
      <c r="B6" s="2">
        <f>COUNTIF($H$2:$H1001,"Sean Langner")</f>
        <v>8</v>
      </c>
      <c r="C6" s="2"/>
      <c r="D6" s="2"/>
      <c r="E6" s="2" t="s">
        <v>19</v>
      </c>
      <c r="F6" s="2" t="s">
        <v>92</v>
      </c>
      <c r="G6" s="2" t="s">
        <v>93</v>
      </c>
      <c r="H6" s="2" t="s">
        <v>77</v>
      </c>
      <c r="I6" s="16">
        <v>45357</v>
      </c>
      <c r="J6" s="16">
        <v>45357</v>
      </c>
      <c r="K6" s="2" t="s">
        <v>85</v>
      </c>
      <c r="L6" s="2" t="s">
        <v>94</v>
      </c>
      <c r="M6" s="2" t="s">
        <v>95</v>
      </c>
      <c r="N6" s="2">
        <v>8</v>
      </c>
      <c r="O6" s="2" t="s">
        <v>91</v>
      </c>
      <c r="P6" s="2">
        <v>2</v>
      </c>
      <c r="Q6" s="2">
        <v>3</v>
      </c>
      <c r="R6" s="2">
        <v>3</v>
      </c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</row>
    <row r="7" spans="1:31" ht="15.75" customHeight="1" x14ac:dyDescent="0.4">
      <c r="A7" s="2" t="s">
        <v>34</v>
      </c>
      <c r="B7" s="2">
        <f>COUNTIF($H$2:$H1001,"Stephanie McClendon")</f>
        <v>9</v>
      </c>
      <c r="C7" s="2"/>
      <c r="D7" s="2"/>
      <c r="E7" s="2" t="s">
        <v>19</v>
      </c>
      <c r="F7" s="2" t="s">
        <v>89</v>
      </c>
      <c r="G7" s="2" t="s">
        <v>96</v>
      </c>
      <c r="H7" s="2" t="s">
        <v>77</v>
      </c>
      <c r="I7" s="16">
        <v>45357</v>
      </c>
      <c r="J7" s="16">
        <v>45357</v>
      </c>
      <c r="K7" s="2" t="s">
        <v>78</v>
      </c>
      <c r="L7" s="2"/>
      <c r="M7" s="2"/>
      <c r="N7" s="2">
        <v>7</v>
      </c>
      <c r="O7" s="2" t="s">
        <v>97</v>
      </c>
      <c r="P7" s="2">
        <v>2</v>
      </c>
      <c r="Q7" s="2">
        <v>3.5</v>
      </c>
      <c r="R7" s="2">
        <v>1.5</v>
      </c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</row>
    <row r="8" spans="1:31" ht="15.75" customHeight="1" x14ac:dyDescent="0.4">
      <c r="A8" s="4" t="s">
        <v>29</v>
      </c>
      <c r="B8" s="4">
        <f>SUM(B3:B7)</f>
        <v>46</v>
      </c>
      <c r="C8" s="2"/>
      <c r="D8" s="2"/>
      <c r="E8" s="2" t="s">
        <v>19</v>
      </c>
      <c r="F8" s="2" t="s">
        <v>75</v>
      </c>
      <c r="G8" s="2" t="s">
        <v>98</v>
      </c>
      <c r="H8" s="2" t="s">
        <v>77</v>
      </c>
      <c r="I8" s="16">
        <v>45358</v>
      </c>
      <c r="J8" s="16">
        <v>45358</v>
      </c>
      <c r="K8" s="2" t="s">
        <v>78</v>
      </c>
      <c r="L8" s="2" t="s">
        <v>99</v>
      </c>
      <c r="M8" s="2" t="s">
        <v>95</v>
      </c>
      <c r="N8" s="2">
        <v>5</v>
      </c>
      <c r="O8" s="2" t="s">
        <v>81</v>
      </c>
      <c r="P8" s="2">
        <v>1</v>
      </c>
      <c r="Q8" s="2">
        <v>1.5</v>
      </c>
      <c r="R8" s="2">
        <v>1.5</v>
      </c>
      <c r="S8" s="2">
        <v>1</v>
      </c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</row>
    <row r="9" spans="1:31" ht="15.75" customHeight="1" x14ac:dyDescent="0.4">
      <c r="A9" s="2"/>
      <c r="B9" s="2"/>
      <c r="C9" s="2"/>
      <c r="D9" s="2"/>
      <c r="E9" s="2" t="s">
        <v>19</v>
      </c>
      <c r="F9" s="2" t="s">
        <v>100</v>
      </c>
      <c r="G9" s="2" t="s">
        <v>101</v>
      </c>
      <c r="H9" s="2" t="s">
        <v>77</v>
      </c>
      <c r="I9" s="16">
        <v>45358</v>
      </c>
      <c r="J9" s="16"/>
      <c r="K9" s="2" t="s">
        <v>85</v>
      </c>
      <c r="L9" s="2" t="s">
        <v>88</v>
      </c>
      <c r="M9" s="2"/>
      <c r="N9" s="2">
        <v>5</v>
      </c>
      <c r="O9" s="2" t="s">
        <v>97</v>
      </c>
      <c r="P9" s="2">
        <v>2</v>
      </c>
      <c r="Q9" s="2">
        <v>2</v>
      </c>
      <c r="R9" s="2">
        <v>1</v>
      </c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</row>
    <row r="10" spans="1:31" ht="15.75" customHeight="1" x14ac:dyDescent="0.4">
      <c r="A10" s="2"/>
      <c r="B10" s="2"/>
      <c r="C10" s="2"/>
      <c r="D10" s="2"/>
      <c r="E10" s="2" t="s">
        <v>19</v>
      </c>
      <c r="F10" s="2" t="s">
        <v>92</v>
      </c>
      <c r="G10" s="2" t="s">
        <v>102</v>
      </c>
      <c r="H10" s="2" t="s">
        <v>103</v>
      </c>
      <c r="I10" s="16">
        <v>45355</v>
      </c>
      <c r="J10" s="16"/>
      <c r="K10" s="2" t="s">
        <v>78</v>
      </c>
      <c r="L10" s="2" t="s">
        <v>88</v>
      </c>
      <c r="M10" s="2" t="s">
        <v>95</v>
      </c>
      <c r="N10" s="2">
        <v>8</v>
      </c>
      <c r="O10" s="2" t="s">
        <v>91</v>
      </c>
      <c r="P10" s="2">
        <v>2</v>
      </c>
      <c r="Q10" s="2">
        <v>3</v>
      </c>
      <c r="R10" s="2">
        <v>3</v>
      </c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</row>
    <row r="11" spans="1:31" ht="15.75" customHeight="1" x14ac:dyDescent="0.4">
      <c r="A11" s="1" t="s">
        <v>13</v>
      </c>
      <c r="B11" s="1" t="s">
        <v>104</v>
      </c>
      <c r="C11" s="1" t="s">
        <v>105</v>
      </c>
      <c r="D11" s="2"/>
      <c r="E11" s="2" t="s">
        <v>19</v>
      </c>
      <c r="F11" s="2" t="s">
        <v>92</v>
      </c>
      <c r="G11" s="2" t="s">
        <v>106</v>
      </c>
      <c r="H11" s="2" t="s">
        <v>103</v>
      </c>
      <c r="I11" s="16">
        <v>45355</v>
      </c>
      <c r="J11" s="16">
        <v>45356</v>
      </c>
      <c r="K11" s="2" t="s">
        <v>85</v>
      </c>
      <c r="L11" s="2" t="s">
        <v>107</v>
      </c>
      <c r="M11" s="2" t="s">
        <v>108</v>
      </c>
      <c r="N11" s="2">
        <v>5.5</v>
      </c>
      <c r="O11" s="2" t="s">
        <v>81</v>
      </c>
      <c r="P11" s="2">
        <v>1.5</v>
      </c>
      <c r="Q11" s="2">
        <v>2.5</v>
      </c>
      <c r="R11" s="2">
        <v>1.5</v>
      </c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</row>
    <row r="12" spans="1:31" ht="15.75" customHeight="1" x14ac:dyDescent="0.4">
      <c r="A12" s="2" t="s">
        <v>109</v>
      </c>
      <c r="B12" s="3">
        <f>C12/B8</f>
        <v>0.78260869565217395</v>
      </c>
      <c r="C12" s="2">
        <f>(COUNTIF($O$2:$O1001,"Proficient I"))+(COUNTIF($O$2:$O1001,"Proficient II"))+(COUNTIF($O$2:$O1001,"Exemplary"))</f>
        <v>36</v>
      </c>
      <c r="D12" s="2"/>
      <c r="E12" s="2" t="s">
        <v>19</v>
      </c>
      <c r="F12" s="2" t="s">
        <v>75</v>
      </c>
      <c r="G12" s="2" t="s">
        <v>110</v>
      </c>
      <c r="H12" s="2" t="s">
        <v>103</v>
      </c>
      <c r="I12" s="16">
        <v>45355</v>
      </c>
      <c r="J12" s="16">
        <v>45355</v>
      </c>
      <c r="K12" s="2" t="s">
        <v>85</v>
      </c>
      <c r="L12" s="2" t="s">
        <v>107</v>
      </c>
      <c r="M12" s="2" t="s">
        <v>80</v>
      </c>
      <c r="N12" s="2">
        <v>8.5</v>
      </c>
      <c r="O12" s="2" t="s">
        <v>91</v>
      </c>
      <c r="P12" s="2">
        <v>1</v>
      </c>
      <c r="Q12" s="2">
        <v>2.5</v>
      </c>
      <c r="R12" s="2">
        <v>3</v>
      </c>
      <c r="S12" s="2">
        <v>2</v>
      </c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</row>
    <row r="13" spans="1:31" ht="15.75" customHeight="1" x14ac:dyDescent="0.4">
      <c r="A13" s="2" t="s">
        <v>111</v>
      </c>
      <c r="B13" s="3">
        <f>C13/B8</f>
        <v>0.21739130434782608</v>
      </c>
      <c r="C13" s="2">
        <f>(COUNTIF($O$2:$O1001,"Unsatisfactory"))+(COUNTIF($O$2:$O1001,"Progressing"))</f>
        <v>10</v>
      </c>
      <c r="D13" s="2"/>
      <c r="E13" s="2" t="s">
        <v>19</v>
      </c>
      <c r="F13" s="2" t="s">
        <v>75</v>
      </c>
      <c r="G13" s="2" t="s">
        <v>112</v>
      </c>
      <c r="H13" s="2" t="s">
        <v>103</v>
      </c>
      <c r="I13" s="16">
        <v>45356</v>
      </c>
      <c r="J13" s="16">
        <v>45357</v>
      </c>
      <c r="K13" s="2" t="s">
        <v>78</v>
      </c>
      <c r="L13" s="2" t="s">
        <v>113</v>
      </c>
      <c r="M13" s="2" t="s">
        <v>80</v>
      </c>
      <c r="N13" s="2">
        <v>7</v>
      </c>
      <c r="O13" s="2" t="s">
        <v>97</v>
      </c>
      <c r="P13" s="2">
        <v>1</v>
      </c>
      <c r="Q13" s="2">
        <v>2</v>
      </c>
      <c r="R13" s="2">
        <v>2.5</v>
      </c>
      <c r="S13" s="2">
        <v>1.5</v>
      </c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</row>
    <row r="14" spans="1:31" ht="15.75" customHeight="1" x14ac:dyDescent="0.4">
      <c r="A14" s="2"/>
      <c r="B14" s="2"/>
      <c r="C14" s="2"/>
      <c r="D14" s="2"/>
      <c r="E14" s="2" t="s">
        <v>19</v>
      </c>
      <c r="F14" s="2" t="s">
        <v>75</v>
      </c>
      <c r="G14" s="2" t="s">
        <v>114</v>
      </c>
      <c r="H14" s="2" t="s">
        <v>103</v>
      </c>
      <c r="I14" s="16">
        <v>45356</v>
      </c>
      <c r="J14" s="16">
        <v>45356</v>
      </c>
      <c r="K14" s="2" t="s">
        <v>85</v>
      </c>
      <c r="L14" s="2" t="s">
        <v>115</v>
      </c>
      <c r="M14" s="2" t="s">
        <v>80</v>
      </c>
      <c r="N14" s="2">
        <v>9</v>
      </c>
      <c r="O14" s="2" t="s">
        <v>91</v>
      </c>
      <c r="P14" s="2">
        <v>1</v>
      </c>
      <c r="Q14" s="2">
        <v>2.5</v>
      </c>
      <c r="R14" s="2">
        <v>3.5</v>
      </c>
      <c r="S14" s="2">
        <v>2</v>
      </c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</row>
    <row r="15" spans="1:31" ht="15.75" customHeight="1" x14ac:dyDescent="0.4">
      <c r="A15" s="2"/>
      <c r="B15" s="2"/>
      <c r="C15" s="2"/>
      <c r="D15" s="2"/>
      <c r="E15" s="2" t="s">
        <v>19</v>
      </c>
      <c r="F15" s="2" t="s">
        <v>75</v>
      </c>
      <c r="G15" s="2" t="s">
        <v>116</v>
      </c>
      <c r="H15" s="2" t="s">
        <v>103</v>
      </c>
      <c r="I15" s="16">
        <v>45357</v>
      </c>
      <c r="J15" s="16">
        <v>45357</v>
      </c>
      <c r="K15" s="2" t="s">
        <v>78</v>
      </c>
      <c r="L15" s="2" t="s">
        <v>113</v>
      </c>
      <c r="M15" s="2" t="s">
        <v>117</v>
      </c>
      <c r="N15" s="2">
        <v>6</v>
      </c>
      <c r="O15" s="2" t="s">
        <v>97</v>
      </c>
      <c r="P15" s="2">
        <v>1</v>
      </c>
      <c r="Q15" s="2">
        <v>1.5</v>
      </c>
      <c r="R15" s="2">
        <v>2</v>
      </c>
      <c r="S15" s="2">
        <v>1.5</v>
      </c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</row>
    <row r="16" spans="1:31" ht="15.75" customHeight="1" x14ac:dyDescent="0.4">
      <c r="A16" s="2"/>
      <c r="B16" s="2"/>
      <c r="C16" s="2"/>
      <c r="D16" s="2"/>
      <c r="E16" s="2" t="s">
        <v>19</v>
      </c>
      <c r="F16" s="2" t="s">
        <v>75</v>
      </c>
      <c r="G16" s="2" t="s">
        <v>118</v>
      </c>
      <c r="H16" s="2" t="s">
        <v>103</v>
      </c>
      <c r="I16" s="16">
        <v>45357</v>
      </c>
      <c r="J16" s="16"/>
      <c r="K16" s="2" t="s">
        <v>85</v>
      </c>
      <c r="L16" s="2" t="s">
        <v>107</v>
      </c>
      <c r="M16" s="2" t="s">
        <v>119</v>
      </c>
      <c r="N16" s="2">
        <v>6</v>
      </c>
      <c r="O16" s="2" t="s">
        <v>97</v>
      </c>
      <c r="P16" s="2">
        <v>1</v>
      </c>
      <c r="Q16" s="2">
        <v>2</v>
      </c>
      <c r="R16" s="2">
        <v>1.5</v>
      </c>
      <c r="S16" s="2">
        <v>1.5</v>
      </c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</row>
    <row r="17" spans="1:31" ht="15.75" customHeight="1" x14ac:dyDescent="0.4">
      <c r="A17" s="2"/>
      <c r="B17" s="2"/>
      <c r="C17" s="2"/>
      <c r="D17" s="2"/>
      <c r="E17" s="2" t="s">
        <v>19</v>
      </c>
      <c r="F17" s="2" t="s">
        <v>75</v>
      </c>
      <c r="G17" s="2" t="s">
        <v>120</v>
      </c>
      <c r="H17" s="2" t="s">
        <v>103</v>
      </c>
      <c r="I17" s="16">
        <v>45358</v>
      </c>
      <c r="J17" s="16">
        <v>45358</v>
      </c>
      <c r="K17" s="2" t="s">
        <v>85</v>
      </c>
      <c r="L17" s="2" t="s">
        <v>107</v>
      </c>
      <c r="M17" s="2" t="s">
        <v>95</v>
      </c>
      <c r="N17" s="2">
        <v>8</v>
      </c>
      <c r="O17" s="2" t="s">
        <v>91</v>
      </c>
      <c r="P17" s="2">
        <v>1</v>
      </c>
      <c r="Q17" s="2">
        <v>2</v>
      </c>
      <c r="R17" s="2">
        <v>3.5</v>
      </c>
      <c r="S17" s="2">
        <v>1.5</v>
      </c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</row>
    <row r="18" spans="1:31" ht="15.75" customHeight="1" x14ac:dyDescent="0.4">
      <c r="A18" s="2"/>
      <c r="B18" s="2"/>
      <c r="C18" s="2"/>
      <c r="D18" s="2"/>
      <c r="E18" s="2" t="s">
        <v>19</v>
      </c>
      <c r="F18" s="2" t="s">
        <v>89</v>
      </c>
      <c r="G18" s="2" t="s">
        <v>121</v>
      </c>
      <c r="H18" s="2" t="s">
        <v>103</v>
      </c>
      <c r="I18" s="16">
        <v>45358</v>
      </c>
      <c r="J18" s="16">
        <v>45358</v>
      </c>
      <c r="K18" s="2" t="s">
        <v>78</v>
      </c>
      <c r="L18" s="2"/>
      <c r="M18" s="2"/>
      <c r="N18" s="2">
        <v>7.5</v>
      </c>
      <c r="O18" s="2" t="s">
        <v>97</v>
      </c>
      <c r="P18" s="2">
        <v>2</v>
      </c>
      <c r="Q18" s="2">
        <v>3</v>
      </c>
      <c r="R18" s="2">
        <v>2.5</v>
      </c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</row>
    <row r="19" spans="1:31" ht="15.75" customHeight="1" x14ac:dyDescent="0.4">
      <c r="A19" s="2"/>
      <c r="B19" s="2"/>
      <c r="C19" s="2"/>
      <c r="D19" s="2"/>
      <c r="E19" s="2" t="s">
        <v>19</v>
      </c>
      <c r="F19" s="2" t="s">
        <v>75</v>
      </c>
      <c r="G19" s="2" t="s">
        <v>122</v>
      </c>
      <c r="H19" s="2" t="s">
        <v>103</v>
      </c>
      <c r="I19" s="16">
        <v>45359</v>
      </c>
      <c r="J19" s="16"/>
      <c r="K19" s="2" t="s">
        <v>85</v>
      </c>
      <c r="L19" s="2" t="s">
        <v>113</v>
      </c>
      <c r="M19" s="2" t="s">
        <v>108</v>
      </c>
      <c r="N19" s="2">
        <v>3</v>
      </c>
      <c r="O19" s="2" t="s">
        <v>123</v>
      </c>
      <c r="P19" s="2">
        <v>1</v>
      </c>
      <c r="Q19" s="2">
        <v>0</v>
      </c>
      <c r="R19" s="2">
        <v>2</v>
      </c>
      <c r="S19" s="2">
        <v>0</v>
      </c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</row>
    <row r="20" spans="1:31" ht="15.75" customHeight="1" x14ac:dyDescent="0.4">
      <c r="A20" s="2"/>
      <c r="B20" s="2"/>
      <c r="C20" s="2"/>
      <c r="D20" s="2"/>
      <c r="E20" s="2" t="s">
        <v>19</v>
      </c>
      <c r="F20" s="2" t="s">
        <v>89</v>
      </c>
      <c r="G20" s="2" t="s">
        <v>124</v>
      </c>
      <c r="H20" s="2" t="s">
        <v>103</v>
      </c>
      <c r="I20" s="16">
        <v>45359</v>
      </c>
      <c r="J20" s="16"/>
      <c r="K20" s="2" t="s">
        <v>85</v>
      </c>
      <c r="L20" s="2"/>
      <c r="M20" s="2"/>
      <c r="N20" s="2">
        <v>9.5</v>
      </c>
      <c r="O20" s="2" t="s">
        <v>91</v>
      </c>
      <c r="P20" s="2">
        <v>2</v>
      </c>
      <c r="Q20" s="2">
        <v>5</v>
      </c>
      <c r="R20" s="2">
        <v>2.5</v>
      </c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</row>
    <row r="21" spans="1:31" ht="15.75" customHeight="1" x14ac:dyDescent="0.4">
      <c r="A21" s="2"/>
      <c r="B21" s="2"/>
      <c r="C21" s="2"/>
      <c r="D21" s="2"/>
      <c r="E21" s="2" t="s">
        <v>19</v>
      </c>
      <c r="F21" s="2" t="s">
        <v>89</v>
      </c>
      <c r="G21" s="2" t="s">
        <v>125</v>
      </c>
      <c r="H21" s="2" t="s">
        <v>103</v>
      </c>
      <c r="I21" s="16">
        <v>45359</v>
      </c>
      <c r="J21" s="16"/>
      <c r="K21" s="2" t="s">
        <v>78</v>
      </c>
      <c r="L21" s="2"/>
      <c r="M21" s="2"/>
      <c r="N21" s="2">
        <v>7</v>
      </c>
      <c r="O21" s="2" t="s">
        <v>97</v>
      </c>
      <c r="P21" s="2">
        <v>2</v>
      </c>
      <c r="Q21" s="2">
        <v>3</v>
      </c>
      <c r="R21" s="2">
        <v>2</v>
      </c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</row>
    <row r="22" spans="1:31" ht="15.75" customHeight="1" x14ac:dyDescent="0.4">
      <c r="A22" s="2"/>
      <c r="B22" s="2"/>
      <c r="C22" s="2"/>
      <c r="D22" s="2"/>
      <c r="E22" s="2" t="s">
        <v>19</v>
      </c>
      <c r="F22" s="2" t="s">
        <v>75</v>
      </c>
      <c r="G22" s="2" t="s">
        <v>126</v>
      </c>
      <c r="H22" s="2" t="s">
        <v>127</v>
      </c>
      <c r="I22" s="16">
        <v>45355</v>
      </c>
      <c r="J22" s="16">
        <v>45355</v>
      </c>
      <c r="K22" s="2" t="s">
        <v>85</v>
      </c>
      <c r="L22" s="2" t="s">
        <v>88</v>
      </c>
      <c r="M22" s="2" t="s">
        <v>95</v>
      </c>
      <c r="N22" s="2">
        <v>7</v>
      </c>
      <c r="O22" s="2" t="s">
        <v>97</v>
      </c>
      <c r="P22" s="2">
        <v>1</v>
      </c>
      <c r="Q22" s="2">
        <v>2.5</v>
      </c>
      <c r="R22" s="2">
        <v>2.5</v>
      </c>
      <c r="S22" s="2">
        <v>1</v>
      </c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</row>
    <row r="23" spans="1:31" ht="15.75" customHeight="1" x14ac:dyDescent="0.4">
      <c r="A23" s="2"/>
      <c r="B23" s="2"/>
      <c r="C23" s="2"/>
      <c r="D23" s="2"/>
      <c r="E23" s="2" t="s">
        <v>19</v>
      </c>
      <c r="F23" s="2" t="s">
        <v>75</v>
      </c>
      <c r="G23" s="2" t="s">
        <v>128</v>
      </c>
      <c r="H23" s="2" t="s">
        <v>127</v>
      </c>
      <c r="I23" s="16">
        <v>45355</v>
      </c>
      <c r="J23" s="16"/>
      <c r="K23" s="2" t="s">
        <v>78</v>
      </c>
      <c r="L23" s="2" t="s">
        <v>79</v>
      </c>
      <c r="M23" s="2" t="s">
        <v>95</v>
      </c>
      <c r="N23" s="2">
        <v>6</v>
      </c>
      <c r="O23" s="2" t="s">
        <v>97</v>
      </c>
      <c r="P23" s="2">
        <v>1</v>
      </c>
      <c r="Q23" s="2">
        <v>2</v>
      </c>
      <c r="R23" s="2">
        <v>2</v>
      </c>
      <c r="S23" s="2">
        <v>1</v>
      </c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</row>
    <row r="24" spans="1:31" ht="15.75" customHeight="1" x14ac:dyDescent="0.4">
      <c r="A24" s="2"/>
      <c r="B24" s="2"/>
      <c r="C24" s="2"/>
      <c r="D24" s="2"/>
      <c r="E24" s="2" t="s">
        <v>19</v>
      </c>
      <c r="F24" s="2" t="s">
        <v>75</v>
      </c>
      <c r="G24" s="2" t="s">
        <v>98</v>
      </c>
      <c r="H24" s="2" t="s">
        <v>127</v>
      </c>
      <c r="I24" s="16">
        <v>45357</v>
      </c>
      <c r="J24" s="16">
        <v>45357</v>
      </c>
      <c r="K24" s="2" t="s">
        <v>85</v>
      </c>
      <c r="L24" s="2" t="s">
        <v>99</v>
      </c>
      <c r="M24" s="2" t="s">
        <v>95</v>
      </c>
      <c r="N24" s="2">
        <v>4.5</v>
      </c>
      <c r="O24" s="2" t="s">
        <v>81</v>
      </c>
      <c r="P24" s="2">
        <v>1</v>
      </c>
      <c r="Q24" s="2">
        <v>1</v>
      </c>
      <c r="R24" s="2">
        <v>1.5</v>
      </c>
      <c r="S24" s="2">
        <v>1</v>
      </c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</row>
    <row r="25" spans="1:31" ht="15.75" customHeight="1" x14ac:dyDescent="0.4">
      <c r="A25" s="2"/>
      <c r="B25" s="2"/>
      <c r="C25" s="2"/>
      <c r="D25" s="2"/>
      <c r="E25" s="2" t="s">
        <v>19</v>
      </c>
      <c r="F25" s="2" t="s">
        <v>89</v>
      </c>
      <c r="G25" s="2" t="s">
        <v>90</v>
      </c>
      <c r="H25" s="2" t="s">
        <v>127</v>
      </c>
      <c r="I25" s="16">
        <v>45357</v>
      </c>
      <c r="J25" s="16"/>
      <c r="K25" s="2" t="s">
        <v>78</v>
      </c>
      <c r="L25" s="2"/>
      <c r="M25" s="2"/>
      <c r="N25" s="2">
        <v>10</v>
      </c>
      <c r="O25" s="2" t="s">
        <v>129</v>
      </c>
      <c r="P25" s="2">
        <v>2</v>
      </c>
      <c r="Q25" s="2">
        <v>5</v>
      </c>
      <c r="R25" s="2">
        <v>3</v>
      </c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</row>
    <row r="26" spans="1:31" ht="15.75" customHeight="1" x14ac:dyDescent="0.4">
      <c r="A26" s="2"/>
      <c r="B26" s="2"/>
      <c r="C26" s="2"/>
      <c r="D26" s="2"/>
      <c r="E26" s="2" t="s">
        <v>19</v>
      </c>
      <c r="F26" s="2" t="s">
        <v>92</v>
      </c>
      <c r="G26" s="2" t="s">
        <v>130</v>
      </c>
      <c r="H26" s="2" t="s">
        <v>127</v>
      </c>
      <c r="I26" s="16">
        <v>45359</v>
      </c>
      <c r="J26" s="16">
        <v>45359</v>
      </c>
      <c r="K26" s="2" t="s">
        <v>85</v>
      </c>
      <c r="L26" s="2" t="s">
        <v>99</v>
      </c>
      <c r="M26" s="2" t="s">
        <v>108</v>
      </c>
      <c r="N26" s="2">
        <v>6.5</v>
      </c>
      <c r="O26" s="2" t="s">
        <v>97</v>
      </c>
      <c r="P26" s="2">
        <v>2</v>
      </c>
      <c r="Q26" s="2">
        <v>2</v>
      </c>
      <c r="R26" s="2">
        <v>2.5</v>
      </c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</row>
    <row r="27" spans="1:31" ht="15.75" customHeight="1" x14ac:dyDescent="0.4">
      <c r="A27" s="2"/>
      <c r="B27" s="2"/>
      <c r="C27" s="2"/>
      <c r="D27" s="2"/>
      <c r="E27" s="2" t="s">
        <v>19</v>
      </c>
      <c r="F27" s="2" t="s">
        <v>75</v>
      </c>
      <c r="G27" s="2" t="s">
        <v>131</v>
      </c>
      <c r="H27" s="2" t="s">
        <v>127</v>
      </c>
      <c r="I27" s="16">
        <v>45359</v>
      </c>
      <c r="J27" s="16"/>
      <c r="K27" s="2" t="s">
        <v>85</v>
      </c>
      <c r="L27" s="2" t="s">
        <v>99</v>
      </c>
      <c r="M27" s="2" t="s">
        <v>80</v>
      </c>
      <c r="N27" s="2">
        <v>5.5</v>
      </c>
      <c r="O27" s="2" t="s">
        <v>81</v>
      </c>
      <c r="P27" s="2">
        <v>1</v>
      </c>
      <c r="Q27" s="2">
        <v>1.5</v>
      </c>
      <c r="R27" s="2">
        <v>2</v>
      </c>
      <c r="S27" s="2">
        <v>1</v>
      </c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</row>
    <row r="28" spans="1:31" ht="15.75" customHeight="1" x14ac:dyDescent="0.4">
      <c r="A28" s="2"/>
      <c r="B28" s="2"/>
      <c r="C28" s="2"/>
      <c r="D28" s="2"/>
      <c r="E28" s="2" t="s">
        <v>19</v>
      </c>
      <c r="F28" s="2" t="s">
        <v>89</v>
      </c>
      <c r="G28" s="2" t="s">
        <v>132</v>
      </c>
      <c r="H28" s="2" t="s">
        <v>127</v>
      </c>
      <c r="I28" s="16">
        <v>45359</v>
      </c>
      <c r="J28" s="16"/>
      <c r="K28" s="2" t="s">
        <v>85</v>
      </c>
      <c r="L28" s="2"/>
      <c r="M28" s="2"/>
      <c r="N28" s="2">
        <v>9</v>
      </c>
      <c r="O28" s="2" t="s">
        <v>91</v>
      </c>
      <c r="P28" s="2">
        <v>2</v>
      </c>
      <c r="Q28" s="2">
        <v>4</v>
      </c>
      <c r="R28" s="2">
        <v>3</v>
      </c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</row>
    <row r="29" spans="1:31" ht="15.75" customHeight="1" x14ac:dyDescent="0.4">
      <c r="A29" s="2"/>
      <c r="B29" s="2"/>
      <c r="C29" s="2"/>
      <c r="D29" s="2"/>
      <c r="E29" s="2" t="s">
        <v>19</v>
      </c>
      <c r="F29" s="2" t="s">
        <v>89</v>
      </c>
      <c r="G29" s="2" t="s">
        <v>133</v>
      </c>
      <c r="H29" s="2" t="s">
        <v>127</v>
      </c>
      <c r="I29" s="16">
        <v>45359</v>
      </c>
      <c r="J29" s="16"/>
      <c r="K29" s="2" t="s">
        <v>85</v>
      </c>
      <c r="L29" s="2"/>
      <c r="M29" s="2"/>
      <c r="N29" s="2">
        <v>9</v>
      </c>
      <c r="O29" s="2" t="s">
        <v>91</v>
      </c>
      <c r="P29" s="2">
        <v>2</v>
      </c>
      <c r="Q29" s="2">
        <v>4</v>
      </c>
      <c r="R29" s="2">
        <v>3</v>
      </c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</row>
    <row r="30" spans="1:31" ht="15.75" customHeight="1" x14ac:dyDescent="0.4">
      <c r="A30" s="2"/>
      <c r="B30" s="2"/>
      <c r="C30" s="2"/>
      <c r="D30" s="2"/>
      <c r="E30" s="2" t="s">
        <v>19</v>
      </c>
      <c r="F30" s="2" t="s">
        <v>89</v>
      </c>
      <c r="G30" s="2" t="s">
        <v>121</v>
      </c>
      <c r="H30" s="2" t="s">
        <v>127</v>
      </c>
      <c r="I30" s="16">
        <v>45359</v>
      </c>
      <c r="J30" s="16">
        <v>45359</v>
      </c>
      <c r="K30" s="2" t="s">
        <v>85</v>
      </c>
      <c r="L30" s="2"/>
      <c r="M30" s="2"/>
      <c r="N30" s="2">
        <v>9</v>
      </c>
      <c r="O30" s="2" t="s">
        <v>91</v>
      </c>
      <c r="P30" s="2">
        <v>2</v>
      </c>
      <c r="Q30" s="2">
        <v>4.5</v>
      </c>
      <c r="R30" s="2">
        <v>2.5</v>
      </c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</row>
    <row r="31" spans="1:31" ht="15.75" customHeight="1" x14ac:dyDescent="0.4">
      <c r="A31" s="2"/>
      <c r="B31" s="2"/>
      <c r="C31" s="2"/>
      <c r="D31" s="2"/>
      <c r="E31" s="2" t="s">
        <v>19</v>
      </c>
      <c r="F31" s="2" t="s">
        <v>89</v>
      </c>
      <c r="G31" s="2" t="s">
        <v>133</v>
      </c>
      <c r="H31" s="2" t="s">
        <v>134</v>
      </c>
      <c r="I31" s="16">
        <v>45355</v>
      </c>
      <c r="J31" s="16"/>
      <c r="K31" s="2" t="s">
        <v>78</v>
      </c>
      <c r="L31" s="2"/>
      <c r="M31" s="2"/>
      <c r="N31" s="2">
        <v>7.5</v>
      </c>
      <c r="O31" s="2" t="s">
        <v>97</v>
      </c>
      <c r="P31" s="2">
        <v>2</v>
      </c>
      <c r="Q31" s="2">
        <v>3.5</v>
      </c>
      <c r="R31" s="2">
        <v>2</v>
      </c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</row>
    <row r="32" spans="1:31" ht="15.75" customHeight="1" x14ac:dyDescent="0.4">
      <c r="A32" s="2"/>
      <c r="B32" s="2"/>
      <c r="C32" s="2"/>
      <c r="D32" s="2"/>
      <c r="E32" s="2" t="s">
        <v>19</v>
      </c>
      <c r="F32" s="2" t="s">
        <v>92</v>
      </c>
      <c r="G32" s="2" t="s">
        <v>135</v>
      </c>
      <c r="H32" s="2" t="s">
        <v>134</v>
      </c>
      <c r="I32" s="16">
        <v>45356</v>
      </c>
      <c r="J32" s="16">
        <v>45356</v>
      </c>
      <c r="K32" s="2" t="s">
        <v>85</v>
      </c>
      <c r="L32" s="2" t="s">
        <v>99</v>
      </c>
      <c r="M32" s="2" t="s">
        <v>95</v>
      </c>
      <c r="N32" s="2">
        <v>5</v>
      </c>
      <c r="O32" s="2" t="s">
        <v>81</v>
      </c>
      <c r="P32" s="2">
        <v>2</v>
      </c>
      <c r="Q32" s="2">
        <v>1.5</v>
      </c>
      <c r="R32" s="2">
        <v>1.5</v>
      </c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</row>
    <row r="33" spans="1:31" ht="15.75" customHeight="1" x14ac:dyDescent="0.4">
      <c r="A33" s="2"/>
      <c r="B33" s="2"/>
      <c r="C33" s="2"/>
      <c r="D33" s="2"/>
      <c r="E33" s="2" t="s">
        <v>19</v>
      </c>
      <c r="F33" s="2" t="s">
        <v>92</v>
      </c>
      <c r="G33" s="2" t="s">
        <v>130</v>
      </c>
      <c r="H33" s="2" t="s">
        <v>134</v>
      </c>
      <c r="I33" s="16">
        <v>45357</v>
      </c>
      <c r="J33" s="16">
        <v>45357</v>
      </c>
      <c r="K33" s="2" t="s">
        <v>85</v>
      </c>
      <c r="L33" s="2" t="s">
        <v>99</v>
      </c>
      <c r="M33" s="2" t="s">
        <v>108</v>
      </c>
      <c r="N33" s="2">
        <v>7</v>
      </c>
      <c r="O33" s="2" t="s">
        <v>97</v>
      </c>
      <c r="P33" s="2">
        <v>2</v>
      </c>
      <c r="Q33" s="2">
        <v>2.5</v>
      </c>
      <c r="R33" s="2">
        <v>2.5</v>
      </c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</row>
    <row r="34" spans="1:31" ht="15.75" customHeight="1" x14ac:dyDescent="0.4">
      <c r="A34" s="2"/>
      <c r="B34" s="2"/>
      <c r="C34" s="2"/>
      <c r="D34" s="2"/>
      <c r="E34" s="2" t="s">
        <v>19</v>
      </c>
      <c r="F34" s="2" t="s">
        <v>83</v>
      </c>
      <c r="G34" s="2" t="s">
        <v>136</v>
      </c>
      <c r="H34" s="2" t="s">
        <v>134</v>
      </c>
      <c r="I34" s="16">
        <v>45357</v>
      </c>
      <c r="J34" s="16"/>
      <c r="K34" s="2" t="s">
        <v>85</v>
      </c>
      <c r="L34" s="2" t="s">
        <v>86</v>
      </c>
      <c r="M34" s="2" t="s">
        <v>80</v>
      </c>
      <c r="N34" s="2">
        <v>7.5</v>
      </c>
      <c r="O34" s="2" t="s">
        <v>97</v>
      </c>
      <c r="P34" s="2">
        <v>1</v>
      </c>
      <c r="Q34" s="2">
        <v>2</v>
      </c>
      <c r="R34" s="2">
        <v>3</v>
      </c>
      <c r="S34" s="2">
        <v>1.5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</row>
    <row r="35" spans="1:31" ht="13.15" x14ac:dyDescent="0.4">
      <c r="A35" s="2"/>
      <c r="B35" s="2"/>
      <c r="C35" s="2"/>
      <c r="D35" s="2"/>
      <c r="E35" s="2" t="s">
        <v>19</v>
      </c>
      <c r="F35" s="2" t="s">
        <v>75</v>
      </c>
      <c r="G35" s="2" t="s">
        <v>126</v>
      </c>
      <c r="H35" s="2" t="s">
        <v>134</v>
      </c>
      <c r="I35" s="16">
        <v>45358</v>
      </c>
      <c r="J35" s="16">
        <v>45358</v>
      </c>
      <c r="K35" s="2" t="s">
        <v>78</v>
      </c>
      <c r="L35" s="2" t="s">
        <v>88</v>
      </c>
      <c r="M35" s="2" t="s">
        <v>95</v>
      </c>
      <c r="N35" s="2">
        <v>7</v>
      </c>
      <c r="O35" s="2" t="s">
        <v>97</v>
      </c>
      <c r="P35" s="2">
        <v>1</v>
      </c>
      <c r="Q35" s="2">
        <v>2</v>
      </c>
      <c r="R35" s="2">
        <v>3</v>
      </c>
      <c r="S35" s="2">
        <v>1</v>
      </c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</row>
    <row r="36" spans="1:31" ht="13.15" x14ac:dyDescent="0.4">
      <c r="A36" s="2"/>
      <c r="B36" s="2"/>
      <c r="C36" s="2"/>
      <c r="D36" s="2"/>
      <c r="E36" s="2" t="s">
        <v>19</v>
      </c>
      <c r="F36" s="2" t="s">
        <v>92</v>
      </c>
      <c r="G36" s="2" t="s">
        <v>93</v>
      </c>
      <c r="H36" s="2" t="s">
        <v>134</v>
      </c>
      <c r="I36" s="16">
        <v>45359</v>
      </c>
      <c r="J36" s="16"/>
      <c r="K36" s="2" t="s">
        <v>78</v>
      </c>
      <c r="L36" s="2" t="s">
        <v>94</v>
      </c>
      <c r="M36" s="2" t="s">
        <v>95</v>
      </c>
      <c r="N36" s="2">
        <v>8.5</v>
      </c>
      <c r="O36" s="2" t="s">
        <v>91</v>
      </c>
      <c r="P36" s="2">
        <v>2</v>
      </c>
      <c r="Q36" s="2">
        <v>3</v>
      </c>
      <c r="R36" s="2">
        <v>3.5</v>
      </c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</row>
    <row r="37" spans="1:31" ht="13.15" x14ac:dyDescent="0.4">
      <c r="A37" s="2"/>
      <c r="B37" s="2"/>
      <c r="C37" s="2"/>
      <c r="D37" s="2"/>
      <c r="E37" s="2" t="s">
        <v>19</v>
      </c>
      <c r="F37" s="2" t="s">
        <v>83</v>
      </c>
      <c r="G37" s="2" t="s">
        <v>137</v>
      </c>
      <c r="H37" s="2" t="s">
        <v>134</v>
      </c>
      <c r="I37" s="16">
        <v>45359</v>
      </c>
      <c r="J37" s="16"/>
      <c r="K37" s="2" t="s">
        <v>85</v>
      </c>
      <c r="L37" s="2" t="s">
        <v>138</v>
      </c>
      <c r="M37" s="2" t="s">
        <v>80</v>
      </c>
      <c r="N37" s="2">
        <v>5</v>
      </c>
      <c r="O37" s="2" t="s">
        <v>81</v>
      </c>
      <c r="P37" s="2">
        <v>1</v>
      </c>
      <c r="Q37" s="2">
        <v>1.5</v>
      </c>
      <c r="R37" s="2">
        <v>1.5</v>
      </c>
      <c r="S37" s="2">
        <v>1</v>
      </c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</row>
    <row r="38" spans="1:31" ht="13.15" x14ac:dyDescent="0.4">
      <c r="A38" s="2"/>
      <c r="B38" s="2"/>
      <c r="C38" s="2"/>
      <c r="D38" s="2"/>
      <c r="E38" s="2" t="s">
        <v>19</v>
      </c>
      <c r="F38" s="2" t="s">
        <v>89</v>
      </c>
      <c r="G38" s="2" t="s">
        <v>132</v>
      </c>
      <c r="H38" s="2" t="s">
        <v>134</v>
      </c>
      <c r="I38" s="16">
        <v>45359</v>
      </c>
      <c r="J38" s="16"/>
      <c r="K38" s="2" t="s">
        <v>85</v>
      </c>
      <c r="L38" s="2"/>
      <c r="M38" s="2"/>
      <c r="N38" s="2">
        <v>7.5</v>
      </c>
      <c r="O38" s="2" t="s">
        <v>97</v>
      </c>
      <c r="P38" s="2">
        <v>2</v>
      </c>
      <c r="Q38" s="2">
        <v>3.5</v>
      </c>
      <c r="R38" s="2">
        <v>2</v>
      </c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</row>
    <row r="39" spans="1:31" ht="13.15" x14ac:dyDescent="0.4">
      <c r="A39" s="2"/>
      <c r="B39" s="2"/>
      <c r="C39" s="2"/>
      <c r="D39" s="2"/>
      <c r="E39" s="2" t="s">
        <v>19</v>
      </c>
      <c r="F39" s="2" t="s">
        <v>100</v>
      </c>
      <c r="G39" s="2" t="s">
        <v>139</v>
      </c>
      <c r="H39" s="2" t="s">
        <v>140</v>
      </c>
      <c r="I39" s="16">
        <v>45355</v>
      </c>
      <c r="J39" s="16">
        <v>45355</v>
      </c>
      <c r="K39" s="2" t="s">
        <v>85</v>
      </c>
      <c r="L39" s="2" t="s">
        <v>99</v>
      </c>
      <c r="M39" s="2"/>
      <c r="N39" s="2">
        <v>5</v>
      </c>
      <c r="O39" s="2" t="s">
        <v>97</v>
      </c>
      <c r="P39" s="2">
        <v>2</v>
      </c>
      <c r="Q39" s="2">
        <v>1</v>
      </c>
      <c r="R39" s="2">
        <v>2</v>
      </c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</row>
    <row r="40" spans="1:31" ht="13.15" x14ac:dyDescent="0.4">
      <c r="A40" s="2"/>
      <c r="B40" s="2"/>
      <c r="C40" s="2"/>
      <c r="D40" s="2"/>
      <c r="E40" s="2" t="s">
        <v>19</v>
      </c>
      <c r="F40" s="2" t="s">
        <v>89</v>
      </c>
      <c r="G40" s="2" t="s">
        <v>96</v>
      </c>
      <c r="H40" s="2" t="s">
        <v>140</v>
      </c>
      <c r="I40" s="16">
        <v>45356</v>
      </c>
      <c r="J40" s="16">
        <v>45356</v>
      </c>
      <c r="K40" s="2" t="s">
        <v>85</v>
      </c>
      <c r="L40" s="2"/>
      <c r="M40" s="2"/>
      <c r="N40" s="2">
        <v>8</v>
      </c>
      <c r="O40" s="2" t="s">
        <v>91</v>
      </c>
      <c r="P40" s="2">
        <v>2</v>
      </c>
      <c r="Q40" s="2">
        <v>3</v>
      </c>
      <c r="R40" s="2">
        <v>3</v>
      </c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</row>
    <row r="41" spans="1:31" ht="13.15" x14ac:dyDescent="0.4">
      <c r="A41" s="2"/>
      <c r="B41" s="2"/>
      <c r="C41" s="2"/>
      <c r="D41" s="2"/>
      <c r="E41" s="2" t="s">
        <v>19</v>
      </c>
      <c r="F41" s="2" t="s">
        <v>89</v>
      </c>
      <c r="G41" s="2" t="s">
        <v>90</v>
      </c>
      <c r="H41" s="2" t="s">
        <v>140</v>
      </c>
      <c r="I41" s="16">
        <v>45357</v>
      </c>
      <c r="J41" s="16">
        <v>45357</v>
      </c>
      <c r="K41" s="2" t="s">
        <v>85</v>
      </c>
      <c r="L41" s="2"/>
      <c r="M41" s="2"/>
      <c r="N41" s="2">
        <v>9</v>
      </c>
      <c r="O41" s="2" t="s">
        <v>91</v>
      </c>
      <c r="P41" s="2">
        <v>2</v>
      </c>
      <c r="Q41" s="2">
        <v>4</v>
      </c>
      <c r="R41" s="2">
        <v>3</v>
      </c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</row>
    <row r="42" spans="1:31" ht="13.15" x14ac:dyDescent="0.4">
      <c r="A42" s="2"/>
      <c r="B42" s="2"/>
      <c r="C42" s="2"/>
      <c r="D42" s="2"/>
      <c r="E42" s="2" t="s">
        <v>19</v>
      </c>
      <c r="F42" s="2" t="s">
        <v>89</v>
      </c>
      <c r="G42" s="2" t="s">
        <v>141</v>
      </c>
      <c r="H42" s="2" t="s">
        <v>140</v>
      </c>
      <c r="I42" s="16">
        <v>45357</v>
      </c>
      <c r="J42" s="16">
        <v>45357</v>
      </c>
      <c r="K42" s="2" t="s">
        <v>85</v>
      </c>
      <c r="L42" s="2"/>
      <c r="M42" s="2"/>
      <c r="N42" s="2">
        <v>7</v>
      </c>
      <c r="O42" s="2" t="s">
        <v>97</v>
      </c>
      <c r="P42" s="2">
        <v>2</v>
      </c>
      <c r="Q42" s="2">
        <v>2.5</v>
      </c>
      <c r="R42" s="2">
        <v>2.5</v>
      </c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</row>
    <row r="43" spans="1:31" ht="13.15" x14ac:dyDescent="0.4">
      <c r="A43" s="2"/>
      <c r="B43" s="2"/>
      <c r="C43" s="2"/>
      <c r="D43" s="2"/>
      <c r="E43" s="2" t="s">
        <v>19</v>
      </c>
      <c r="F43" s="2" t="s">
        <v>89</v>
      </c>
      <c r="G43" s="2" t="s">
        <v>133</v>
      </c>
      <c r="H43" s="2" t="s">
        <v>140</v>
      </c>
      <c r="I43" s="16">
        <v>45357</v>
      </c>
      <c r="J43" s="16"/>
      <c r="K43" s="2" t="s">
        <v>85</v>
      </c>
      <c r="L43" s="2"/>
      <c r="M43" s="2"/>
      <c r="N43" s="2">
        <v>8</v>
      </c>
      <c r="O43" s="2" t="s">
        <v>91</v>
      </c>
      <c r="P43" s="2">
        <v>2</v>
      </c>
      <c r="Q43" s="2">
        <v>3</v>
      </c>
      <c r="R43" s="2">
        <v>3</v>
      </c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</row>
    <row r="44" spans="1:31" ht="13.15" x14ac:dyDescent="0.4">
      <c r="A44" s="2"/>
      <c r="B44" s="2"/>
      <c r="C44" s="2"/>
      <c r="D44" s="2"/>
      <c r="E44" s="2" t="s">
        <v>19</v>
      </c>
      <c r="F44" s="2" t="s">
        <v>142</v>
      </c>
      <c r="G44" s="2" t="s">
        <v>143</v>
      </c>
      <c r="H44" s="2" t="s">
        <v>140</v>
      </c>
      <c r="I44" s="16">
        <v>45358</v>
      </c>
      <c r="J44" s="16">
        <v>45358</v>
      </c>
      <c r="K44" s="2" t="s">
        <v>85</v>
      </c>
      <c r="L44" s="2" t="s">
        <v>79</v>
      </c>
      <c r="M44" s="2" t="s">
        <v>95</v>
      </c>
      <c r="N44" s="2">
        <v>6.5</v>
      </c>
      <c r="O44" s="2" t="s">
        <v>97</v>
      </c>
      <c r="P44" s="2">
        <v>1</v>
      </c>
      <c r="Q44" s="2">
        <v>2</v>
      </c>
      <c r="R44" s="2">
        <v>2.5</v>
      </c>
      <c r="S44" s="2">
        <v>1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</row>
    <row r="45" spans="1:31" ht="13.15" x14ac:dyDescent="0.4">
      <c r="A45" s="2"/>
      <c r="B45" s="2"/>
      <c r="C45" s="2"/>
      <c r="D45" s="2"/>
      <c r="E45" s="2" t="s">
        <v>19</v>
      </c>
      <c r="F45" s="2" t="s">
        <v>92</v>
      </c>
      <c r="G45" s="2" t="s">
        <v>144</v>
      </c>
      <c r="H45" s="2" t="s">
        <v>140</v>
      </c>
      <c r="I45" s="16">
        <v>45359</v>
      </c>
      <c r="J45" s="16">
        <v>45359</v>
      </c>
      <c r="K45" s="2" t="s">
        <v>85</v>
      </c>
      <c r="L45" s="2" t="s">
        <v>115</v>
      </c>
      <c r="M45" s="2" t="s">
        <v>108</v>
      </c>
      <c r="N45" s="2">
        <v>6</v>
      </c>
      <c r="O45" s="2" t="s">
        <v>97</v>
      </c>
      <c r="P45" s="2">
        <v>2</v>
      </c>
      <c r="Q45" s="2">
        <v>2</v>
      </c>
      <c r="R45" s="2">
        <v>2</v>
      </c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</row>
    <row r="46" spans="1:31" ht="13.15" x14ac:dyDescent="0.4">
      <c r="A46" s="2"/>
      <c r="B46" s="2"/>
      <c r="C46" s="2"/>
      <c r="D46" s="2"/>
      <c r="E46" s="2" t="s">
        <v>19</v>
      </c>
      <c r="F46" s="2" t="s">
        <v>89</v>
      </c>
      <c r="G46" s="2" t="s">
        <v>90</v>
      </c>
      <c r="H46" s="2" t="s">
        <v>140</v>
      </c>
      <c r="I46" s="16">
        <v>45359</v>
      </c>
      <c r="J46" s="16"/>
      <c r="K46" s="2" t="s">
        <v>78</v>
      </c>
      <c r="L46" s="2"/>
      <c r="M46" s="2"/>
      <c r="N46" s="2">
        <v>8.5</v>
      </c>
      <c r="O46" s="2" t="s">
        <v>91</v>
      </c>
      <c r="P46" s="2">
        <v>2</v>
      </c>
      <c r="Q46" s="2">
        <v>3.5</v>
      </c>
      <c r="R46" s="2">
        <v>3</v>
      </c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</row>
    <row r="47" spans="1:31" ht="13.15" x14ac:dyDescent="0.4">
      <c r="A47" s="2"/>
      <c r="B47" s="2"/>
      <c r="C47" s="2"/>
      <c r="D47" s="2"/>
      <c r="E47" s="2" t="s">
        <v>19</v>
      </c>
      <c r="F47" s="2" t="s">
        <v>89</v>
      </c>
      <c r="G47" s="2" t="s">
        <v>145</v>
      </c>
      <c r="H47" s="2" t="s">
        <v>140</v>
      </c>
      <c r="I47" s="16">
        <v>45359</v>
      </c>
      <c r="J47" s="16">
        <v>45359</v>
      </c>
      <c r="K47" s="2" t="s">
        <v>85</v>
      </c>
      <c r="L47" s="2"/>
      <c r="M47" s="2"/>
      <c r="N47" s="2">
        <v>8</v>
      </c>
      <c r="O47" s="2" t="s">
        <v>91</v>
      </c>
      <c r="P47" s="2">
        <v>2</v>
      </c>
      <c r="Q47" s="2">
        <v>3.5</v>
      </c>
      <c r="R47" s="2">
        <v>2.5</v>
      </c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</row>
    <row r="48" spans="1:31" ht="13.15" x14ac:dyDescent="0.4">
      <c r="A48" s="2"/>
      <c r="B48" s="2"/>
      <c r="C48" s="2"/>
      <c r="D48" s="2"/>
      <c r="E48" s="2"/>
      <c r="F48" s="2"/>
      <c r="G48" s="2"/>
      <c r="H48" s="2"/>
      <c r="I48" s="16"/>
      <c r="J48" s="16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</row>
    <row r="49" spans="1:31" ht="13.15" x14ac:dyDescent="0.4">
      <c r="A49" s="2"/>
      <c r="B49" s="2"/>
      <c r="C49" s="2"/>
      <c r="D49" s="2"/>
      <c r="E49" s="2"/>
      <c r="F49" s="2"/>
      <c r="G49" s="2"/>
      <c r="H49" s="2"/>
      <c r="I49" s="16"/>
      <c r="J49" s="16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</row>
    <row r="50" spans="1:31" ht="13.15" x14ac:dyDescent="0.4">
      <c r="A50" s="2"/>
      <c r="B50" s="2"/>
      <c r="C50" s="2"/>
      <c r="D50" s="2"/>
      <c r="E50" s="2"/>
      <c r="F50" s="2"/>
      <c r="G50" s="2"/>
      <c r="H50" s="2"/>
      <c r="I50" s="16"/>
      <c r="J50" s="16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</row>
    <row r="51" spans="1:31" ht="13.15" x14ac:dyDescent="0.4">
      <c r="A51" s="2"/>
      <c r="B51" s="2"/>
      <c r="C51" s="2"/>
      <c r="D51" s="2"/>
      <c r="E51" s="2"/>
      <c r="F51" s="2"/>
      <c r="G51" s="2"/>
      <c r="H51" s="2"/>
      <c r="I51" s="16"/>
      <c r="J51" s="16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</row>
    <row r="52" spans="1:31" ht="13.15" x14ac:dyDescent="0.4">
      <c r="A52" s="2"/>
      <c r="B52" s="2"/>
      <c r="C52" s="2"/>
      <c r="D52" s="2"/>
      <c r="E52" s="2"/>
      <c r="F52" s="2"/>
      <c r="G52" s="2"/>
      <c r="H52" s="2"/>
      <c r="I52" s="16"/>
      <c r="J52" s="16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</row>
    <row r="53" spans="1:31" ht="13.15" x14ac:dyDescent="0.4">
      <c r="A53" s="2"/>
      <c r="B53" s="2"/>
      <c r="C53" s="2"/>
      <c r="D53" s="2"/>
      <c r="E53" s="2"/>
      <c r="F53" s="2"/>
      <c r="G53" s="2"/>
      <c r="H53" s="2"/>
      <c r="I53" s="16"/>
      <c r="J53" s="16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</row>
    <row r="54" spans="1:31" ht="13.15" x14ac:dyDescent="0.4">
      <c r="A54" s="2"/>
      <c r="B54" s="2"/>
      <c r="C54" s="2"/>
      <c r="D54" s="2"/>
      <c r="E54" s="2"/>
      <c r="F54" s="2"/>
      <c r="G54" s="2"/>
      <c r="H54" s="2"/>
      <c r="I54" s="16"/>
      <c r="J54" s="16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</row>
    <row r="55" spans="1:31" ht="13.15" x14ac:dyDescent="0.4">
      <c r="A55" s="2"/>
      <c r="B55" s="2"/>
      <c r="C55" s="2"/>
      <c r="D55" s="2"/>
      <c r="E55" s="2"/>
      <c r="F55" s="2"/>
      <c r="G55" s="2"/>
      <c r="H55" s="2"/>
      <c r="I55" s="16"/>
      <c r="J55" s="16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</row>
    <row r="56" spans="1:31" ht="13.15" x14ac:dyDescent="0.4">
      <c r="A56" s="2"/>
      <c r="B56" s="2"/>
      <c r="C56" s="2"/>
      <c r="D56" s="2"/>
      <c r="E56" s="2"/>
      <c r="F56" s="2"/>
      <c r="G56" s="2"/>
      <c r="H56" s="2"/>
      <c r="I56" s="16"/>
      <c r="J56" s="16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</row>
    <row r="57" spans="1:31" ht="13.15" x14ac:dyDescent="0.4">
      <c r="A57" s="2"/>
      <c r="B57" s="2"/>
      <c r="C57" s="2"/>
      <c r="D57" s="2"/>
      <c r="E57" s="2"/>
      <c r="F57" s="2"/>
      <c r="G57" s="2"/>
      <c r="H57" s="2"/>
      <c r="I57" s="16"/>
      <c r="J57" s="16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</row>
    <row r="58" spans="1:31" ht="13.15" x14ac:dyDescent="0.4">
      <c r="A58" s="2"/>
      <c r="B58" s="2"/>
      <c r="C58" s="2"/>
      <c r="D58" s="2"/>
      <c r="E58" s="2"/>
      <c r="F58" s="2"/>
      <c r="G58" s="2"/>
      <c r="H58" s="2"/>
      <c r="I58" s="16"/>
      <c r="J58" s="16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</row>
    <row r="59" spans="1:31" ht="13.15" x14ac:dyDescent="0.4">
      <c r="A59" s="2"/>
      <c r="B59" s="2"/>
      <c r="C59" s="2"/>
      <c r="D59" s="2"/>
      <c r="E59" s="2"/>
      <c r="F59" s="2"/>
      <c r="G59" s="2"/>
      <c r="H59" s="2"/>
      <c r="I59" s="16"/>
      <c r="J59" s="16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</row>
    <row r="60" spans="1:31" ht="13.15" x14ac:dyDescent="0.4">
      <c r="A60" s="2"/>
      <c r="B60" s="2"/>
      <c r="C60" s="2"/>
      <c r="D60" s="2"/>
      <c r="E60" s="2"/>
      <c r="F60" s="2"/>
      <c r="G60" s="2"/>
      <c r="H60" s="2"/>
      <c r="I60" s="16"/>
      <c r="J60" s="16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</row>
    <row r="61" spans="1:31" ht="13.15" x14ac:dyDescent="0.4">
      <c r="A61" s="2"/>
      <c r="B61" s="2"/>
      <c r="C61" s="2"/>
      <c r="D61" s="2"/>
      <c r="E61" s="2"/>
      <c r="F61" s="2"/>
      <c r="G61" s="2"/>
      <c r="H61" s="2"/>
      <c r="I61" s="16"/>
      <c r="J61" s="16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</row>
    <row r="62" spans="1:31" ht="13.15" x14ac:dyDescent="0.4">
      <c r="A62" s="2"/>
      <c r="B62" s="2"/>
      <c r="C62" s="2"/>
      <c r="D62" s="2"/>
      <c r="E62" s="2"/>
      <c r="F62" s="2"/>
      <c r="G62" s="2"/>
      <c r="H62" s="2"/>
      <c r="I62" s="16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</row>
    <row r="63" spans="1:31" ht="13.15" x14ac:dyDescent="0.4">
      <c r="A63" s="2"/>
      <c r="B63" s="2"/>
      <c r="C63" s="2"/>
      <c r="D63" s="2"/>
      <c r="E63" s="2"/>
      <c r="F63" s="2"/>
      <c r="G63" s="2"/>
      <c r="H63" s="2"/>
      <c r="I63" s="16"/>
      <c r="J63" s="16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</row>
    <row r="64" spans="1:31" ht="13.15" x14ac:dyDescent="0.4">
      <c r="A64" s="2"/>
      <c r="B64" s="2"/>
      <c r="C64" s="2"/>
      <c r="D64" s="2"/>
      <c r="E64" s="2"/>
      <c r="F64" s="2"/>
      <c r="G64" s="2"/>
      <c r="H64" s="2"/>
      <c r="I64" s="16"/>
      <c r="J64" s="16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</row>
    <row r="65" spans="1:31" ht="13.15" x14ac:dyDescent="0.4">
      <c r="A65" s="2"/>
      <c r="B65" s="2"/>
      <c r="C65" s="2"/>
      <c r="D65" s="2"/>
      <c r="E65" s="2"/>
      <c r="F65" s="2"/>
      <c r="G65" s="2"/>
      <c r="H65" s="2"/>
      <c r="I65" s="16"/>
      <c r="J65" s="16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</row>
    <row r="66" spans="1:31" ht="13.15" x14ac:dyDescent="0.4">
      <c r="A66" s="2"/>
      <c r="B66" s="2"/>
      <c r="C66" s="2"/>
      <c r="D66" s="2"/>
      <c r="E66" s="2"/>
      <c r="F66" s="2"/>
      <c r="G66" s="2"/>
      <c r="H66" s="2"/>
      <c r="I66" s="16"/>
      <c r="J66" s="16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</row>
    <row r="67" spans="1:31" ht="13.15" x14ac:dyDescent="0.4">
      <c r="A67" s="2"/>
      <c r="B67" s="2"/>
      <c r="C67" s="2"/>
      <c r="D67" s="2"/>
      <c r="E67" s="2"/>
      <c r="F67" s="2"/>
      <c r="G67" s="2"/>
      <c r="H67" s="2"/>
      <c r="I67" s="16"/>
      <c r="J67" s="16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</row>
    <row r="68" spans="1:31" ht="13.15" x14ac:dyDescent="0.4">
      <c r="A68" s="2"/>
      <c r="B68" s="2"/>
      <c r="C68" s="2"/>
      <c r="D68" s="2"/>
      <c r="E68" s="2"/>
      <c r="F68" s="2"/>
      <c r="G68" s="2"/>
      <c r="H68" s="2"/>
      <c r="I68" s="16"/>
      <c r="J68" s="16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</row>
    <row r="69" spans="1:31" ht="13.15" x14ac:dyDescent="0.4">
      <c r="A69" s="2"/>
      <c r="B69" s="2"/>
      <c r="C69" s="2"/>
      <c r="D69" s="2"/>
      <c r="E69" s="2"/>
      <c r="F69" s="2"/>
      <c r="G69" s="2"/>
      <c r="H69" s="2"/>
      <c r="I69" s="16"/>
      <c r="J69" s="16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:31" ht="13.15" x14ac:dyDescent="0.4">
      <c r="A70" s="2"/>
      <c r="B70" s="2"/>
      <c r="C70" s="2"/>
      <c r="D70" s="2"/>
      <c r="E70" s="2"/>
      <c r="F70" s="2"/>
      <c r="G70" s="2"/>
      <c r="H70" s="2"/>
      <c r="I70" s="16"/>
      <c r="J70" s="16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:31" ht="13.15" x14ac:dyDescent="0.4">
      <c r="A71" s="2"/>
      <c r="B71" s="2"/>
      <c r="C71" s="2"/>
      <c r="D71" s="2"/>
      <c r="E71" s="2"/>
      <c r="F71" s="2"/>
      <c r="G71" s="2"/>
      <c r="H71" s="2"/>
      <c r="I71" s="16"/>
      <c r="J71" s="16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:31" ht="13.15" x14ac:dyDescent="0.4">
      <c r="A72" s="2"/>
      <c r="B72" s="2"/>
      <c r="C72" s="2"/>
      <c r="D72" s="2"/>
      <c r="E72" s="2"/>
      <c r="F72" s="2"/>
      <c r="G72" s="2"/>
      <c r="H72" s="2"/>
      <c r="I72" s="16"/>
      <c r="J72" s="16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</row>
    <row r="73" spans="1:31" ht="13.15" x14ac:dyDescent="0.4">
      <c r="A73" s="2"/>
      <c r="B73" s="2"/>
      <c r="C73" s="2"/>
      <c r="D73" s="2"/>
      <c r="E73" s="2"/>
      <c r="F73" s="2"/>
      <c r="G73" s="2"/>
      <c r="H73" s="2"/>
      <c r="I73" s="16"/>
      <c r="J73" s="16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</row>
    <row r="74" spans="1:31" ht="13.15" x14ac:dyDescent="0.4">
      <c r="A74" s="2"/>
      <c r="B74" s="2"/>
      <c r="C74" s="2"/>
      <c r="D74" s="2"/>
      <c r="E74" s="2"/>
      <c r="F74" s="2"/>
      <c r="G74" s="2"/>
      <c r="H74" s="2"/>
      <c r="I74" s="16"/>
      <c r="J74" s="16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</row>
    <row r="75" spans="1:31" ht="13.15" x14ac:dyDescent="0.4">
      <c r="A75" s="2"/>
      <c r="B75" s="2"/>
      <c r="C75" s="2"/>
      <c r="D75" s="2"/>
      <c r="E75" s="2"/>
      <c r="F75" s="2"/>
      <c r="G75" s="2"/>
      <c r="H75" s="2"/>
      <c r="I75" s="16"/>
      <c r="J75" s="16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</row>
    <row r="76" spans="1:31" ht="13.15" x14ac:dyDescent="0.4">
      <c r="A76" s="2"/>
      <c r="B76" s="2"/>
      <c r="C76" s="2"/>
      <c r="D76" s="2"/>
      <c r="E76" s="2"/>
      <c r="F76" s="2"/>
      <c r="G76" s="2"/>
      <c r="H76" s="2"/>
      <c r="I76" s="16"/>
      <c r="J76" s="16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</row>
    <row r="77" spans="1:31" ht="13.15" x14ac:dyDescent="0.4">
      <c r="A77" s="2"/>
      <c r="B77" s="2"/>
      <c r="C77" s="2"/>
      <c r="D77" s="2"/>
      <c r="E77" s="2"/>
      <c r="F77" s="2"/>
      <c r="G77" s="2"/>
      <c r="H77" s="2"/>
      <c r="I77" s="16"/>
      <c r="J77" s="16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</row>
    <row r="78" spans="1:31" ht="13.15" x14ac:dyDescent="0.4">
      <c r="A78" s="2"/>
      <c r="B78" s="2"/>
      <c r="C78" s="2"/>
      <c r="D78" s="2"/>
      <c r="E78" s="2"/>
      <c r="F78" s="2"/>
      <c r="G78" s="2"/>
      <c r="H78" s="2"/>
      <c r="I78" s="16"/>
      <c r="J78" s="16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</row>
    <row r="79" spans="1:31" ht="13.15" x14ac:dyDescent="0.4">
      <c r="A79" s="2"/>
      <c r="B79" s="2"/>
      <c r="C79" s="2"/>
      <c r="D79" s="2"/>
      <c r="E79" s="2"/>
      <c r="F79" s="2"/>
      <c r="G79" s="2"/>
      <c r="H79" s="2"/>
      <c r="I79" s="16"/>
      <c r="J79" s="16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</row>
    <row r="80" spans="1:31" ht="13.15" x14ac:dyDescent="0.4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</row>
    <row r="81" spans="1:31" ht="13.15" x14ac:dyDescent="0.4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</row>
    <row r="82" spans="1:31" ht="13.15" x14ac:dyDescent="0.4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</row>
    <row r="83" spans="1:31" ht="13.15" x14ac:dyDescent="0.4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</row>
    <row r="84" spans="1:31" ht="13.15" x14ac:dyDescent="0.4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</row>
    <row r="85" spans="1:31" ht="13.15" x14ac:dyDescent="0.4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</row>
    <row r="86" spans="1:31" ht="13.15" x14ac:dyDescent="0.4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</row>
    <row r="87" spans="1:31" ht="13.15" x14ac:dyDescent="0.4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</row>
    <row r="88" spans="1:31" ht="13.15" x14ac:dyDescent="0.4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</row>
    <row r="89" spans="1:31" ht="13.15" x14ac:dyDescent="0.4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</row>
    <row r="90" spans="1:31" ht="13.15" x14ac:dyDescent="0.4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ht="13.15" x14ac:dyDescent="0.4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92" spans="1:31" ht="13.15" x14ac:dyDescent="0.4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</row>
    <row r="93" spans="1:31" ht="13.15" x14ac:dyDescent="0.4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</row>
    <row r="94" spans="1:31" ht="13.15" x14ac:dyDescent="0.4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</row>
    <row r="95" spans="1:31" ht="13.15" x14ac:dyDescent="0.4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</row>
    <row r="96" spans="1:31" ht="13.15" x14ac:dyDescent="0.4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</row>
    <row r="97" spans="1:31" ht="13.15" x14ac:dyDescent="0.4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</row>
    <row r="98" spans="1:31" ht="13.15" x14ac:dyDescent="0.4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</row>
    <row r="99" spans="1:31" ht="13.15" x14ac:dyDescent="0.4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</row>
    <row r="100" spans="1:31" ht="13.15" x14ac:dyDescent="0.4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</row>
    <row r="101" spans="1:31" ht="13.15" x14ac:dyDescent="0.4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</row>
    <row r="102" spans="1:31" ht="13.15" x14ac:dyDescent="0.4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1:31" ht="13.15" x14ac:dyDescent="0.4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1:31" ht="13.15" x14ac:dyDescent="0.4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1:31" ht="13.15" x14ac:dyDescent="0.4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1:31" ht="13.15" x14ac:dyDescent="0.4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1:31" ht="13.15" x14ac:dyDescent="0.4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</row>
    <row r="108" spans="1:31" ht="13.15" x14ac:dyDescent="0.4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1:31" ht="13.15" x14ac:dyDescent="0.4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 spans="1:31" ht="13.15" x14ac:dyDescent="0.4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1:31" ht="13.15" x14ac:dyDescent="0.4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1:31" ht="13.15" x14ac:dyDescent="0.4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:31" ht="13.15" x14ac:dyDescent="0.4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 ht="13.15" x14ac:dyDescent="0.4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 ht="13.15" x14ac:dyDescent="0.4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 ht="13.15" x14ac:dyDescent="0.4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 ht="13.15" x14ac:dyDescent="0.4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 ht="13.15" x14ac:dyDescent="0.4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 ht="13.15" x14ac:dyDescent="0.4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 ht="13.15" x14ac:dyDescent="0.4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 ht="13.15" x14ac:dyDescent="0.4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 ht="13.15" x14ac:dyDescent="0.4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 ht="13.15" x14ac:dyDescent="0.4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 ht="13.15" x14ac:dyDescent="0.4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 ht="13.15" x14ac:dyDescent="0.4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ht="13.15" x14ac:dyDescent="0.4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ht="13.15" x14ac:dyDescent="0.4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ht="13.15" x14ac:dyDescent="0.4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ht="13.15" x14ac:dyDescent="0.4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ht="13.15" x14ac:dyDescent="0.4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ht="13.15" x14ac:dyDescent="0.4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ht="13.15" x14ac:dyDescent="0.4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ht="13.15" x14ac:dyDescent="0.4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ht="13.15" x14ac:dyDescent="0.4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ht="13.15" x14ac:dyDescent="0.4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ht="13.15" x14ac:dyDescent="0.4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ht="13.15" x14ac:dyDescent="0.4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ht="13.15" x14ac:dyDescent="0.4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ht="13.15" x14ac:dyDescent="0.4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ht="13.15" x14ac:dyDescent="0.4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3.15" x14ac:dyDescent="0.4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3.15" x14ac:dyDescent="0.4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3.15" x14ac:dyDescent="0.4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3.15" x14ac:dyDescent="0.4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3.15" x14ac:dyDescent="0.4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3.15" x14ac:dyDescent="0.4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3.15" x14ac:dyDescent="0.4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3.15" x14ac:dyDescent="0.4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3.15" x14ac:dyDescent="0.4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3.15" x14ac:dyDescent="0.4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3.15" x14ac:dyDescent="0.4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3.15" x14ac:dyDescent="0.4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3.15" x14ac:dyDescent="0.4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3.15" x14ac:dyDescent="0.4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3.15" x14ac:dyDescent="0.4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3.15" x14ac:dyDescent="0.4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3.15" x14ac:dyDescent="0.4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3.15" x14ac:dyDescent="0.4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3.15" x14ac:dyDescent="0.4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3.15" x14ac:dyDescent="0.4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3.15" x14ac:dyDescent="0.4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3.15" x14ac:dyDescent="0.4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3.15" x14ac:dyDescent="0.4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3.15" x14ac:dyDescent="0.4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3.15" x14ac:dyDescent="0.4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3.15" x14ac:dyDescent="0.4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3.15" x14ac:dyDescent="0.4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3.15" x14ac:dyDescent="0.4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3.15" x14ac:dyDescent="0.4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3.15" x14ac:dyDescent="0.4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3.15" x14ac:dyDescent="0.4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3.15" x14ac:dyDescent="0.4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3.15" x14ac:dyDescent="0.4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3.15" x14ac:dyDescent="0.4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3.15" x14ac:dyDescent="0.4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3.15" x14ac:dyDescent="0.4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3.15" x14ac:dyDescent="0.4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3.15" x14ac:dyDescent="0.4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3.15" x14ac:dyDescent="0.4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3.15" x14ac:dyDescent="0.4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3.15" x14ac:dyDescent="0.4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3.15" x14ac:dyDescent="0.4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3.15" x14ac:dyDescent="0.4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3.15" x14ac:dyDescent="0.4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3.15" x14ac:dyDescent="0.4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3.15" x14ac:dyDescent="0.4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3.15" x14ac:dyDescent="0.4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3.15" x14ac:dyDescent="0.4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3.15" x14ac:dyDescent="0.4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3.15" x14ac:dyDescent="0.4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3.15" x14ac:dyDescent="0.4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3.15" x14ac:dyDescent="0.4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3.15" x14ac:dyDescent="0.4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3.15" x14ac:dyDescent="0.4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3.15" x14ac:dyDescent="0.4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3.15" x14ac:dyDescent="0.4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3.15" x14ac:dyDescent="0.4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3.15" x14ac:dyDescent="0.4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3.15" x14ac:dyDescent="0.4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3.15" x14ac:dyDescent="0.4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3.15" x14ac:dyDescent="0.4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3.15" x14ac:dyDescent="0.4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3.15" x14ac:dyDescent="0.4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3.15" x14ac:dyDescent="0.4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3.15" x14ac:dyDescent="0.4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3.15" x14ac:dyDescent="0.4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3.15" x14ac:dyDescent="0.4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3.15" x14ac:dyDescent="0.4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3.15" x14ac:dyDescent="0.4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3.15" x14ac:dyDescent="0.4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3.15" x14ac:dyDescent="0.4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3.15" x14ac:dyDescent="0.4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3.15" x14ac:dyDescent="0.4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3.15" x14ac:dyDescent="0.4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3.15" x14ac:dyDescent="0.4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3.15" x14ac:dyDescent="0.4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3.15" x14ac:dyDescent="0.4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3.15" x14ac:dyDescent="0.4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3.15" x14ac:dyDescent="0.4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3.15" x14ac:dyDescent="0.4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3.15" x14ac:dyDescent="0.4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3.15" x14ac:dyDescent="0.4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3.15" x14ac:dyDescent="0.4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3.15" x14ac:dyDescent="0.4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3.15" x14ac:dyDescent="0.4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3.15" x14ac:dyDescent="0.4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3.15" x14ac:dyDescent="0.4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3.15" x14ac:dyDescent="0.4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3.15" x14ac:dyDescent="0.4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3.15" x14ac:dyDescent="0.4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3.15" x14ac:dyDescent="0.4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3.15" x14ac:dyDescent="0.4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3.15" x14ac:dyDescent="0.4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3.15" x14ac:dyDescent="0.4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3.15" x14ac:dyDescent="0.4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3.15" x14ac:dyDescent="0.4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3.15" x14ac:dyDescent="0.4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3.15" x14ac:dyDescent="0.4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3.15" x14ac:dyDescent="0.4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3.15" x14ac:dyDescent="0.4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3.15" x14ac:dyDescent="0.4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3.15" x14ac:dyDescent="0.4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3.15" x14ac:dyDescent="0.4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3.15" x14ac:dyDescent="0.4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3.15" x14ac:dyDescent="0.4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3.15" x14ac:dyDescent="0.4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3.15" x14ac:dyDescent="0.4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3.15" x14ac:dyDescent="0.4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3.15" x14ac:dyDescent="0.4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3.15" x14ac:dyDescent="0.4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3.15" x14ac:dyDescent="0.4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3.15" x14ac:dyDescent="0.4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3.15" x14ac:dyDescent="0.4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3.15" x14ac:dyDescent="0.4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3.15" x14ac:dyDescent="0.4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3.15" x14ac:dyDescent="0.4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3.15" x14ac:dyDescent="0.4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3.15" x14ac:dyDescent="0.4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3.15" x14ac:dyDescent="0.4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3.15" x14ac:dyDescent="0.4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3.15" x14ac:dyDescent="0.4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3.15" x14ac:dyDescent="0.4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3.15" x14ac:dyDescent="0.4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3.15" x14ac:dyDescent="0.4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3.15" x14ac:dyDescent="0.4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3.15" x14ac:dyDescent="0.4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3.15" x14ac:dyDescent="0.4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3.15" x14ac:dyDescent="0.4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3.15" x14ac:dyDescent="0.4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3.15" x14ac:dyDescent="0.4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3.15" x14ac:dyDescent="0.4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3.15" x14ac:dyDescent="0.4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3.15" x14ac:dyDescent="0.4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3.15" x14ac:dyDescent="0.4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3.15" x14ac:dyDescent="0.4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3.15" x14ac:dyDescent="0.4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3.15" x14ac:dyDescent="0.4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3.15" x14ac:dyDescent="0.4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3.15" x14ac:dyDescent="0.4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3.15" x14ac:dyDescent="0.4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3.15" x14ac:dyDescent="0.4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3.15" x14ac:dyDescent="0.4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3.15" x14ac:dyDescent="0.4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3.15" x14ac:dyDescent="0.4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3.15" x14ac:dyDescent="0.4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3.15" x14ac:dyDescent="0.4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3.15" x14ac:dyDescent="0.4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3.15" x14ac:dyDescent="0.4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3.15" x14ac:dyDescent="0.4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3.15" x14ac:dyDescent="0.4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3.15" x14ac:dyDescent="0.4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3.15" x14ac:dyDescent="0.4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3.15" x14ac:dyDescent="0.4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3.15" x14ac:dyDescent="0.4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3.15" x14ac:dyDescent="0.4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3.15" x14ac:dyDescent="0.4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3.15" x14ac:dyDescent="0.4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3.15" x14ac:dyDescent="0.4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3.15" x14ac:dyDescent="0.4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3.15" x14ac:dyDescent="0.4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3.15" x14ac:dyDescent="0.4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3.15" x14ac:dyDescent="0.4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3.15" x14ac:dyDescent="0.4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3.15" x14ac:dyDescent="0.4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3.15" x14ac:dyDescent="0.4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3.15" x14ac:dyDescent="0.4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3.15" x14ac:dyDescent="0.4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3.15" x14ac:dyDescent="0.4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3.15" x14ac:dyDescent="0.4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3.15" x14ac:dyDescent="0.4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3.15" x14ac:dyDescent="0.4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3.15" x14ac:dyDescent="0.4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3.15" x14ac:dyDescent="0.4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3.15" x14ac:dyDescent="0.4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3.15" x14ac:dyDescent="0.4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3.15" x14ac:dyDescent="0.4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3.15" x14ac:dyDescent="0.4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3.15" x14ac:dyDescent="0.4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3.15" x14ac:dyDescent="0.4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3.15" x14ac:dyDescent="0.4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3.15" x14ac:dyDescent="0.4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3.15" x14ac:dyDescent="0.4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3.15" x14ac:dyDescent="0.4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3.15" x14ac:dyDescent="0.4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3.15" x14ac:dyDescent="0.4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3.15" x14ac:dyDescent="0.4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3.15" x14ac:dyDescent="0.4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3.15" x14ac:dyDescent="0.4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3.15" x14ac:dyDescent="0.4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3.15" x14ac:dyDescent="0.4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3.15" x14ac:dyDescent="0.4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3.15" x14ac:dyDescent="0.4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3.15" x14ac:dyDescent="0.4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3.15" x14ac:dyDescent="0.4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3.15" x14ac:dyDescent="0.4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3.15" x14ac:dyDescent="0.4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3.15" x14ac:dyDescent="0.4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3.15" x14ac:dyDescent="0.4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3.15" x14ac:dyDescent="0.4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3.15" x14ac:dyDescent="0.4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3.15" x14ac:dyDescent="0.4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3.15" x14ac:dyDescent="0.4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3.15" x14ac:dyDescent="0.4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3.15" x14ac:dyDescent="0.4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3.15" x14ac:dyDescent="0.4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3.15" x14ac:dyDescent="0.4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3.15" x14ac:dyDescent="0.4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3.15" x14ac:dyDescent="0.4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3.15" x14ac:dyDescent="0.4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3.15" x14ac:dyDescent="0.4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3.15" x14ac:dyDescent="0.4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3.15" x14ac:dyDescent="0.4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3.15" x14ac:dyDescent="0.4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3.15" x14ac:dyDescent="0.4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3.15" x14ac:dyDescent="0.4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3.15" x14ac:dyDescent="0.4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3.15" x14ac:dyDescent="0.4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3.15" x14ac:dyDescent="0.4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3.15" x14ac:dyDescent="0.4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3.15" x14ac:dyDescent="0.4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3.15" x14ac:dyDescent="0.4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3.15" x14ac:dyDescent="0.4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3.15" x14ac:dyDescent="0.4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3.15" x14ac:dyDescent="0.4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3.15" x14ac:dyDescent="0.4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3.15" x14ac:dyDescent="0.4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3.15" x14ac:dyDescent="0.4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3.15" x14ac:dyDescent="0.4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3.15" x14ac:dyDescent="0.4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3.15" x14ac:dyDescent="0.4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3.15" x14ac:dyDescent="0.4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3.15" x14ac:dyDescent="0.4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3.15" x14ac:dyDescent="0.4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3.15" x14ac:dyDescent="0.4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3.15" x14ac:dyDescent="0.4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3.15" x14ac:dyDescent="0.4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3.15" x14ac:dyDescent="0.4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3.15" x14ac:dyDescent="0.4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3.15" x14ac:dyDescent="0.4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3.15" x14ac:dyDescent="0.4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3.15" x14ac:dyDescent="0.4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3.15" x14ac:dyDescent="0.4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3.15" x14ac:dyDescent="0.4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3.15" x14ac:dyDescent="0.4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3.15" x14ac:dyDescent="0.4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3.15" x14ac:dyDescent="0.4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3.15" x14ac:dyDescent="0.4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3.15" x14ac:dyDescent="0.4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3.15" x14ac:dyDescent="0.4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3.15" x14ac:dyDescent="0.4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3.15" x14ac:dyDescent="0.4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3.15" x14ac:dyDescent="0.4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3.15" x14ac:dyDescent="0.4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3.15" x14ac:dyDescent="0.4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3.15" x14ac:dyDescent="0.4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3.15" x14ac:dyDescent="0.4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3.15" x14ac:dyDescent="0.4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3.15" x14ac:dyDescent="0.4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3.15" x14ac:dyDescent="0.4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3.15" x14ac:dyDescent="0.4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3.15" x14ac:dyDescent="0.4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3.15" x14ac:dyDescent="0.4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3.15" x14ac:dyDescent="0.4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3.15" x14ac:dyDescent="0.4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3.15" x14ac:dyDescent="0.4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3.15" x14ac:dyDescent="0.4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3.15" x14ac:dyDescent="0.4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3.15" x14ac:dyDescent="0.4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3.15" x14ac:dyDescent="0.4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3.15" x14ac:dyDescent="0.4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3.15" x14ac:dyDescent="0.4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3.15" x14ac:dyDescent="0.4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3.15" x14ac:dyDescent="0.4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3.15" x14ac:dyDescent="0.4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3.15" x14ac:dyDescent="0.4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3.15" x14ac:dyDescent="0.4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3.15" x14ac:dyDescent="0.4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3.15" x14ac:dyDescent="0.4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3.15" x14ac:dyDescent="0.4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3.15" x14ac:dyDescent="0.4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3.15" x14ac:dyDescent="0.4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3.15" x14ac:dyDescent="0.4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3.15" x14ac:dyDescent="0.4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3.15" x14ac:dyDescent="0.4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3.15" x14ac:dyDescent="0.4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3.15" x14ac:dyDescent="0.4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3.15" x14ac:dyDescent="0.4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3.15" x14ac:dyDescent="0.4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3.15" x14ac:dyDescent="0.4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3.15" x14ac:dyDescent="0.4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3.15" x14ac:dyDescent="0.4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3.15" x14ac:dyDescent="0.4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3.15" x14ac:dyDescent="0.4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3.15" x14ac:dyDescent="0.4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3.15" x14ac:dyDescent="0.4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3.15" x14ac:dyDescent="0.4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3.15" x14ac:dyDescent="0.4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3.15" x14ac:dyDescent="0.4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3.15" x14ac:dyDescent="0.4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3.15" x14ac:dyDescent="0.4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3.15" x14ac:dyDescent="0.4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3.15" x14ac:dyDescent="0.4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3.15" x14ac:dyDescent="0.4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3.15" x14ac:dyDescent="0.4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3.15" x14ac:dyDescent="0.4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3.15" x14ac:dyDescent="0.4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3.15" x14ac:dyDescent="0.4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3.15" x14ac:dyDescent="0.4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3.15" x14ac:dyDescent="0.4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3.15" x14ac:dyDescent="0.4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3.15" x14ac:dyDescent="0.4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3.15" x14ac:dyDescent="0.4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3.15" x14ac:dyDescent="0.4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3.15" x14ac:dyDescent="0.4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3.15" x14ac:dyDescent="0.4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3.15" x14ac:dyDescent="0.4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3.15" x14ac:dyDescent="0.4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3.15" x14ac:dyDescent="0.4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3.15" x14ac:dyDescent="0.4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3.15" x14ac:dyDescent="0.4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3.15" x14ac:dyDescent="0.4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3.15" x14ac:dyDescent="0.4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3.15" x14ac:dyDescent="0.4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3.15" x14ac:dyDescent="0.4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3.15" x14ac:dyDescent="0.4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3.15" x14ac:dyDescent="0.4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3.15" x14ac:dyDescent="0.4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3.15" x14ac:dyDescent="0.4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3.15" x14ac:dyDescent="0.4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3.15" x14ac:dyDescent="0.4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3.15" x14ac:dyDescent="0.4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3.15" x14ac:dyDescent="0.4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3.15" x14ac:dyDescent="0.4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3.15" x14ac:dyDescent="0.4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3.15" x14ac:dyDescent="0.4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3.15" x14ac:dyDescent="0.4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3.15" x14ac:dyDescent="0.4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3.15" x14ac:dyDescent="0.4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3.15" x14ac:dyDescent="0.4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3.15" x14ac:dyDescent="0.4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3.15" x14ac:dyDescent="0.4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3.15" x14ac:dyDescent="0.4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3.15" x14ac:dyDescent="0.4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3.15" x14ac:dyDescent="0.4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3.15" x14ac:dyDescent="0.4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3.15" x14ac:dyDescent="0.4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3.15" x14ac:dyDescent="0.4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3.15" x14ac:dyDescent="0.4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3.15" x14ac:dyDescent="0.4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3.15" x14ac:dyDescent="0.4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3.15" x14ac:dyDescent="0.4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3.15" x14ac:dyDescent="0.4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3.15" x14ac:dyDescent="0.4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3.15" x14ac:dyDescent="0.4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3.15" x14ac:dyDescent="0.4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3.15" x14ac:dyDescent="0.4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3.15" x14ac:dyDescent="0.4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3.15" x14ac:dyDescent="0.4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3.15" x14ac:dyDescent="0.4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3.15" x14ac:dyDescent="0.4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3.15" x14ac:dyDescent="0.4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3.15" x14ac:dyDescent="0.4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3.15" x14ac:dyDescent="0.4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3.15" x14ac:dyDescent="0.4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3.15" x14ac:dyDescent="0.4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3.15" x14ac:dyDescent="0.4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3.15" x14ac:dyDescent="0.4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3.15" x14ac:dyDescent="0.4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3.15" x14ac:dyDescent="0.4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3.15" x14ac:dyDescent="0.4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3.15" x14ac:dyDescent="0.4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3.15" x14ac:dyDescent="0.4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3.15" x14ac:dyDescent="0.4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3.15" x14ac:dyDescent="0.4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3.15" x14ac:dyDescent="0.4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3.15" x14ac:dyDescent="0.4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3.15" x14ac:dyDescent="0.4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3.15" x14ac:dyDescent="0.4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3.15" x14ac:dyDescent="0.4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3.15" x14ac:dyDescent="0.4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3.15" x14ac:dyDescent="0.4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3.15" x14ac:dyDescent="0.4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3.15" x14ac:dyDescent="0.4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3.15" x14ac:dyDescent="0.4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3.15" x14ac:dyDescent="0.4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3.15" x14ac:dyDescent="0.4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3.15" x14ac:dyDescent="0.4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3.15" x14ac:dyDescent="0.4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3.15" x14ac:dyDescent="0.4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3.15" x14ac:dyDescent="0.4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3.15" x14ac:dyDescent="0.4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3.15" x14ac:dyDescent="0.4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3.15" x14ac:dyDescent="0.4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3.15" x14ac:dyDescent="0.4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3.15" x14ac:dyDescent="0.4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3.15" x14ac:dyDescent="0.4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3.15" x14ac:dyDescent="0.4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3.15" x14ac:dyDescent="0.4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3.15" x14ac:dyDescent="0.4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3.15" x14ac:dyDescent="0.4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3.15" x14ac:dyDescent="0.4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3.15" x14ac:dyDescent="0.4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3.15" x14ac:dyDescent="0.4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3.15" x14ac:dyDescent="0.4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3.15" x14ac:dyDescent="0.4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3.15" x14ac:dyDescent="0.4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3.15" x14ac:dyDescent="0.4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3.15" x14ac:dyDescent="0.4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3.15" x14ac:dyDescent="0.4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3.15" x14ac:dyDescent="0.4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3.15" x14ac:dyDescent="0.4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3.15" x14ac:dyDescent="0.4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3.15" x14ac:dyDescent="0.4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3.15" x14ac:dyDescent="0.4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3.15" x14ac:dyDescent="0.4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3.15" x14ac:dyDescent="0.4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3.15" x14ac:dyDescent="0.4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3.15" x14ac:dyDescent="0.4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3.15" x14ac:dyDescent="0.4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3.15" x14ac:dyDescent="0.4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3.15" x14ac:dyDescent="0.4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3.15" x14ac:dyDescent="0.4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3.15" x14ac:dyDescent="0.4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3.15" x14ac:dyDescent="0.4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3.15" x14ac:dyDescent="0.4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3.15" x14ac:dyDescent="0.4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3.15" x14ac:dyDescent="0.4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3.15" x14ac:dyDescent="0.4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3.15" x14ac:dyDescent="0.4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3.15" x14ac:dyDescent="0.4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3.15" x14ac:dyDescent="0.4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3.15" x14ac:dyDescent="0.4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3.15" x14ac:dyDescent="0.4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3.15" x14ac:dyDescent="0.4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3.15" x14ac:dyDescent="0.4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3.15" x14ac:dyDescent="0.4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3.15" x14ac:dyDescent="0.4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3.15" x14ac:dyDescent="0.4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3.15" x14ac:dyDescent="0.4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3.15" x14ac:dyDescent="0.4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3.15" x14ac:dyDescent="0.4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3.15" x14ac:dyDescent="0.4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3.15" x14ac:dyDescent="0.4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3.15" x14ac:dyDescent="0.4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3.15" x14ac:dyDescent="0.4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3.15" x14ac:dyDescent="0.4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3.15" x14ac:dyDescent="0.4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3.15" x14ac:dyDescent="0.4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3.15" x14ac:dyDescent="0.4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3.15" x14ac:dyDescent="0.4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3.15" x14ac:dyDescent="0.4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3.15" x14ac:dyDescent="0.4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3.15" x14ac:dyDescent="0.4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3.15" x14ac:dyDescent="0.4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3.15" x14ac:dyDescent="0.4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3.15" x14ac:dyDescent="0.4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3.15" x14ac:dyDescent="0.4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3.15" x14ac:dyDescent="0.4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3.15" x14ac:dyDescent="0.4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3.15" x14ac:dyDescent="0.4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3.15" x14ac:dyDescent="0.4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3.15" x14ac:dyDescent="0.4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3.15" x14ac:dyDescent="0.4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3.15" x14ac:dyDescent="0.4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3.15" x14ac:dyDescent="0.4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3.15" x14ac:dyDescent="0.4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3.15" x14ac:dyDescent="0.4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3.15" x14ac:dyDescent="0.4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3.15" x14ac:dyDescent="0.4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3.15" x14ac:dyDescent="0.4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3.15" x14ac:dyDescent="0.4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3.15" x14ac:dyDescent="0.4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3.15" x14ac:dyDescent="0.4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3.15" x14ac:dyDescent="0.4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3.15" x14ac:dyDescent="0.4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3.15" x14ac:dyDescent="0.4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3.15" x14ac:dyDescent="0.4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3.15" x14ac:dyDescent="0.4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3.15" x14ac:dyDescent="0.4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3.15" x14ac:dyDescent="0.4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3.15" x14ac:dyDescent="0.4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3.15" x14ac:dyDescent="0.4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3.15" x14ac:dyDescent="0.4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3.15" x14ac:dyDescent="0.4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3.15" x14ac:dyDescent="0.4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3.15" x14ac:dyDescent="0.4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3.15" x14ac:dyDescent="0.4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3.15" x14ac:dyDescent="0.4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3.15" x14ac:dyDescent="0.4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3.15" x14ac:dyDescent="0.4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3.15" x14ac:dyDescent="0.4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3.15" x14ac:dyDescent="0.4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3.15" x14ac:dyDescent="0.4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3.15" x14ac:dyDescent="0.4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3.15" x14ac:dyDescent="0.4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3.15" x14ac:dyDescent="0.4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3.15" x14ac:dyDescent="0.4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3.15" x14ac:dyDescent="0.4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3.15" x14ac:dyDescent="0.4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3.15" x14ac:dyDescent="0.4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3.15" x14ac:dyDescent="0.4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3.15" x14ac:dyDescent="0.4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3.15" x14ac:dyDescent="0.4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3.15" x14ac:dyDescent="0.4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3.15" x14ac:dyDescent="0.4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3.15" x14ac:dyDescent="0.4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3.15" x14ac:dyDescent="0.4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3.15" x14ac:dyDescent="0.4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3.15" x14ac:dyDescent="0.4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3.15" x14ac:dyDescent="0.4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3.15" x14ac:dyDescent="0.4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3.15" x14ac:dyDescent="0.4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3.15" x14ac:dyDescent="0.4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3.15" x14ac:dyDescent="0.4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3.15" x14ac:dyDescent="0.4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3.15" x14ac:dyDescent="0.4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3.15" x14ac:dyDescent="0.4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3.15" x14ac:dyDescent="0.4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3.15" x14ac:dyDescent="0.4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3.15" x14ac:dyDescent="0.4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3.15" x14ac:dyDescent="0.4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3.15" x14ac:dyDescent="0.4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3.15" x14ac:dyDescent="0.4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3.15" x14ac:dyDescent="0.4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3.15" x14ac:dyDescent="0.4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3.15" x14ac:dyDescent="0.4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3.15" x14ac:dyDescent="0.4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3.15" x14ac:dyDescent="0.4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3.15" x14ac:dyDescent="0.4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3.15" x14ac:dyDescent="0.4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3.15" x14ac:dyDescent="0.4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3.15" x14ac:dyDescent="0.4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3.15" x14ac:dyDescent="0.4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3.15" x14ac:dyDescent="0.4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3.15" x14ac:dyDescent="0.4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3.15" x14ac:dyDescent="0.4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3.15" x14ac:dyDescent="0.4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3.15" x14ac:dyDescent="0.4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3.15" x14ac:dyDescent="0.4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3.15" x14ac:dyDescent="0.4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3.15" x14ac:dyDescent="0.4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3.15" x14ac:dyDescent="0.4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3.15" x14ac:dyDescent="0.4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3.15" x14ac:dyDescent="0.4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3.15" x14ac:dyDescent="0.4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3.15" x14ac:dyDescent="0.4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3.15" x14ac:dyDescent="0.4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3.15" x14ac:dyDescent="0.4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3.15" x14ac:dyDescent="0.4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3.15" x14ac:dyDescent="0.4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3.15" x14ac:dyDescent="0.4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3.15" x14ac:dyDescent="0.4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3.15" x14ac:dyDescent="0.4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3.15" x14ac:dyDescent="0.4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3.15" x14ac:dyDescent="0.4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3.15" x14ac:dyDescent="0.4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3.15" x14ac:dyDescent="0.4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3.15" x14ac:dyDescent="0.4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3.15" x14ac:dyDescent="0.4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3.15" x14ac:dyDescent="0.4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3.15" x14ac:dyDescent="0.4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3.15" x14ac:dyDescent="0.4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3.15" x14ac:dyDescent="0.4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3.15" x14ac:dyDescent="0.4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3.15" x14ac:dyDescent="0.4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3.15" x14ac:dyDescent="0.4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3.15" x14ac:dyDescent="0.4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3.15" x14ac:dyDescent="0.4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3.15" x14ac:dyDescent="0.4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3.15" x14ac:dyDescent="0.4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3.15" x14ac:dyDescent="0.4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3.15" x14ac:dyDescent="0.4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3.15" x14ac:dyDescent="0.4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3.15" x14ac:dyDescent="0.4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3.15" x14ac:dyDescent="0.4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3.15" x14ac:dyDescent="0.4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3.15" x14ac:dyDescent="0.4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3.15" x14ac:dyDescent="0.4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3.15" x14ac:dyDescent="0.4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3.15" x14ac:dyDescent="0.4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3.15" x14ac:dyDescent="0.4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3.15" x14ac:dyDescent="0.4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3.15" x14ac:dyDescent="0.4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3.15" x14ac:dyDescent="0.4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3.15" x14ac:dyDescent="0.4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3.15" x14ac:dyDescent="0.4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3.15" x14ac:dyDescent="0.4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3.15" x14ac:dyDescent="0.4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3.15" x14ac:dyDescent="0.4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3.15" x14ac:dyDescent="0.4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3.15" x14ac:dyDescent="0.4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3.15" x14ac:dyDescent="0.4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3.15" x14ac:dyDescent="0.4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3.15" x14ac:dyDescent="0.4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3.15" x14ac:dyDescent="0.4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3.15" x14ac:dyDescent="0.4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3.15" x14ac:dyDescent="0.4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3.15" x14ac:dyDescent="0.4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3.15" x14ac:dyDescent="0.4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3.15" x14ac:dyDescent="0.4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3.15" x14ac:dyDescent="0.4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3.15" x14ac:dyDescent="0.4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3.15" x14ac:dyDescent="0.4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3.15" x14ac:dyDescent="0.4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3.15" x14ac:dyDescent="0.4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3.15" x14ac:dyDescent="0.4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3.15" x14ac:dyDescent="0.4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3.15" x14ac:dyDescent="0.4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3.15" x14ac:dyDescent="0.4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3.15" x14ac:dyDescent="0.4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3.15" x14ac:dyDescent="0.4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3.15" x14ac:dyDescent="0.4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3.15" x14ac:dyDescent="0.4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3.15" x14ac:dyDescent="0.4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3.15" x14ac:dyDescent="0.4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3.15" x14ac:dyDescent="0.4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3.15" x14ac:dyDescent="0.4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3.15" x14ac:dyDescent="0.4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3.15" x14ac:dyDescent="0.4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3.15" x14ac:dyDescent="0.4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3.15" x14ac:dyDescent="0.4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3.15" x14ac:dyDescent="0.4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3.15" x14ac:dyDescent="0.4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3.15" x14ac:dyDescent="0.4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3.15" x14ac:dyDescent="0.4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3.15" x14ac:dyDescent="0.4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3.15" x14ac:dyDescent="0.4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3.15" x14ac:dyDescent="0.4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3.15" x14ac:dyDescent="0.4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3.15" x14ac:dyDescent="0.4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3.15" x14ac:dyDescent="0.4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3.15" x14ac:dyDescent="0.4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3.15" x14ac:dyDescent="0.4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3.15" x14ac:dyDescent="0.4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3.15" x14ac:dyDescent="0.4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3.15" x14ac:dyDescent="0.4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3.15" x14ac:dyDescent="0.4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3.15" x14ac:dyDescent="0.4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3.15" x14ac:dyDescent="0.4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3.15" x14ac:dyDescent="0.4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3.15" x14ac:dyDescent="0.4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3.15" x14ac:dyDescent="0.4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3.15" x14ac:dyDescent="0.4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3.15" x14ac:dyDescent="0.4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3.15" x14ac:dyDescent="0.4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3.15" x14ac:dyDescent="0.4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3.15" x14ac:dyDescent="0.4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3.15" x14ac:dyDescent="0.4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3.15" x14ac:dyDescent="0.4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3.15" x14ac:dyDescent="0.4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3.15" x14ac:dyDescent="0.4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3.15" x14ac:dyDescent="0.4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3.15" x14ac:dyDescent="0.4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3.15" x14ac:dyDescent="0.4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3.15" x14ac:dyDescent="0.4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3.15" x14ac:dyDescent="0.4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3.15" x14ac:dyDescent="0.4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3.15" x14ac:dyDescent="0.4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3.15" x14ac:dyDescent="0.4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3.15" x14ac:dyDescent="0.4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3.15" x14ac:dyDescent="0.4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3.15" x14ac:dyDescent="0.4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3.15" x14ac:dyDescent="0.4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3.15" x14ac:dyDescent="0.4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3.15" x14ac:dyDescent="0.4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3.15" x14ac:dyDescent="0.4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3.15" x14ac:dyDescent="0.4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3.15" x14ac:dyDescent="0.4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3.15" x14ac:dyDescent="0.4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3.15" x14ac:dyDescent="0.4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3.15" x14ac:dyDescent="0.4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3.15" x14ac:dyDescent="0.4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3.15" x14ac:dyDescent="0.4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3.15" x14ac:dyDescent="0.4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3.15" x14ac:dyDescent="0.4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3.15" x14ac:dyDescent="0.4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3.15" x14ac:dyDescent="0.4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3.15" x14ac:dyDescent="0.4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3.15" x14ac:dyDescent="0.4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3.15" x14ac:dyDescent="0.4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3.15" x14ac:dyDescent="0.4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3.15" x14ac:dyDescent="0.4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3.15" x14ac:dyDescent="0.4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3.15" x14ac:dyDescent="0.4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3.15" x14ac:dyDescent="0.4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3.15" x14ac:dyDescent="0.4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3.15" x14ac:dyDescent="0.4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3.15" x14ac:dyDescent="0.4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3.15" x14ac:dyDescent="0.4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3.15" x14ac:dyDescent="0.4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3.15" x14ac:dyDescent="0.4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3.15" x14ac:dyDescent="0.4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3.15" x14ac:dyDescent="0.4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3.15" x14ac:dyDescent="0.4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3.15" x14ac:dyDescent="0.4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3.15" x14ac:dyDescent="0.4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3.15" x14ac:dyDescent="0.4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3.15" x14ac:dyDescent="0.4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3.15" x14ac:dyDescent="0.4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3.15" x14ac:dyDescent="0.4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3.15" x14ac:dyDescent="0.4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3.15" x14ac:dyDescent="0.4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3.15" x14ac:dyDescent="0.4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3.15" x14ac:dyDescent="0.4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3.15" x14ac:dyDescent="0.4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3.15" x14ac:dyDescent="0.4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3.15" x14ac:dyDescent="0.4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3.15" x14ac:dyDescent="0.4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3.15" x14ac:dyDescent="0.4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3.15" x14ac:dyDescent="0.4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3.15" x14ac:dyDescent="0.4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3.15" x14ac:dyDescent="0.4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3.15" x14ac:dyDescent="0.4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3.15" x14ac:dyDescent="0.4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3.15" x14ac:dyDescent="0.4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3.15" x14ac:dyDescent="0.4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3.15" x14ac:dyDescent="0.4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3.15" x14ac:dyDescent="0.4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3.15" x14ac:dyDescent="0.4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3.15" x14ac:dyDescent="0.4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3.15" x14ac:dyDescent="0.4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3.15" x14ac:dyDescent="0.4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3.15" x14ac:dyDescent="0.4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3.15" x14ac:dyDescent="0.4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3.15" x14ac:dyDescent="0.4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3.15" x14ac:dyDescent="0.4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3.15" x14ac:dyDescent="0.4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3.15" x14ac:dyDescent="0.4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3.15" x14ac:dyDescent="0.4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3.15" x14ac:dyDescent="0.4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3.15" x14ac:dyDescent="0.4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3.15" x14ac:dyDescent="0.4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3.15" x14ac:dyDescent="0.4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3.15" x14ac:dyDescent="0.4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3.15" x14ac:dyDescent="0.4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3.15" x14ac:dyDescent="0.4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3.15" x14ac:dyDescent="0.4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3.15" x14ac:dyDescent="0.4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3.15" x14ac:dyDescent="0.4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3.15" x14ac:dyDescent="0.4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3.15" x14ac:dyDescent="0.4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3.15" x14ac:dyDescent="0.4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3.15" x14ac:dyDescent="0.4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3.15" x14ac:dyDescent="0.4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3.15" x14ac:dyDescent="0.4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3.15" x14ac:dyDescent="0.4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3.15" x14ac:dyDescent="0.4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3.15" x14ac:dyDescent="0.4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3.15" x14ac:dyDescent="0.4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3.15" x14ac:dyDescent="0.4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3.15" x14ac:dyDescent="0.4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3.15" x14ac:dyDescent="0.4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3.15" x14ac:dyDescent="0.4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3.15" x14ac:dyDescent="0.4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3.15" x14ac:dyDescent="0.4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3.15" x14ac:dyDescent="0.4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3.15" x14ac:dyDescent="0.4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3.15" x14ac:dyDescent="0.4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3.15" x14ac:dyDescent="0.4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3.15" x14ac:dyDescent="0.4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3.15" x14ac:dyDescent="0.4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3.15" x14ac:dyDescent="0.4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3.15" x14ac:dyDescent="0.4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3.15" x14ac:dyDescent="0.4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3.15" x14ac:dyDescent="0.4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3.15" x14ac:dyDescent="0.4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3.15" x14ac:dyDescent="0.4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3.15" x14ac:dyDescent="0.4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3.15" x14ac:dyDescent="0.4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3.15" x14ac:dyDescent="0.4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3.15" x14ac:dyDescent="0.4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3.15" x14ac:dyDescent="0.4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3.15" x14ac:dyDescent="0.4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3.15" x14ac:dyDescent="0.4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3.15" x14ac:dyDescent="0.4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3.15" x14ac:dyDescent="0.4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3.15" x14ac:dyDescent="0.4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3.15" x14ac:dyDescent="0.4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3.15" x14ac:dyDescent="0.4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3.15" x14ac:dyDescent="0.4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3.15" x14ac:dyDescent="0.4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3.15" x14ac:dyDescent="0.4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3.15" x14ac:dyDescent="0.4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3.15" x14ac:dyDescent="0.4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3.15" x14ac:dyDescent="0.4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3.15" x14ac:dyDescent="0.4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3.15" x14ac:dyDescent="0.4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3.15" x14ac:dyDescent="0.4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3.15" x14ac:dyDescent="0.4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3.15" x14ac:dyDescent="0.4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3.15" x14ac:dyDescent="0.4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3.15" x14ac:dyDescent="0.4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3.15" x14ac:dyDescent="0.4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3.15" x14ac:dyDescent="0.4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3.15" x14ac:dyDescent="0.4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3.15" x14ac:dyDescent="0.4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3.15" x14ac:dyDescent="0.4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3.15" x14ac:dyDescent="0.4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3.15" x14ac:dyDescent="0.4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3.15" x14ac:dyDescent="0.4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3.15" x14ac:dyDescent="0.4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3.15" x14ac:dyDescent="0.4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3.15" x14ac:dyDescent="0.4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3.15" x14ac:dyDescent="0.4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3.15" x14ac:dyDescent="0.4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3.15" x14ac:dyDescent="0.4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3.15" x14ac:dyDescent="0.4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3.15" x14ac:dyDescent="0.4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3.15" x14ac:dyDescent="0.4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3.15" x14ac:dyDescent="0.4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3.15" x14ac:dyDescent="0.4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3.15" x14ac:dyDescent="0.4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3.15" x14ac:dyDescent="0.4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3.15" x14ac:dyDescent="0.4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3.15" x14ac:dyDescent="0.4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3.15" x14ac:dyDescent="0.4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3.15" x14ac:dyDescent="0.4">
      <c r="A957" s="2"/>
      <c r="B957" s="2"/>
      <c r="C957" s="2"/>
      <c r="D957" s="2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3.15" x14ac:dyDescent="0.4">
      <c r="A958" s="2"/>
      <c r="B958" s="2"/>
      <c r="C958" s="2"/>
      <c r="D958" s="2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3.15" x14ac:dyDescent="0.4">
      <c r="A959" s="2"/>
      <c r="B959" s="2"/>
      <c r="C959" s="2"/>
      <c r="D959" s="2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3.15" x14ac:dyDescent="0.4">
      <c r="A960" s="2"/>
      <c r="B960" s="2"/>
      <c r="C960" s="2"/>
      <c r="D960" s="2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3.15" x14ac:dyDescent="0.4">
      <c r="A961" s="2"/>
      <c r="B961" s="2"/>
      <c r="C961" s="2"/>
      <c r="D961" s="2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3.15" x14ac:dyDescent="0.4">
      <c r="A962" s="2"/>
      <c r="B962" s="2"/>
      <c r="C962" s="2"/>
      <c r="D962" s="2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3.15" x14ac:dyDescent="0.4">
      <c r="A963" s="2"/>
      <c r="B963" s="2"/>
      <c r="C963" s="2"/>
      <c r="D963" s="2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3.15" x14ac:dyDescent="0.4">
      <c r="A964" s="2"/>
      <c r="B964" s="2"/>
      <c r="C964" s="2"/>
      <c r="D964" s="2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3.15" x14ac:dyDescent="0.4">
      <c r="A965" s="2"/>
      <c r="B965" s="2"/>
      <c r="C965" s="2"/>
      <c r="D965" s="2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3.15" x14ac:dyDescent="0.4">
      <c r="A966" s="2"/>
      <c r="B966" s="2"/>
      <c r="C966" s="2"/>
      <c r="D966" s="2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3.15" x14ac:dyDescent="0.4">
      <c r="A967" s="2"/>
      <c r="B967" s="2"/>
      <c r="C967" s="2"/>
      <c r="D967" s="2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3.15" x14ac:dyDescent="0.4">
      <c r="A968" s="2"/>
      <c r="B968" s="2"/>
      <c r="C968" s="2"/>
      <c r="D968" s="2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3.15" x14ac:dyDescent="0.4">
      <c r="A969" s="2"/>
      <c r="B969" s="2"/>
      <c r="C969" s="2"/>
      <c r="D969" s="2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3.15" x14ac:dyDescent="0.4">
      <c r="A970" s="2"/>
      <c r="B970" s="2"/>
      <c r="C970" s="2"/>
      <c r="D970" s="2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3.15" x14ac:dyDescent="0.4">
      <c r="A971" s="2"/>
      <c r="B971" s="2"/>
      <c r="C971" s="2"/>
      <c r="D971" s="2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3.15" x14ac:dyDescent="0.4">
      <c r="A972" s="2"/>
      <c r="B972" s="2"/>
      <c r="C972" s="2"/>
      <c r="D972" s="2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3.15" x14ac:dyDescent="0.4">
      <c r="A973" s="2"/>
      <c r="B973" s="2"/>
      <c r="C973" s="2"/>
      <c r="D973" s="2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3.15" x14ac:dyDescent="0.4">
      <c r="A974" s="2"/>
      <c r="B974" s="2"/>
      <c r="C974" s="2"/>
      <c r="D974" s="2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3.15" x14ac:dyDescent="0.4">
      <c r="A975" s="2"/>
      <c r="B975" s="2"/>
      <c r="C975" s="2"/>
      <c r="D975" s="2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3.15" x14ac:dyDescent="0.4">
      <c r="A976" s="2"/>
      <c r="B976" s="2"/>
      <c r="C976" s="2"/>
      <c r="D976" s="2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3.15" x14ac:dyDescent="0.4">
      <c r="A977" s="2"/>
      <c r="B977" s="2"/>
      <c r="C977" s="2"/>
      <c r="D977" s="2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3.15" x14ac:dyDescent="0.4">
      <c r="A978" s="2"/>
      <c r="B978" s="2"/>
      <c r="C978" s="2"/>
      <c r="D978" s="2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3.15" x14ac:dyDescent="0.4">
      <c r="A979" s="2"/>
      <c r="B979" s="2"/>
      <c r="C979" s="2"/>
      <c r="D979" s="2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3.15" x14ac:dyDescent="0.4">
      <c r="A980" s="2"/>
      <c r="B980" s="2"/>
      <c r="C980" s="2"/>
      <c r="D980" s="2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3.15" x14ac:dyDescent="0.4">
      <c r="A981" s="2"/>
      <c r="B981" s="2"/>
      <c r="C981" s="2"/>
      <c r="D981" s="2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3.15" x14ac:dyDescent="0.4">
      <c r="A982" s="2"/>
      <c r="B982" s="2"/>
      <c r="C982" s="2"/>
      <c r="D982" s="2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3.15" x14ac:dyDescent="0.4">
      <c r="A983" s="2"/>
      <c r="B983" s="2"/>
      <c r="C983" s="2"/>
      <c r="D983" s="2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3.15" x14ac:dyDescent="0.4">
      <c r="A984" s="2"/>
      <c r="B984" s="2"/>
      <c r="C984" s="2"/>
      <c r="D984" s="2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3.15" x14ac:dyDescent="0.4">
      <c r="A985" s="2"/>
      <c r="B985" s="2"/>
      <c r="C985" s="2"/>
      <c r="D985" s="2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3.15" x14ac:dyDescent="0.4">
      <c r="A986" s="2"/>
      <c r="B986" s="2"/>
      <c r="C986" s="2"/>
      <c r="D986" s="2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3.15" x14ac:dyDescent="0.4">
      <c r="A987" s="2"/>
      <c r="B987" s="2"/>
      <c r="C987" s="2"/>
      <c r="D987" s="2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3.15" x14ac:dyDescent="0.4">
      <c r="A988" s="2"/>
      <c r="B988" s="2"/>
      <c r="C988" s="2"/>
      <c r="D988" s="2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3.15" x14ac:dyDescent="0.4">
      <c r="A989" s="2"/>
      <c r="B989" s="2"/>
      <c r="C989" s="2"/>
      <c r="D989" s="2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3.15" x14ac:dyDescent="0.4">
      <c r="A990" s="2"/>
      <c r="B990" s="2"/>
      <c r="C990" s="2"/>
      <c r="D990" s="2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3.15" x14ac:dyDescent="0.4">
      <c r="A991" s="2"/>
      <c r="B991" s="2"/>
      <c r="C991" s="2"/>
      <c r="D991" s="2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3.15" x14ac:dyDescent="0.4">
      <c r="A992" s="2"/>
      <c r="B992" s="2"/>
      <c r="C992" s="2"/>
      <c r="D992" s="2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3.15" x14ac:dyDescent="0.4">
      <c r="A993" s="2"/>
      <c r="B993" s="2"/>
      <c r="C993" s="2"/>
      <c r="D993" s="2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3.15" x14ac:dyDescent="0.4">
      <c r="A994" s="2"/>
      <c r="B994" s="2"/>
      <c r="C994" s="2"/>
      <c r="D994" s="2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3.15" x14ac:dyDescent="0.4">
      <c r="A995" s="2"/>
      <c r="B995" s="2"/>
      <c r="C995" s="2"/>
      <c r="D995" s="2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3.15" x14ac:dyDescent="0.4">
      <c r="A996" s="2"/>
      <c r="B996" s="2"/>
      <c r="C996" s="2"/>
      <c r="D996" s="2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3.15" x14ac:dyDescent="0.4">
      <c r="A997" s="2"/>
      <c r="B997" s="2"/>
      <c r="C997" s="2"/>
      <c r="D997" s="2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 ht="13.15" x14ac:dyDescent="0.4">
      <c r="A998" s="2"/>
      <c r="B998" s="2"/>
      <c r="C998" s="2"/>
      <c r="D998" s="2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 ht="13.15" x14ac:dyDescent="0.4">
      <c r="A999" s="2"/>
      <c r="B999" s="2"/>
      <c r="C999" s="2"/>
      <c r="D999" s="2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  <row r="1000" spans="1:31" ht="13.15" x14ac:dyDescent="0.4">
      <c r="A1000" s="2"/>
      <c r="B1000" s="2"/>
      <c r="C1000" s="2"/>
      <c r="D1000" s="2"/>
      <c r="E1000" s="17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</row>
    <row r="1001" spans="1:31" ht="13.15" x14ac:dyDescent="0.4">
      <c r="A1001" s="2"/>
      <c r="B1001" s="2"/>
      <c r="C1001" s="2"/>
      <c r="D1001" s="2"/>
      <c r="E1001" s="17"/>
      <c r="F1001" s="17"/>
      <c r="G1001" s="17"/>
      <c r="H1001" s="17"/>
      <c r="I1001" s="17"/>
      <c r="J1001" s="17"/>
      <c r="K1001" s="17"/>
      <c r="L1001" s="17"/>
      <c r="M1001" s="17"/>
      <c r="N1001" s="17"/>
      <c r="O1001" s="17"/>
      <c r="P1001" s="17"/>
      <c r="Q1001" s="17"/>
      <c r="R1001" s="17"/>
      <c r="S1001" s="17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AE1000"/>
  <sheetViews>
    <sheetView workbookViewId="0">
      <pane ySplit="1" topLeftCell="A2" activePane="bottomLeft" state="frozen"/>
      <selection pane="bottomLeft" activeCell="B3" sqref="B3"/>
    </sheetView>
  </sheetViews>
  <sheetFormatPr defaultColWidth="12.59765625" defaultRowHeight="15.75" customHeight="1" x14ac:dyDescent="0.35"/>
  <cols>
    <col min="6" max="6" width="23.46484375" customWidth="1"/>
    <col min="7" max="7" width="21.73046875" customWidth="1"/>
  </cols>
  <sheetData>
    <row r="1" spans="1:31" ht="15.75" customHeight="1" x14ac:dyDescent="0.4">
      <c r="A1" s="18"/>
      <c r="B1" s="18"/>
      <c r="C1" s="18"/>
      <c r="D1" s="18"/>
      <c r="E1" s="18" t="s">
        <v>0</v>
      </c>
      <c r="F1" s="18" t="s">
        <v>4</v>
      </c>
      <c r="G1" s="18" t="s">
        <v>5</v>
      </c>
      <c r="H1" s="18" t="s">
        <v>6</v>
      </c>
      <c r="I1" s="18" t="s">
        <v>7</v>
      </c>
      <c r="J1" s="18" t="s">
        <v>8</v>
      </c>
      <c r="K1" s="18" t="s">
        <v>9</v>
      </c>
      <c r="L1" s="18" t="s">
        <v>10</v>
      </c>
      <c r="M1" s="18" t="s">
        <v>11</v>
      </c>
      <c r="N1" s="18" t="s">
        <v>12</v>
      </c>
      <c r="O1" s="18" t="s">
        <v>13</v>
      </c>
      <c r="P1" s="18" t="s">
        <v>14</v>
      </c>
      <c r="Q1" s="18" t="s">
        <v>15</v>
      </c>
      <c r="R1" s="18" t="s">
        <v>16</v>
      </c>
      <c r="S1" s="18" t="s">
        <v>74</v>
      </c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</row>
    <row r="2" spans="1:31" ht="15.75" customHeight="1" x14ac:dyDescent="0.4">
      <c r="A2" s="20" t="s">
        <v>3</v>
      </c>
      <c r="B2" s="20" t="s">
        <v>1</v>
      </c>
      <c r="C2" s="19"/>
      <c r="D2" s="19"/>
      <c r="E2" s="19" t="s">
        <v>20</v>
      </c>
      <c r="F2" s="19" t="s">
        <v>92</v>
      </c>
      <c r="G2" s="19" t="s">
        <v>146</v>
      </c>
      <c r="H2" s="19" t="s">
        <v>147</v>
      </c>
      <c r="I2" s="21">
        <v>45355</v>
      </c>
      <c r="J2" s="21">
        <v>45357</v>
      </c>
      <c r="K2" s="19" t="s">
        <v>85</v>
      </c>
      <c r="L2" s="19" t="s">
        <v>99</v>
      </c>
      <c r="M2" s="19" t="s">
        <v>95</v>
      </c>
      <c r="N2" s="19">
        <v>6</v>
      </c>
      <c r="O2" s="19" t="s">
        <v>97</v>
      </c>
      <c r="P2" s="19">
        <v>2</v>
      </c>
      <c r="Q2" s="19">
        <v>2</v>
      </c>
      <c r="R2" s="19">
        <v>2</v>
      </c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</row>
    <row r="3" spans="1:31" ht="15.75" customHeight="1" x14ac:dyDescent="0.4">
      <c r="A3" s="19" t="s">
        <v>37</v>
      </c>
      <c r="B3" s="19">
        <f>COUNTIF($H$2:$H1000,"Wendy Edwards")</f>
        <v>10</v>
      </c>
      <c r="C3" s="19"/>
      <c r="D3" s="19"/>
      <c r="E3" s="19" t="s">
        <v>20</v>
      </c>
      <c r="F3" s="19" t="s">
        <v>92</v>
      </c>
      <c r="G3" s="19" t="s">
        <v>148</v>
      </c>
      <c r="H3" s="19" t="s">
        <v>147</v>
      </c>
      <c r="I3" s="21">
        <v>45355</v>
      </c>
      <c r="J3" s="21"/>
      <c r="K3" s="19" t="s">
        <v>78</v>
      </c>
      <c r="L3" s="19" t="s">
        <v>79</v>
      </c>
      <c r="M3" s="19" t="s">
        <v>108</v>
      </c>
      <c r="N3" s="19">
        <v>5.5</v>
      </c>
      <c r="O3" s="19" t="s">
        <v>81</v>
      </c>
      <c r="P3" s="19">
        <v>1</v>
      </c>
      <c r="Q3" s="19">
        <v>2.5</v>
      </c>
      <c r="R3" s="19">
        <v>2</v>
      </c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</row>
    <row r="4" spans="1:31" ht="15.75" customHeight="1" x14ac:dyDescent="0.4">
      <c r="A4" s="19" t="s">
        <v>36</v>
      </c>
      <c r="B4" s="19">
        <f>COUNTIF($H$2:$H1000,"Noel Mercado")</f>
        <v>7</v>
      </c>
      <c r="C4" s="19"/>
      <c r="D4" s="19"/>
      <c r="E4" s="19" t="s">
        <v>20</v>
      </c>
      <c r="F4" s="19" t="s">
        <v>100</v>
      </c>
      <c r="G4" s="19" t="s">
        <v>149</v>
      </c>
      <c r="H4" s="19" t="s">
        <v>147</v>
      </c>
      <c r="I4" s="21">
        <v>45356</v>
      </c>
      <c r="J4" s="21">
        <v>45357</v>
      </c>
      <c r="K4" s="19" t="s">
        <v>85</v>
      </c>
      <c r="L4" s="19" t="s">
        <v>113</v>
      </c>
      <c r="M4" s="19"/>
      <c r="N4" s="19">
        <v>5</v>
      </c>
      <c r="O4" s="19" t="s">
        <v>97</v>
      </c>
      <c r="P4" s="19">
        <v>2</v>
      </c>
      <c r="Q4" s="19">
        <v>3</v>
      </c>
      <c r="R4" s="19">
        <v>0</v>
      </c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</row>
    <row r="5" spans="1:31" ht="15.75" customHeight="1" x14ac:dyDescent="0.4">
      <c r="A5" s="18" t="s">
        <v>29</v>
      </c>
      <c r="B5" s="18">
        <f>SUM(B3:B4)</f>
        <v>17</v>
      </c>
      <c r="C5" s="19"/>
      <c r="D5" s="19"/>
      <c r="E5" s="19" t="s">
        <v>20</v>
      </c>
      <c r="F5" s="19" t="s">
        <v>89</v>
      </c>
      <c r="G5" s="19" t="s">
        <v>150</v>
      </c>
      <c r="H5" s="19" t="s">
        <v>147</v>
      </c>
      <c r="I5" s="21">
        <v>45357</v>
      </c>
      <c r="J5" s="21">
        <v>45357</v>
      </c>
      <c r="K5" s="19" t="s">
        <v>85</v>
      </c>
      <c r="L5" s="19"/>
      <c r="M5" s="19"/>
      <c r="N5" s="19">
        <v>7.5</v>
      </c>
      <c r="O5" s="19" t="s">
        <v>97</v>
      </c>
      <c r="P5" s="19">
        <v>2</v>
      </c>
      <c r="Q5" s="19">
        <v>3</v>
      </c>
      <c r="R5" s="19">
        <v>2.5</v>
      </c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</row>
    <row r="6" spans="1:31" ht="15.75" customHeight="1" x14ac:dyDescent="0.4">
      <c r="A6" s="19"/>
      <c r="B6" s="19"/>
      <c r="C6" s="19"/>
      <c r="D6" s="19"/>
      <c r="E6" s="19" t="s">
        <v>20</v>
      </c>
      <c r="F6" s="19" t="s">
        <v>83</v>
      </c>
      <c r="G6" s="19" t="s">
        <v>151</v>
      </c>
      <c r="H6" s="19" t="s">
        <v>147</v>
      </c>
      <c r="I6" s="21">
        <v>45358</v>
      </c>
      <c r="J6" s="21"/>
      <c r="K6" s="19" t="s">
        <v>85</v>
      </c>
      <c r="L6" s="19" t="s">
        <v>86</v>
      </c>
      <c r="M6" s="19" t="s">
        <v>95</v>
      </c>
      <c r="N6" s="19">
        <v>7</v>
      </c>
      <c r="O6" s="19" t="s">
        <v>97</v>
      </c>
      <c r="P6" s="19">
        <v>1</v>
      </c>
      <c r="Q6" s="19">
        <v>2</v>
      </c>
      <c r="R6" s="19">
        <v>2.5</v>
      </c>
      <c r="S6" s="19">
        <v>1.5</v>
      </c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</row>
    <row r="7" spans="1:31" ht="15.75" customHeight="1" x14ac:dyDescent="0.4">
      <c r="A7" s="19"/>
      <c r="B7" s="19"/>
      <c r="C7" s="19"/>
      <c r="D7" s="19"/>
      <c r="E7" s="19" t="s">
        <v>20</v>
      </c>
      <c r="F7" s="19" t="s">
        <v>92</v>
      </c>
      <c r="G7" s="19" t="s">
        <v>152</v>
      </c>
      <c r="H7" s="19" t="s">
        <v>147</v>
      </c>
      <c r="I7" s="21">
        <v>45359</v>
      </c>
      <c r="J7" s="21"/>
      <c r="K7" s="19" t="s">
        <v>78</v>
      </c>
      <c r="L7" s="19" t="s">
        <v>88</v>
      </c>
      <c r="M7" s="19" t="s">
        <v>117</v>
      </c>
      <c r="N7" s="19">
        <v>6.5</v>
      </c>
      <c r="O7" s="19" t="s">
        <v>97</v>
      </c>
      <c r="P7" s="19">
        <v>2</v>
      </c>
      <c r="Q7" s="19">
        <v>2.5</v>
      </c>
      <c r="R7" s="19">
        <v>2</v>
      </c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</row>
    <row r="8" spans="1:31" ht="15.75" customHeight="1" x14ac:dyDescent="0.4">
      <c r="A8" s="20" t="s">
        <v>13</v>
      </c>
      <c r="B8" s="20" t="s">
        <v>104</v>
      </c>
      <c r="C8" s="20" t="s">
        <v>105</v>
      </c>
      <c r="D8" s="19"/>
      <c r="E8" s="19" t="s">
        <v>20</v>
      </c>
      <c r="F8" s="19" t="s">
        <v>83</v>
      </c>
      <c r="G8" s="19" t="s">
        <v>153</v>
      </c>
      <c r="H8" s="19" t="s">
        <v>147</v>
      </c>
      <c r="I8" s="21">
        <v>45359</v>
      </c>
      <c r="J8" s="21"/>
      <c r="K8" s="19" t="s">
        <v>78</v>
      </c>
      <c r="L8" s="19" t="s">
        <v>138</v>
      </c>
      <c r="M8" s="19" t="s">
        <v>95</v>
      </c>
      <c r="N8" s="19">
        <v>7</v>
      </c>
      <c r="O8" s="19" t="s">
        <v>97</v>
      </c>
      <c r="P8" s="19">
        <v>1</v>
      </c>
      <c r="Q8" s="19">
        <v>2.5</v>
      </c>
      <c r="R8" s="19">
        <v>2</v>
      </c>
      <c r="S8" s="19">
        <v>1.5</v>
      </c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</row>
    <row r="9" spans="1:31" ht="15.75" customHeight="1" x14ac:dyDescent="0.4">
      <c r="A9" s="19" t="s">
        <v>109</v>
      </c>
      <c r="B9" s="22">
        <f>C9/B5</f>
        <v>0.76470588235294112</v>
      </c>
      <c r="C9" s="19">
        <f>(COUNTIF($O$2:$O1000,"Proficient I"))+(COUNTIF($O$2:$O1000,"Proficient II"))+(COUNTIF($O$2:$O1000,"Exemplary"))</f>
        <v>13</v>
      </c>
      <c r="D9" s="19"/>
      <c r="E9" s="19" t="s">
        <v>20</v>
      </c>
      <c r="F9" s="19" t="s">
        <v>92</v>
      </c>
      <c r="G9" s="19" t="s">
        <v>154</v>
      </c>
      <c r="H9" s="19" t="s">
        <v>155</v>
      </c>
      <c r="I9" s="21">
        <v>45355</v>
      </c>
      <c r="J9" s="21">
        <v>45359</v>
      </c>
      <c r="K9" s="19" t="s">
        <v>85</v>
      </c>
      <c r="L9" s="19" t="s">
        <v>94</v>
      </c>
      <c r="M9" s="19" t="s">
        <v>95</v>
      </c>
      <c r="N9" s="19">
        <v>6.5</v>
      </c>
      <c r="O9" s="19" t="s">
        <v>97</v>
      </c>
      <c r="P9" s="19">
        <v>1.5</v>
      </c>
      <c r="Q9" s="19">
        <v>2.5</v>
      </c>
      <c r="R9" s="19">
        <v>2.5</v>
      </c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</row>
    <row r="10" spans="1:31" ht="15.75" customHeight="1" x14ac:dyDescent="0.4">
      <c r="A10" s="19" t="s">
        <v>111</v>
      </c>
      <c r="B10" s="22">
        <f>C10/B5</f>
        <v>0.23529411764705882</v>
      </c>
      <c r="C10" s="19">
        <f>(COUNTIF($O$2:$O1000,"Unsatisfactory"))+(COUNTIF($O$2:$O1000,"Progressing"))</f>
        <v>4</v>
      </c>
      <c r="D10" s="19"/>
      <c r="E10" s="19" t="s">
        <v>20</v>
      </c>
      <c r="F10" s="19" t="s">
        <v>75</v>
      </c>
      <c r="G10" s="19" t="s">
        <v>153</v>
      </c>
      <c r="H10" s="19" t="s">
        <v>155</v>
      </c>
      <c r="I10" s="21">
        <v>45355</v>
      </c>
      <c r="J10" s="21"/>
      <c r="K10" s="19" t="s">
        <v>85</v>
      </c>
      <c r="L10" s="19" t="s">
        <v>138</v>
      </c>
      <c r="M10" s="19" t="s">
        <v>95</v>
      </c>
      <c r="N10" s="19">
        <v>5.5</v>
      </c>
      <c r="O10" s="19" t="s">
        <v>81</v>
      </c>
      <c r="P10" s="19">
        <v>1</v>
      </c>
      <c r="Q10" s="19">
        <v>2</v>
      </c>
      <c r="R10" s="19">
        <v>2.5</v>
      </c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</row>
    <row r="11" spans="1:31" ht="15.75" customHeight="1" x14ac:dyDescent="0.4">
      <c r="A11" s="19"/>
      <c r="B11" s="19"/>
      <c r="C11" s="19"/>
      <c r="D11" s="19"/>
      <c r="E11" s="19" t="s">
        <v>20</v>
      </c>
      <c r="F11" s="19" t="s">
        <v>75</v>
      </c>
      <c r="G11" s="19" t="s">
        <v>156</v>
      </c>
      <c r="H11" s="19" t="s">
        <v>155</v>
      </c>
      <c r="I11" s="21">
        <v>45356</v>
      </c>
      <c r="J11" s="21"/>
      <c r="K11" s="19" t="s">
        <v>85</v>
      </c>
      <c r="L11" s="19" t="s">
        <v>79</v>
      </c>
      <c r="M11" s="19" t="s">
        <v>95</v>
      </c>
      <c r="N11" s="19">
        <v>8</v>
      </c>
      <c r="O11" s="19" t="s">
        <v>91</v>
      </c>
      <c r="P11" s="19">
        <v>1</v>
      </c>
      <c r="Q11" s="19">
        <v>2.5</v>
      </c>
      <c r="R11" s="19">
        <v>3</v>
      </c>
      <c r="S11" s="19">
        <v>1.5</v>
      </c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</row>
    <row r="12" spans="1:31" ht="15.75" customHeight="1" x14ac:dyDescent="0.4">
      <c r="A12" s="19"/>
      <c r="B12" s="19"/>
      <c r="C12" s="19"/>
      <c r="D12" s="19"/>
      <c r="E12" s="19" t="s">
        <v>20</v>
      </c>
      <c r="F12" s="19" t="s">
        <v>75</v>
      </c>
      <c r="G12" s="19" t="s">
        <v>157</v>
      </c>
      <c r="H12" s="19" t="s">
        <v>155</v>
      </c>
      <c r="I12" s="21">
        <v>45356</v>
      </c>
      <c r="J12" s="21">
        <v>45357</v>
      </c>
      <c r="K12" s="19" t="s">
        <v>78</v>
      </c>
      <c r="L12" s="19" t="s">
        <v>115</v>
      </c>
      <c r="M12" s="19" t="s">
        <v>80</v>
      </c>
      <c r="N12" s="19">
        <v>5</v>
      </c>
      <c r="O12" s="19" t="s">
        <v>81</v>
      </c>
      <c r="P12" s="19">
        <v>1</v>
      </c>
      <c r="Q12" s="19">
        <v>1</v>
      </c>
      <c r="R12" s="19">
        <v>1.5</v>
      </c>
      <c r="S12" s="19">
        <v>1.5</v>
      </c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</row>
    <row r="13" spans="1:31" ht="15.75" customHeight="1" x14ac:dyDescent="0.4">
      <c r="A13" s="19"/>
      <c r="B13" s="19"/>
      <c r="C13" s="19"/>
      <c r="D13" s="19"/>
      <c r="E13" s="19" t="s">
        <v>20</v>
      </c>
      <c r="F13" s="19" t="s">
        <v>75</v>
      </c>
      <c r="G13" s="19" t="s">
        <v>158</v>
      </c>
      <c r="H13" s="19" t="s">
        <v>155</v>
      </c>
      <c r="I13" s="21">
        <v>45357</v>
      </c>
      <c r="J13" s="21"/>
      <c r="K13" s="19" t="s">
        <v>85</v>
      </c>
      <c r="L13" s="19" t="s">
        <v>86</v>
      </c>
      <c r="M13" s="19" t="s">
        <v>95</v>
      </c>
      <c r="N13" s="19">
        <v>6.5</v>
      </c>
      <c r="O13" s="19" t="s">
        <v>97</v>
      </c>
      <c r="P13" s="19">
        <v>1</v>
      </c>
      <c r="Q13" s="19">
        <v>2.5</v>
      </c>
      <c r="R13" s="19">
        <v>3</v>
      </c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</row>
    <row r="14" spans="1:31" ht="15.75" customHeight="1" x14ac:dyDescent="0.4">
      <c r="A14" s="19"/>
      <c r="B14" s="19"/>
      <c r="C14" s="19"/>
      <c r="D14" s="19"/>
      <c r="E14" s="19" t="s">
        <v>20</v>
      </c>
      <c r="F14" s="19" t="s">
        <v>100</v>
      </c>
      <c r="G14" s="19" t="s">
        <v>159</v>
      </c>
      <c r="H14" s="19" t="s">
        <v>155</v>
      </c>
      <c r="I14" s="21">
        <v>45357</v>
      </c>
      <c r="J14" s="21"/>
      <c r="K14" s="19" t="s">
        <v>78</v>
      </c>
      <c r="L14" s="19" t="s">
        <v>79</v>
      </c>
      <c r="M14" s="19"/>
      <c r="N14" s="19">
        <v>5</v>
      </c>
      <c r="O14" s="19" t="s">
        <v>97</v>
      </c>
      <c r="P14" s="19">
        <v>2</v>
      </c>
      <c r="Q14" s="19">
        <v>3</v>
      </c>
      <c r="R14" s="19">
        <v>0</v>
      </c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</row>
    <row r="15" spans="1:31" ht="15.75" customHeight="1" x14ac:dyDescent="0.4">
      <c r="A15" s="19"/>
      <c r="B15" s="19"/>
      <c r="C15" s="19"/>
      <c r="D15" s="19"/>
      <c r="E15" s="19" t="s">
        <v>20</v>
      </c>
      <c r="F15" s="19" t="s">
        <v>83</v>
      </c>
      <c r="G15" s="19" t="s">
        <v>153</v>
      </c>
      <c r="H15" s="19" t="s">
        <v>155</v>
      </c>
      <c r="I15" s="21">
        <v>45357</v>
      </c>
      <c r="J15" s="21"/>
      <c r="K15" s="19" t="s">
        <v>85</v>
      </c>
      <c r="L15" s="19" t="s">
        <v>138</v>
      </c>
      <c r="M15" s="19" t="s">
        <v>95</v>
      </c>
      <c r="N15" s="19">
        <v>6.5</v>
      </c>
      <c r="O15" s="19" t="s">
        <v>97</v>
      </c>
      <c r="P15" s="19">
        <v>1</v>
      </c>
      <c r="Q15" s="19">
        <v>2</v>
      </c>
      <c r="R15" s="19">
        <v>2</v>
      </c>
      <c r="S15" s="19">
        <v>1.5</v>
      </c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</row>
    <row r="16" spans="1:31" ht="15.75" customHeight="1" x14ac:dyDescent="0.4">
      <c r="A16" s="19"/>
      <c r="B16" s="19"/>
      <c r="C16" s="19"/>
      <c r="D16" s="19"/>
      <c r="E16" s="19" t="s">
        <v>20</v>
      </c>
      <c r="F16" s="19" t="s">
        <v>83</v>
      </c>
      <c r="G16" s="19" t="s">
        <v>158</v>
      </c>
      <c r="H16" s="19" t="s">
        <v>155</v>
      </c>
      <c r="I16" s="21">
        <v>45357</v>
      </c>
      <c r="J16" s="21">
        <v>45357</v>
      </c>
      <c r="K16" s="19" t="s">
        <v>85</v>
      </c>
      <c r="L16" s="19" t="s">
        <v>86</v>
      </c>
      <c r="M16" s="19" t="s">
        <v>95</v>
      </c>
      <c r="N16" s="19">
        <v>6.5</v>
      </c>
      <c r="O16" s="19" t="s">
        <v>97</v>
      </c>
      <c r="P16" s="19">
        <v>1</v>
      </c>
      <c r="Q16" s="19">
        <v>2</v>
      </c>
      <c r="R16" s="19">
        <v>2</v>
      </c>
      <c r="S16" s="19">
        <v>1.5</v>
      </c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</row>
    <row r="17" spans="1:31" ht="15.75" customHeight="1" x14ac:dyDescent="0.4">
      <c r="A17" s="19"/>
      <c r="B17" s="19"/>
      <c r="C17" s="19"/>
      <c r="D17" s="19"/>
      <c r="E17" s="19" t="s">
        <v>20</v>
      </c>
      <c r="F17" s="19" t="s">
        <v>142</v>
      </c>
      <c r="G17" s="19" t="s">
        <v>160</v>
      </c>
      <c r="H17" s="19" t="s">
        <v>155</v>
      </c>
      <c r="I17" s="21">
        <v>45358</v>
      </c>
      <c r="J17" s="21"/>
      <c r="K17" s="19" t="s">
        <v>78</v>
      </c>
      <c r="L17" s="19" t="s">
        <v>115</v>
      </c>
      <c r="M17" s="19" t="s">
        <v>95</v>
      </c>
      <c r="N17" s="19">
        <v>5.5</v>
      </c>
      <c r="O17" s="19" t="s">
        <v>81</v>
      </c>
      <c r="P17" s="19">
        <v>1</v>
      </c>
      <c r="Q17" s="19">
        <v>1.5</v>
      </c>
      <c r="R17" s="19">
        <v>1.5</v>
      </c>
      <c r="S17" s="19">
        <v>1.5</v>
      </c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</row>
    <row r="18" spans="1:31" ht="15.75" customHeight="1" x14ac:dyDescent="0.4">
      <c r="A18" s="19"/>
      <c r="B18" s="19"/>
      <c r="C18" s="19"/>
      <c r="D18" s="19"/>
      <c r="E18" s="19" t="s">
        <v>20</v>
      </c>
      <c r="F18" s="19" t="s">
        <v>92</v>
      </c>
      <c r="G18" s="19" t="s">
        <v>146</v>
      </c>
      <c r="H18" s="19" t="s">
        <v>155</v>
      </c>
      <c r="I18" s="21">
        <v>45359</v>
      </c>
      <c r="J18" s="21"/>
      <c r="K18" s="19" t="s">
        <v>78</v>
      </c>
      <c r="L18" s="19" t="s">
        <v>88</v>
      </c>
      <c r="M18" s="19" t="s">
        <v>95</v>
      </c>
      <c r="N18" s="19">
        <v>6.5</v>
      </c>
      <c r="O18" s="19" t="s">
        <v>97</v>
      </c>
      <c r="P18" s="19">
        <v>2</v>
      </c>
      <c r="Q18" s="19">
        <v>2</v>
      </c>
      <c r="R18" s="19">
        <v>2.5</v>
      </c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</row>
    <row r="19" spans="1:31" ht="15.75" customHeight="1" x14ac:dyDescent="0.4">
      <c r="A19" s="19"/>
      <c r="B19" s="19"/>
      <c r="C19" s="19"/>
      <c r="D19" s="19"/>
      <c r="E19" s="19"/>
      <c r="F19" s="19"/>
      <c r="G19" s="19"/>
      <c r="H19" s="19"/>
      <c r="I19" s="21"/>
      <c r="J19" s="21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</row>
    <row r="20" spans="1:31" ht="15.75" customHeight="1" x14ac:dyDescent="0.4">
      <c r="A20" s="19"/>
      <c r="B20" s="19"/>
      <c r="C20" s="19"/>
      <c r="D20" s="19"/>
      <c r="E20" s="19"/>
      <c r="F20" s="19"/>
      <c r="G20" s="19"/>
      <c r="H20" s="19"/>
      <c r="I20" s="21"/>
      <c r="J20" s="21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</row>
    <row r="21" spans="1:31" ht="15.75" customHeight="1" x14ac:dyDescent="0.4">
      <c r="A21" s="19"/>
      <c r="B21" s="19"/>
      <c r="C21" s="19"/>
      <c r="D21" s="19"/>
      <c r="E21" s="19"/>
      <c r="F21" s="19"/>
      <c r="G21" s="19"/>
      <c r="H21" s="19"/>
      <c r="I21" s="21"/>
      <c r="J21" s="21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</row>
    <row r="22" spans="1:31" ht="15.75" customHeight="1" x14ac:dyDescent="0.4">
      <c r="A22" s="19"/>
      <c r="B22" s="19"/>
      <c r="C22" s="19"/>
      <c r="D22" s="19"/>
      <c r="E22" s="19"/>
      <c r="F22" s="19"/>
      <c r="G22" s="19"/>
      <c r="H22" s="19"/>
      <c r="I22" s="21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</row>
    <row r="23" spans="1:31" ht="15.75" customHeight="1" x14ac:dyDescent="0.4">
      <c r="A23" s="19"/>
      <c r="B23" s="19"/>
      <c r="C23" s="19"/>
      <c r="D23" s="19"/>
      <c r="E23" s="19"/>
      <c r="F23" s="19"/>
      <c r="G23" s="19"/>
      <c r="H23" s="19"/>
      <c r="I23" s="21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</row>
    <row r="24" spans="1:31" ht="15.75" customHeight="1" x14ac:dyDescent="0.4">
      <c r="A24" s="19"/>
      <c r="B24" s="19"/>
      <c r="C24" s="19"/>
      <c r="D24" s="19"/>
      <c r="E24" s="19"/>
      <c r="F24" s="19"/>
      <c r="G24" s="19"/>
      <c r="H24" s="19"/>
      <c r="I24" s="21"/>
      <c r="J24" s="21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</row>
    <row r="25" spans="1:31" ht="15.75" customHeight="1" x14ac:dyDescent="0.4">
      <c r="A25" s="19"/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</row>
    <row r="26" spans="1:31" ht="15.75" customHeight="1" x14ac:dyDescent="0.4">
      <c r="A26" s="19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</row>
    <row r="27" spans="1:31" ht="15.75" customHeight="1" x14ac:dyDescent="0.4">
      <c r="A27" s="19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</row>
    <row r="28" spans="1:31" ht="15.75" customHeight="1" x14ac:dyDescent="0.4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</row>
    <row r="29" spans="1:31" ht="15.75" customHeight="1" x14ac:dyDescent="0.4">
      <c r="A29" s="19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</row>
    <row r="30" spans="1:31" ht="15.75" customHeight="1" x14ac:dyDescent="0.4">
      <c r="A30" s="19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</row>
    <row r="31" spans="1:31" ht="15.75" customHeight="1" x14ac:dyDescent="0.4">
      <c r="A31" s="19"/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</row>
    <row r="32" spans="1:31" ht="15.75" customHeight="1" x14ac:dyDescent="0.4">
      <c r="A32" s="19"/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</row>
    <row r="33" spans="1:31" ht="15.75" customHeight="1" x14ac:dyDescent="0.4">
      <c r="A33" s="19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</row>
    <row r="34" spans="1:31" ht="15.75" customHeight="1" x14ac:dyDescent="0.4">
      <c r="A34" s="19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</row>
    <row r="35" spans="1:31" ht="13.15" x14ac:dyDescent="0.4">
      <c r="A35" s="19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</row>
    <row r="36" spans="1:31" ht="13.15" x14ac:dyDescent="0.4">
      <c r="A36" s="19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</row>
    <row r="37" spans="1:31" ht="13.15" x14ac:dyDescent="0.4">
      <c r="A37" s="19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</row>
    <row r="38" spans="1:31" ht="13.15" x14ac:dyDescent="0.4">
      <c r="A38" s="19"/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</row>
    <row r="39" spans="1:31" ht="13.15" x14ac:dyDescent="0.4">
      <c r="A39" s="19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</row>
    <row r="40" spans="1:31" ht="13.15" x14ac:dyDescent="0.4">
      <c r="A40" s="19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</row>
    <row r="41" spans="1:31" ht="13.15" x14ac:dyDescent="0.4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</row>
    <row r="42" spans="1:31" ht="13.15" x14ac:dyDescent="0.4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</row>
    <row r="43" spans="1:31" ht="13.15" x14ac:dyDescent="0.4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</row>
    <row r="44" spans="1:31" ht="13.15" x14ac:dyDescent="0.4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</row>
    <row r="45" spans="1:31" ht="13.15" x14ac:dyDescent="0.4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</row>
    <row r="46" spans="1:31" ht="13.15" x14ac:dyDescent="0.4">
      <c r="A46" s="19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</row>
    <row r="47" spans="1:31" ht="13.15" x14ac:dyDescent="0.4">
      <c r="A47" s="19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</row>
    <row r="48" spans="1:31" ht="13.15" x14ac:dyDescent="0.4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</row>
    <row r="49" spans="1:31" ht="13.15" x14ac:dyDescent="0.4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</row>
    <row r="50" spans="1:31" ht="13.15" x14ac:dyDescent="0.4">
      <c r="A50" s="19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</row>
    <row r="51" spans="1:31" ht="13.15" x14ac:dyDescent="0.4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</row>
    <row r="52" spans="1:31" ht="13.15" x14ac:dyDescent="0.4">
      <c r="A52" s="19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</row>
    <row r="53" spans="1:31" ht="13.15" x14ac:dyDescent="0.4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</row>
    <row r="54" spans="1:31" ht="13.15" x14ac:dyDescent="0.4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</row>
    <row r="55" spans="1:31" ht="13.15" x14ac:dyDescent="0.4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</row>
    <row r="56" spans="1:31" ht="13.15" x14ac:dyDescent="0.4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</row>
    <row r="57" spans="1:31" ht="13.15" x14ac:dyDescent="0.4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</row>
    <row r="58" spans="1:31" ht="13.15" x14ac:dyDescent="0.4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</row>
    <row r="59" spans="1:31" ht="13.15" x14ac:dyDescent="0.4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</row>
    <row r="60" spans="1:31" ht="13.15" x14ac:dyDescent="0.4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</row>
    <row r="61" spans="1:31" ht="13.15" x14ac:dyDescent="0.4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</row>
    <row r="62" spans="1:31" ht="13.15" x14ac:dyDescent="0.4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</row>
    <row r="63" spans="1:31" ht="13.15" x14ac:dyDescent="0.4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</row>
    <row r="64" spans="1:31" ht="13.15" x14ac:dyDescent="0.4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</row>
    <row r="65" spans="1:31" ht="13.15" x14ac:dyDescent="0.4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</row>
    <row r="66" spans="1:31" ht="13.15" x14ac:dyDescent="0.4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</row>
    <row r="67" spans="1:31" ht="13.15" x14ac:dyDescent="0.4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</row>
    <row r="68" spans="1:31" ht="13.15" x14ac:dyDescent="0.4">
      <c r="A68" s="19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</row>
    <row r="69" spans="1:31" ht="13.15" x14ac:dyDescent="0.4">
      <c r="A69" s="19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</row>
    <row r="70" spans="1:31" ht="13.15" x14ac:dyDescent="0.4">
      <c r="A70" s="19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</row>
    <row r="71" spans="1:31" ht="13.15" x14ac:dyDescent="0.4">
      <c r="A71" s="19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</row>
    <row r="72" spans="1:31" ht="13.15" x14ac:dyDescent="0.4">
      <c r="A72" s="19"/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</row>
    <row r="73" spans="1:31" ht="13.15" x14ac:dyDescent="0.4">
      <c r="A73" s="19"/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</row>
    <row r="74" spans="1:31" ht="13.15" x14ac:dyDescent="0.4">
      <c r="A74" s="19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</row>
    <row r="75" spans="1:31" ht="13.15" x14ac:dyDescent="0.4">
      <c r="A75" s="19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</row>
    <row r="76" spans="1:31" ht="13.15" x14ac:dyDescent="0.4">
      <c r="A76" s="19"/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</row>
    <row r="77" spans="1:31" ht="13.15" x14ac:dyDescent="0.4">
      <c r="A77" s="19"/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</row>
    <row r="78" spans="1:31" ht="13.15" x14ac:dyDescent="0.4">
      <c r="A78" s="19"/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</row>
    <row r="79" spans="1:31" ht="13.15" x14ac:dyDescent="0.4">
      <c r="A79" s="19"/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</row>
    <row r="80" spans="1:31" ht="13.15" x14ac:dyDescent="0.4">
      <c r="A80" s="19"/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</row>
    <row r="81" spans="1:31" ht="13.15" x14ac:dyDescent="0.4">
      <c r="A81" s="19"/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</row>
    <row r="82" spans="1:31" ht="13.15" x14ac:dyDescent="0.4">
      <c r="A82" s="19"/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</row>
    <row r="83" spans="1:31" ht="13.15" x14ac:dyDescent="0.4">
      <c r="A83" s="19"/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</row>
    <row r="84" spans="1:31" ht="13.15" x14ac:dyDescent="0.4">
      <c r="A84" s="19"/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</row>
    <row r="85" spans="1:31" ht="13.15" x14ac:dyDescent="0.4">
      <c r="A85" s="19"/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</row>
    <row r="86" spans="1:31" ht="13.15" x14ac:dyDescent="0.4">
      <c r="A86" s="19"/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</row>
    <row r="87" spans="1:31" ht="13.15" x14ac:dyDescent="0.4">
      <c r="A87" s="19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</row>
    <row r="88" spans="1:31" ht="13.15" x14ac:dyDescent="0.4">
      <c r="A88" s="19"/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</row>
    <row r="89" spans="1:31" ht="13.15" x14ac:dyDescent="0.4">
      <c r="A89" s="19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</row>
    <row r="90" spans="1:31" ht="13.15" x14ac:dyDescent="0.4">
      <c r="A90" s="19"/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</row>
    <row r="91" spans="1:31" ht="13.15" x14ac:dyDescent="0.4">
      <c r="A91" s="19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</row>
    <row r="92" spans="1:31" ht="13.15" x14ac:dyDescent="0.4">
      <c r="A92" s="19"/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</row>
    <row r="93" spans="1:31" ht="13.15" x14ac:dyDescent="0.4">
      <c r="A93" s="19"/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</row>
    <row r="94" spans="1:31" ht="13.15" x14ac:dyDescent="0.4">
      <c r="A94" s="19"/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</row>
    <row r="95" spans="1:31" ht="13.15" x14ac:dyDescent="0.4">
      <c r="A95" s="19"/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</row>
    <row r="96" spans="1:31" ht="13.15" x14ac:dyDescent="0.4">
      <c r="A96" s="19"/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</row>
    <row r="97" spans="1:31" ht="13.15" x14ac:dyDescent="0.4">
      <c r="A97" s="19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</row>
    <row r="98" spans="1:31" ht="13.15" x14ac:dyDescent="0.4">
      <c r="A98" s="19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</row>
    <row r="99" spans="1:31" ht="13.15" x14ac:dyDescent="0.4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</row>
    <row r="100" spans="1:31" ht="13.15" x14ac:dyDescent="0.4">
      <c r="A100" s="19"/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</row>
    <row r="101" spans="1:31" ht="13.15" x14ac:dyDescent="0.4">
      <c r="A101" s="19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</row>
    <row r="102" spans="1:31" ht="13.15" x14ac:dyDescent="0.4">
      <c r="A102" s="19"/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</row>
    <row r="103" spans="1:31" ht="13.15" x14ac:dyDescent="0.4">
      <c r="A103" s="19"/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</row>
    <row r="104" spans="1:31" ht="13.15" x14ac:dyDescent="0.4">
      <c r="A104" s="19"/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</row>
    <row r="105" spans="1:31" ht="13.15" x14ac:dyDescent="0.4">
      <c r="A105" s="19"/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</row>
    <row r="106" spans="1:31" ht="13.15" x14ac:dyDescent="0.4">
      <c r="A106" s="19"/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</row>
    <row r="107" spans="1:31" ht="13.15" x14ac:dyDescent="0.4">
      <c r="A107" s="19"/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</row>
    <row r="108" spans="1:31" ht="13.15" x14ac:dyDescent="0.4">
      <c r="A108" s="19"/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</row>
    <row r="109" spans="1:31" ht="13.15" x14ac:dyDescent="0.4">
      <c r="A109" s="19"/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</row>
    <row r="110" spans="1:31" ht="13.15" x14ac:dyDescent="0.4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</row>
    <row r="111" spans="1:31" ht="13.15" x14ac:dyDescent="0.4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</row>
    <row r="112" spans="1:31" ht="13.15" x14ac:dyDescent="0.4">
      <c r="A112" s="19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</row>
    <row r="113" spans="1:31" ht="13.15" x14ac:dyDescent="0.4">
      <c r="A113" s="19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</row>
    <row r="114" spans="1:31" ht="13.15" x14ac:dyDescent="0.4">
      <c r="A114" s="19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</row>
    <row r="115" spans="1:31" ht="13.15" x14ac:dyDescent="0.4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</row>
    <row r="116" spans="1:31" ht="13.15" x14ac:dyDescent="0.4">
      <c r="A116" s="19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</row>
    <row r="117" spans="1:31" ht="13.15" x14ac:dyDescent="0.4">
      <c r="A117" s="19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</row>
    <row r="118" spans="1:31" ht="13.15" x14ac:dyDescent="0.4">
      <c r="A118" s="19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</row>
    <row r="119" spans="1:31" ht="13.15" x14ac:dyDescent="0.4">
      <c r="A119" s="19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</row>
    <row r="120" spans="1:31" ht="13.15" x14ac:dyDescent="0.4">
      <c r="A120" s="19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</row>
    <row r="121" spans="1:31" ht="13.15" x14ac:dyDescent="0.4">
      <c r="A121" s="19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</row>
    <row r="122" spans="1:31" ht="13.15" x14ac:dyDescent="0.4">
      <c r="A122" s="19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</row>
    <row r="123" spans="1:31" ht="13.15" x14ac:dyDescent="0.4">
      <c r="A123" s="19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</row>
    <row r="124" spans="1:31" ht="13.15" x14ac:dyDescent="0.4">
      <c r="A124" s="19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</row>
    <row r="125" spans="1:31" ht="13.15" x14ac:dyDescent="0.4">
      <c r="A125" s="19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</row>
    <row r="126" spans="1:31" ht="13.15" x14ac:dyDescent="0.4">
      <c r="A126" s="19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</row>
    <row r="127" spans="1:31" ht="13.15" x14ac:dyDescent="0.4">
      <c r="A127" s="19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</row>
    <row r="128" spans="1:31" ht="13.15" x14ac:dyDescent="0.4">
      <c r="A128" s="19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</row>
    <row r="129" spans="1:31" ht="13.15" x14ac:dyDescent="0.4">
      <c r="A129" s="19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</row>
    <row r="130" spans="1:31" ht="13.15" x14ac:dyDescent="0.4">
      <c r="A130" s="19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</row>
    <row r="131" spans="1:31" ht="13.15" x14ac:dyDescent="0.4">
      <c r="A131" s="19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</row>
    <row r="132" spans="1:31" ht="13.15" x14ac:dyDescent="0.4">
      <c r="A132" s="19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</row>
    <row r="133" spans="1:31" ht="13.15" x14ac:dyDescent="0.4">
      <c r="A133" s="19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</row>
    <row r="134" spans="1:31" ht="13.15" x14ac:dyDescent="0.4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</row>
    <row r="135" spans="1:31" ht="13.15" x14ac:dyDescent="0.4">
      <c r="A135" s="19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</row>
    <row r="136" spans="1:31" ht="13.15" x14ac:dyDescent="0.4">
      <c r="A136" s="19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</row>
    <row r="137" spans="1:31" ht="13.15" x14ac:dyDescent="0.4">
      <c r="A137" s="19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</row>
    <row r="138" spans="1:31" ht="13.15" x14ac:dyDescent="0.4">
      <c r="A138" s="19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</row>
    <row r="139" spans="1:31" ht="13.15" x14ac:dyDescent="0.4">
      <c r="A139" s="19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</row>
    <row r="140" spans="1:31" ht="13.15" x14ac:dyDescent="0.4">
      <c r="A140" s="19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</row>
    <row r="141" spans="1:31" ht="13.15" x14ac:dyDescent="0.4">
      <c r="A141" s="19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</row>
    <row r="142" spans="1:31" ht="13.15" x14ac:dyDescent="0.4">
      <c r="A142" s="19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</row>
    <row r="143" spans="1:31" ht="13.15" x14ac:dyDescent="0.4">
      <c r="A143" s="19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</row>
    <row r="144" spans="1:31" ht="13.15" x14ac:dyDescent="0.4">
      <c r="A144" s="19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</row>
    <row r="145" spans="1:31" ht="13.15" x14ac:dyDescent="0.4">
      <c r="A145" s="19"/>
      <c r="B145" s="19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19"/>
    </row>
    <row r="146" spans="1:31" ht="13.15" x14ac:dyDescent="0.4">
      <c r="A146" s="19"/>
      <c r="B146" s="19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  <c r="AE146" s="19"/>
    </row>
    <row r="147" spans="1:31" ht="13.15" x14ac:dyDescent="0.4">
      <c r="A147" s="19"/>
      <c r="B147" s="19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</row>
    <row r="148" spans="1:31" ht="13.15" x14ac:dyDescent="0.4">
      <c r="A148" s="19"/>
      <c r="B148" s="19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</row>
    <row r="149" spans="1:31" ht="13.15" x14ac:dyDescent="0.4">
      <c r="A149" s="19"/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19"/>
    </row>
    <row r="150" spans="1:31" ht="13.15" x14ac:dyDescent="0.4">
      <c r="A150" s="19"/>
      <c r="B150" s="19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  <c r="AE150" s="19"/>
    </row>
    <row r="151" spans="1:31" ht="13.15" x14ac:dyDescent="0.4">
      <c r="A151" s="19"/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  <c r="AE151" s="19"/>
    </row>
    <row r="152" spans="1:31" ht="13.15" x14ac:dyDescent="0.4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19"/>
    </row>
    <row r="153" spans="1:31" ht="13.15" x14ac:dyDescent="0.4">
      <c r="A153" s="19"/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  <c r="AE153" s="19"/>
    </row>
    <row r="154" spans="1:31" ht="13.15" x14ac:dyDescent="0.4">
      <c r="A154" s="19"/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/>
      <c r="AD154" s="19"/>
      <c r="AE154" s="19"/>
    </row>
    <row r="155" spans="1:31" ht="13.15" x14ac:dyDescent="0.4">
      <c r="A155" s="19"/>
      <c r="B155" s="19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</row>
    <row r="156" spans="1:31" ht="13.15" x14ac:dyDescent="0.4">
      <c r="A156" s="19"/>
      <c r="B156" s="19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  <c r="AD156" s="19"/>
      <c r="AE156" s="19"/>
    </row>
    <row r="157" spans="1:31" ht="13.15" x14ac:dyDescent="0.4">
      <c r="A157" s="19"/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  <c r="AE157" s="19"/>
    </row>
    <row r="158" spans="1:31" ht="13.15" x14ac:dyDescent="0.4">
      <c r="A158" s="19"/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19"/>
    </row>
    <row r="159" spans="1:31" ht="13.15" x14ac:dyDescent="0.4">
      <c r="A159" s="19"/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</row>
    <row r="160" spans="1:31" ht="13.15" x14ac:dyDescent="0.4">
      <c r="A160" s="19"/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  <c r="AC160" s="19"/>
      <c r="AD160" s="19"/>
      <c r="AE160" s="19"/>
    </row>
    <row r="161" spans="1:31" ht="13.15" x14ac:dyDescent="0.4">
      <c r="A161" s="19"/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  <c r="AC161" s="19"/>
      <c r="AD161" s="19"/>
      <c r="AE161" s="19"/>
    </row>
    <row r="162" spans="1:31" ht="13.15" x14ac:dyDescent="0.4">
      <c r="A162" s="19"/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  <c r="AC162" s="19"/>
      <c r="AD162" s="19"/>
      <c r="AE162" s="19"/>
    </row>
    <row r="163" spans="1:31" ht="13.15" x14ac:dyDescent="0.4">
      <c r="A163" s="19"/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  <c r="AC163" s="19"/>
      <c r="AD163" s="19"/>
      <c r="AE163" s="19"/>
    </row>
    <row r="164" spans="1:31" ht="13.15" x14ac:dyDescent="0.4">
      <c r="A164" s="19"/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  <c r="AC164" s="19"/>
      <c r="AD164" s="19"/>
      <c r="AE164" s="19"/>
    </row>
    <row r="165" spans="1:31" ht="13.15" x14ac:dyDescent="0.4">
      <c r="A165" s="19"/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19"/>
      <c r="AD165" s="19"/>
      <c r="AE165" s="19"/>
    </row>
    <row r="166" spans="1:31" ht="13.15" x14ac:dyDescent="0.4">
      <c r="A166" s="19"/>
      <c r="B166" s="19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  <c r="AC166" s="19"/>
      <c r="AD166" s="19"/>
      <c r="AE166" s="19"/>
    </row>
    <row r="167" spans="1:31" ht="13.15" x14ac:dyDescent="0.4">
      <c r="A167" s="19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</row>
    <row r="168" spans="1:31" ht="13.15" x14ac:dyDescent="0.4">
      <c r="A168" s="19"/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</row>
    <row r="169" spans="1:31" ht="13.15" x14ac:dyDescent="0.4">
      <c r="A169" s="19"/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  <c r="AE169" s="19"/>
    </row>
    <row r="170" spans="1:31" ht="13.15" x14ac:dyDescent="0.4">
      <c r="A170" s="19"/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</row>
    <row r="171" spans="1:31" ht="13.15" x14ac:dyDescent="0.4">
      <c r="A171" s="19"/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</row>
    <row r="172" spans="1:31" ht="13.15" x14ac:dyDescent="0.4">
      <c r="A172" s="19"/>
      <c r="B172" s="19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19"/>
    </row>
    <row r="173" spans="1:31" ht="13.15" x14ac:dyDescent="0.4">
      <c r="A173" s="19"/>
      <c r="B173" s="19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</row>
    <row r="174" spans="1:31" ht="13.15" x14ac:dyDescent="0.4">
      <c r="A174" s="19"/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</row>
    <row r="175" spans="1:31" ht="13.15" x14ac:dyDescent="0.4">
      <c r="A175" s="19"/>
      <c r="B175" s="19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</row>
    <row r="176" spans="1:31" ht="13.15" x14ac:dyDescent="0.4">
      <c r="A176" s="19"/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</row>
    <row r="177" spans="1:31" ht="13.15" x14ac:dyDescent="0.4">
      <c r="A177" s="19"/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  <c r="AE177" s="19"/>
    </row>
    <row r="178" spans="1:31" ht="13.15" x14ac:dyDescent="0.4">
      <c r="A178" s="19"/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</row>
    <row r="179" spans="1:31" ht="13.15" x14ac:dyDescent="0.4">
      <c r="A179" s="19"/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</row>
    <row r="180" spans="1:31" ht="13.15" x14ac:dyDescent="0.4">
      <c r="A180" s="19"/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  <c r="AE180" s="19"/>
    </row>
    <row r="181" spans="1:31" ht="13.15" x14ac:dyDescent="0.4">
      <c r="A181" s="19"/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</row>
    <row r="182" spans="1:31" ht="13.15" x14ac:dyDescent="0.4">
      <c r="A182" s="19"/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</row>
    <row r="183" spans="1:31" ht="13.15" x14ac:dyDescent="0.4">
      <c r="A183" s="19"/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</row>
    <row r="184" spans="1:31" ht="13.15" x14ac:dyDescent="0.4">
      <c r="A184" s="19"/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</row>
    <row r="185" spans="1:31" ht="13.15" x14ac:dyDescent="0.4">
      <c r="A185" s="19"/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</row>
    <row r="186" spans="1:31" ht="13.15" x14ac:dyDescent="0.4">
      <c r="A186" s="19"/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</row>
    <row r="187" spans="1:31" ht="13.15" x14ac:dyDescent="0.4">
      <c r="A187" s="19"/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</row>
    <row r="188" spans="1:31" ht="13.15" x14ac:dyDescent="0.4">
      <c r="A188" s="19"/>
      <c r="B188" s="19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</row>
    <row r="189" spans="1:31" ht="13.15" x14ac:dyDescent="0.4">
      <c r="A189" s="19"/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</row>
    <row r="190" spans="1:31" ht="13.15" x14ac:dyDescent="0.4">
      <c r="A190" s="19"/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</row>
    <row r="191" spans="1:31" ht="13.15" x14ac:dyDescent="0.4">
      <c r="A191" s="19"/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</row>
    <row r="192" spans="1:31" ht="13.15" x14ac:dyDescent="0.4">
      <c r="A192" s="19"/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</row>
    <row r="193" spans="1:31" ht="13.15" x14ac:dyDescent="0.4">
      <c r="A193" s="19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</row>
    <row r="194" spans="1:31" ht="13.15" x14ac:dyDescent="0.4">
      <c r="A194" s="19"/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</row>
    <row r="195" spans="1:31" ht="13.15" x14ac:dyDescent="0.4">
      <c r="A195" s="19"/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</row>
    <row r="196" spans="1:31" ht="13.15" x14ac:dyDescent="0.4">
      <c r="A196" s="19"/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</row>
    <row r="197" spans="1:31" ht="13.15" x14ac:dyDescent="0.4">
      <c r="A197" s="19"/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</row>
    <row r="198" spans="1:31" ht="13.15" x14ac:dyDescent="0.4">
      <c r="A198" s="19"/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</row>
    <row r="199" spans="1:31" ht="13.15" x14ac:dyDescent="0.4">
      <c r="A199" s="19"/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</row>
    <row r="200" spans="1:31" ht="13.15" x14ac:dyDescent="0.4">
      <c r="A200" s="19"/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</row>
    <row r="201" spans="1:31" ht="13.15" x14ac:dyDescent="0.4">
      <c r="A201" s="19"/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</row>
    <row r="202" spans="1:31" ht="13.15" x14ac:dyDescent="0.4">
      <c r="A202" s="19"/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</row>
    <row r="203" spans="1:31" ht="13.15" x14ac:dyDescent="0.4">
      <c r="A203" s="19"/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</row>
    <row r="204" spans="1:31" ht="13.15" x14ac:dyDescent="0.4">
      <c r="A204" s="19"/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</row>
    <row r="205" spans="1:31" ht="13.15" x14ac:dyDescent="0.4">
      <c r="A205" s="19"/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</row>
    <row r="206" spans="1:31" ht="13.15" x14ac:dyDescent="0.4">
      <c r="A206" s="19"/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</row>
    <row r="207" spans="1:31" ht="13.15" x14ac:dyDescent="0.4">
      <c r="A207" s="19"/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</row>
    <row r="208" spans="1:31" ht="13.15" x14ac:dyDescent="0.4">
      <c r="A208" s="19"/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</row>
    <row r="209" spans="1:31" ht="13.15" x14ac:dyDescent="0.4">
      <c r="A209" s="19"/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</row>
    <row r="210" spans="1:31" ht="13.15" x14ac:dyDescent="0.4">
      <c r="A210" s="19"/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</row>
    <row r="211" spans="1:31" ht="13.15" x14ac:dyDescent="0.4">
      <c r="A211" s="19"/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</row>
    <row r="212" spans="1:31" ht="13.15" x14ac:dyDescent="0.4">
      <c r="A212" s="19"/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</row>
    <row r="213" spans="1:31" ht="13.15" x14ac:dyDescent="0.4">
      <c r="A213" s="19"/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</row>
    <row r="214" spans="1:31" ht="13.15" x14ac:dyDescent="0.4">
      <c r="A214" s="19"/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</row>
    <row r="215" spans="1:31" ht="13.15" x14ac:dyDescent="0.4">
      <c r="A215" s="19"/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</row>
    <row r="216" spans="1:31" ht="13.15" x14ac:dyDescent="0.4">
      <c r="A216" s="19"/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</row>
    <row r="217" spans="1:31" ht="13.15" x14ac:dyDescent="0.4">
      <c r="A217" s="19"/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</row>
    <row r="218" spans="1:31" ht="13.15" x14ac:dyDescent="0.4">
      <c r="A218" s="19"/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</row>
    <row r="219" spans="1:31" ht="13.15" x14ac:dyDescent="0.4">
      <c r="A219" s="19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</row>
    <row r="220" spans="1:31" ht="13.15" x14ac:dyDescent="0.4">
      <c r="A220" s="19"/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</row>
    <row r="221" spans="1:31" ht="13.15" x14ac:dyDescent="0.4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</row>
    <row r="222" spans="1:31" ht="13.15" x14ac:dyDescent="0.4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</row>
    <row r="223" spans="1:31" ht="13.15" x14ac:dyDescent="0.4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</row>
    <row r="224" spans="1:31" ht="13.15" x14ac:dyDescent="0.4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</row>
    <row r="225" spans="1:31" ht="13.15" x14ac:dyDescent="0.4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</row>
    <row r="226" spans="1:31" ht="13.15" x14ac:dyDescent="0.4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</row>
    <row r="227" spans="1:31" ht="13.15" x14ac:dyDescent="0.4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</row>
    <row r="228" spans="1:31" ht="13.15" x14ac:dyDescent="0.4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</row>
    <row r="229" spans="1:31" ht="13.15" x14ac:dyDescent="0.4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  <c r="AE229" s="19"/>
    </row>
    <row r="230" spans="1:31" ht="13.15" x14ac:dyDescent="0.4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</row>
    <row r="231" spans="1:31" ht="13.15" x14ac:dyDescent="0.4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</row>
    <row r="232" spans="1:31" ht="13.15" x14ac:dyDescent="0.4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</row>
    <row r="233" spans="1:31" ht="13.15" x14ac:dyDescent="0.4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</row>
    <row r="234" spans="1:31" ht="13.15" x14ac:dyDescent="0.4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</row>
    <row r="235" spans="1:31" ht="13.15" x14ac:dyDescent="0.4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</row>
    <row r="236" spans="1:31" ht="13.15" x14ac:dyDescent="0.4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</row>
    <row r="237" spans="1:31" ht="13.15" x14ac:dyDescent="0.4">
      <c r="A237" s="19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</row>
    <row r="238" spans="1:31" ht="13.15" x14ac:dyDescent="0.4">
      <c r="A238" s="19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</row>
    <row r="239" spans="1:31" ht="13.15" x14ac:dyDescent="0.4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</row>
    <row r="240" spans="1:31" ht="13.15" x14ac:dyDescent="0.4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</row>
    <row r="241" spans="1:31" ht="13.15" x14ac:dyDescent="0.4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</row>
    <row r="242" spans="1:31" ht="13.15" x14ac:dyDescent="0.4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</row>
    <row r="243" spans="1:31" ht="13.15" x14ac:dyDescent="0.4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</row>
    <row r="244" spans="1:31" ht="13.15" x14ac:dyDescent="0.4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</row>
    <row r="245" spans="1:31" ht="13.15" x14ac:dyDescent="0.4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</row>
    <row r="246" spans="1:31" ht="13.15" x14ac:dyDescent="0.4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</row>
    <row r="247" spans="1:31" ht="13.15" x14ac:dyDescent="0.4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</row>
    <row r="248" spans="1:31" ht="13.15" x14ac:dyDescent="0.4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</row>
    <row r="249" spans="1:31" ht="13.15" x14ac:dyDescent="0.4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</row>
    <row r="250" spans="1:31" ht="13.15" x14ac:dyDescent="0.4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</row>
    <row r="251" spans="1:31" ht="13.15" x14ac:dyDescent="0.4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</row>
    <row r="252" spans="1:31" ht="13.15" x14ac:dyDescent="0.4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</row>
    <row r="253" spans="1:31" ht="13.15" x14ac:dyDescent="0.4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</row>
    <row r="254" spans="1:31" ht="13.15" x14ac:dyDescent="0.4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</row>
    <row r="255" spans="1:31" ht="13.15" x14ac:dyDescent="0.4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</row>
    <row r="256" spans="1:31" ht="13.15" x14ac:dyDescent="0.4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  <c r="AC256" s="19"/>
      <c r="AD256" s="19"/>
      <c r="AE256" s="19"/>
    </row>
    <row r="257" spans="1:31" ht="13.15" x14ac:dyDescent="0.4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9"/>
      <c r="AE257" s="19"/>
    </row>
    <row r="258" spans="1:31" ht="13.15" x14ac:dyDescent="0.4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</row>
    <row r="259" spans="1:31" ht="13.15" x14ac:dyDescent="0.4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  <c r="AC259" s="19"/>
      <c r="AD259" s="19"/>
      <c r="AE259" s="19"/>
    </row>
    <row r="260" spans="1:31" ht="13.15" x14ac:dyDescent="0.4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</row>
    <row r="261" spans="1:31" ht="13.15" x14ac:dyDescent="0.4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</row>
    <row r="262" spans="1:31" ht="13.15" x14ac:dyDescent="0.4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</row>
    <row r="263" spans="1:31" ht="13.15" x14ac:dyDescent="0.4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</row>
    <row r="264" spans="1:31" ht="13.15" x14ac:dyDescent="0.4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</row>
    <row r="265" spans="1:31" ht="13.15" x14ac:dyDescent="0.4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</row>
    <row r="266" spans="1:31" ht="13.15" x14ac:dyDescent="0.4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</row>
    <row r="267" spans="1:31" ht="13.15" x14ac:dyDescent="0.4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</row>
    <row r="268" spans="1:31" ht="13.15" x14ac:dyDescent="0.4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</row>
    <row r="269" spans="1:31" ht="13.15" x14ac:dyDescent="0.4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</row>
    <row r="270" spans="1:31" ht="13.15" x14ac:dyDescent="0.4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</row>
    <row r="271" spans="1:31" ht="13.15" x14ac:dyDescent="0.4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</row>
    <row r="272" spans="1:31" ht="13.15" x14ac:dyDescent="0.4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</row>
    <row r="273" spans="1:31" ht="13.15" x14ac:dyDescent="0.4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</row>
    <row r="274" spans="1:31" ht="13.15" x14ac:dyDescent="0.4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</row>
    <row r="275" spans="1:31" ht="13.15" x14ac:dyDescent="0.4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</row>
    <row r="276" spans="1:31" ht="13.15" x14ac:dyDescent="0.4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</row>
    <row r="277" spans="1:31" ht="13.15" x14ac:dyDescent="0.4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</row>
    <row r="278" spans="1:31" ht="13.15" x14ac:dyDescent="0.4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  <c r="AD278" s="19"/>
      <c r="AE278" s="19"/>
    </row>
    <row r="279" spans="1:31" ht="13.15" x14ac:dyDescent="0.4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</row>
    <row r="280" spans="1:31" ht="13.15" x14ac:dyDescent="0.4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</row>
    <row r="281" spans="1:31" ht="13.15" x14ac:dyDescent="0.4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</row>
    <row r="282" spans="1:31" ht="13.15" x14ac:dyDescent="0.4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</row>
    <row r="283" spans="1:31" ht="13.15" x14ac:dyDescent="0.4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</row>
    <row r="284" spans="1:31" ht="13.15" x14ac:dyDescent="0.4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E284" s="19"/>
    </row>
    <row r="285" spans="1:31" ht="13.15" x14ac:dyDescent="0.4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  <c r="AE285" s="19"/>
    </row>
    <row r="286" spans="1:31" ht="13.15" x14ac:dyDescent="0.4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</row>
    <row r="287" spans="1:31" ht="13.15" x14ac:dyDescent="0.4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  <c r="AD287" s="19"/>
      <c r="AE287" s="19"/>
    </row>
    <row r="288" spans="1:31" ht="13.15" x14ac:dyDescent="0.4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  <c r="AD288" s="19"/>
      <c r="AE288" s="19"/>
    </row>
    <row r="289" spans="1:31" ht="13.15" x14ac:dyDescent="0.4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</row>
    <row r="290" spans="1:31" ht="13.15" x14ac:dyDescent="0.4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</row>
    <row r="291" spans="1:31" ht="13.15" x14ac:dyDescent="0.4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  <c r="AD291" s="19"/>
      <c r="AE291" s="19"/>
    </row>
    <row r="292" spans="1:31" ht="13.15" x14ac:dyDescent="0.4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</row>
    <row r="293" spans="1:31" ht="13.15" x14ac:dyDescent="0.4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/>
      <c r="AE293" s="19"/>
    </row>
    <row r="294" spans="1:31" ht="13.15" x14ac:dyDescent="0.4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9"/>
      <c r="AE294" s="19"/>
    </row>
    <row r="295" spans="1:31" ht="13.15" x14ac:dyDescent="0.4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/>
      <c r="AE295" s="19"/>
    </row>
    <row r="296" spans="1:31" ht="13.15" x14ac:dyDescent="0.4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19"/>
      <c r="AE296" s="19"/>
    </row>
    <row r="297" spans="1:31" ht="13.15" x14ac:dyDescent="0.4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</row>
    <row r="298" spans="1:31" ht="13.15" x14ac:dyDescent="0.4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19"/>
      <c r="AD298" s="19"/>
      <c r="AE298" s="19"/>
    </row>
    <row r="299" spans="1:31" ht="13.15" x14ac:dyDescent="0.4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19"/>
      <c r="AE299" s="19"/>
    </row>
    <row r="300" spans="1:31" ht="13.15" x14ac:dyDescent="0.4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19"/>
      <c r="AD300" s="19"/>
      <c r="AE300" s="19"/>
    </row>
    <row r="301" spans="1:31" ht="13.15" x14ac:dyDescent="0.4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/>
      <c r="AE301" s="19"/>
    </row>
    <row r="302" spans="1:31" ht="13.15" x14ac:dyDescent="0.4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E302" s="19"/>
    </row>
    <row r="303" spans="1:31" ht="13.15" x14ac:dyDescent="0.4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  <c r="AC303" s="19"/>
      <c r="AD303" s="19"/>
      <c r="AE303" s="19"/>
    </row>
    <row r="304" spans="1:31" ht="13.15" x14ac:dyDescent="0.4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  <c r="AC304" s="19"/>
      <c r="AD304" s="19"/>
      <c r="AE304" s="19"/>
    </row>
    <row r="305" spans="1:31" ht="13.15" x14ac:dyDescent="0.4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  <c r="AC305" s="19"/>
      <c r="AD305" s="19"/>
      <c r="AE305" s="19"/>
    </row>
    <row r="306" spans="1:31" ht="13.15" x14ac:dyDescent="0.4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  <c r="AC306" s="19"/>
      <c r="AD306" s="19"/>
      <c r="AE306" s="19"/>
    </row>
    <row r="307" spans="1:31" ht="13.15" x14ac:dyDescent="0.4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  <c r="AC307" s="19"/>
      <c r="AD307" s="19"/>
      <c r="AE307" s="19"/>
    </row>
    <row r="308" spans="1:31" ht="13.15" x14ac:dyDescent="0.4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  <c r="AC308" s="19"/>
      <c r="AD308" s="19"/>
      <c r="AE308" s="19"/>
    </row>
    <row r="309" spans="1:31" ht="13.15" x14ac:dyDescent="0.4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  <c r="AC309" s="19"/>
      <c r="AD309" s="19"/>
      <c r="AE309" s="19"/>
    </row>
    <row r="310" spans="1:31" ht="13.15" x14ac:dyDescent="0.4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  <c r="AC310" s="19"/>
      <c r="AD310" s="19"/>
      <c r="AE310" s="19"/>
    </row>
    <row r="311" spans="1:31" ht="13.15" x14ac:dyDescent="0.4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  <c r="AC311" s="19"/>
      <c r="AD311" s="19"/>
      <c r="AE311" s="19"/>
    </row>
    <row r="312" spans="1:31" ht="13.15" x14ac:dyDescent="0.4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  <c r="AC312" s="19"/>
      <c r="AD312" s="19"/>
      <c r="AE312" s="19"/>
    </row>
    <row r="313" spans="1:31" ht="13.15" x14ac:dyDescent="0.4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  <c r="AC313" s="19"/>
      <c r="AD313" s="19"/>
      <c r="AE313" s="19"/>
    </row>
    <row r="314" spans="1:31" ht="13.15" x14ac:dyDescent="0.4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  <c r="AC314" s="19"/>
      <c r="AD314" s="19"/>
      <c r="AE314" s="19"/>
    </row>
    <row r="315" spans="1:31" ht="13.15" x14ac:dyDescent="0.4">
      <c r="A315" s="19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  <c r="AD315" s="19"/>
      <c r="AE315" s="19"/>
    </row>
    <row r="316" spans="1:31" ht="13.15" x14ac:dyDescent="0.4">
      <c r="A316" s="19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  <c r="AC316" s="19"/>
      <c r="AD316" s="19"/>
      <c r="AE316" s="19"/>
    </row>
    <row r="317" spans="1:31" ht="13.15" x14ac:dyDescent="0.4">
      <c r="A317" s="19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</row>
    <row r="318" spans="1:31" ht="13.15" x14ac:dyDescent="0.4">
      <c r="A318" s="19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  <c r="AC318" s="19"/>
      <c r="AD318" s="19"/>
      <c r="AE318" s="19"/>
    </row>
    <row r="319" spans="1:31" ht="13.15" x14ac:dyDescent="0.4">
      <c r="A319" s="19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  <c r="AC319" s="19"/>
      <c r="AD319" s="19"/>
      <c r="AE319" s="19"/>
    </row>
    <row r="320" spans="1:31" ht="13.15" x14ac:dyDescent="0.4">
      <c r="A320" s="19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  <c r="AC320" s="19"/>
      <c r="AD320" s="19"/>
      <c r="AE320" s="19"/>
    </row>
    <row r="321" spans="1:31" ht="13.15" x14ac:dyDescent="0.4">
      <c r="A321" s="19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  <c r="AC321" s="19"/>
      <c r="AD321" s="19"/>
      <c r="AE321" s="19"/>
    </row>
    <row r="322" spans="1:31" ht="13.15" x14ac:dyDescent="0.4">
      <c r="A322" s="19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  <c r="AC322" s="19"/>
      <c r="AD322" s="19"/>
      <c r="AE322" s="19"/>
    </row>
    <row r="323" spans="1:31" ht="13.15" x14ac:dyDescent="0.4">
      <c r="A323" s="19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  <c r="AC323" s="19"/>
      <c r="AD323" s="19"/>
      <c r="AE323" s="19"/>
    </row>
    <row r="324" spans="1:31" ht="13.15" x14ac:dyDescent="0.4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  <c r="AC324" s="19"/>
      <c r="AD324" s="19"/>
      <c r="AE324" s="19"/>
    </row>
    <row r="325" spans="1:31" ht="13.15" x14ac:dyDescent="0.4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  <c r="AC325" s="19"/>
      <c r="AD325" s="19"/>
      <c r="AE325" s="19"/>
    </row>
    <row r="326" spans="1:31" ht="13.15" x14ac:dyDescent="0.4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  <c r="AD326" s="19"/>
      <c r="AE326" s="19"/>
    </row>
    <row r="327" spans="1:31" ht="13.15" x14ac:dyDescent="0.4">
      <c r="A327" s="19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  <c r="AC327" s="19"/>
      <c r="AD327" s="19"/>
      <c r="AE327" s="19"/>
    </row>
    <row r="328" spans="1:31" ht="13.15" x14ac:dyDescent="0.4">
      <c r="A328" s="19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  <c r="AC328" s="19"/>
      <c r="AD328" s="19"/>
      <c r="AE328" s="19"/>
    </row>
    <row r="329" spans="1:31" ht="13.15" x14ac:dyDescent="0.4">
      <c r="A329" s="19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  <c r="AC329" s="19"/>
      <c r="AD329" s="19"/>
      <c r="AE329" s="19"/>
    </row>
    <row r="330" spans="1:31" ht="13.15" x14ac:dyDescent="0.4">
      <c r="A330" s="19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  <c r="AC330" s="19"/>
      <c r="AD330" s="19"/>
      <c r="AE330" s="19"/>
    </row>
    <row r="331" spans="1:31" ht="13.15" x14ac:dyDescent="0.4">
      <c r="A331" s="19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  <c r="AC331" s="19"/>
      <c r="AD331" s="19"/>
      <c r="AE331" s="19"/>
    </row>
    <row r="332" spans="1:31" ht="13.15" x14ac:dyDescent="0.4">
      <c r="A332" s="19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  <c r="AC332" s="19"/>
      <c r="AD332" s="19"/>
      <c r="AE332" s="19"/>
    </row>
    <row r="333" spans="1:31" ht="13.15" x14ac:dyDescent="0.4">
      <c r="A333" s="19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  <c r="AC333" s="19"/>
      <c r="AD333" s="19"/>
      <c r="AE333" s="19"/>
    </row>
    <row r="334" spans="1:31" ht="13.15" x14ac:dyDescent="0.4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  <c r="AC334" s="19"/>
      <c r="AD334" s="19"/>
      <c r="AE334" s="19"/>
    </row>
    <row r="335" spans="1:31" ht="13.15" x14ac:dyDescent="0.4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  <c r="AC335" s="19"/>
      <c r="AD335" s="19"/>
      <c r="AE335" s="19"/>
    </row>
    <row r="336" spans="1:31" ht="13.15" x14ac:dyDescent="0.4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  <c r="AC336" s="19"/>
      <c r="AD336" s="19"/>
      <c r="AE336" s="19"/>
    </row>
    <row r="337" spans="1:31" ht="13.15" x14ac:dyDescent="0.4">
      <c r="A337" s="19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  <c r="AC337" s="19"/>
      <c r="AD337" s="19"/>
      <c r="AE337" s="19"/>
    </row>
    <row r="338" spans="1:31" ht="13.15" x14ac:dyDescent="0.4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  <c r="AC338" s="19"/>
      <c r="AD338" s="19"/>
      <c r="AE338" s="19"/>
    </row>
    <row r="339" spans="1:31" ht="13.15" x14ac:dyDescent="0.4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  <c r="AC339" s="19"/>
      <c r="AD339" s="19"/>
      <c r="AE339" s="19"/>
    </row>
    <row r="340" spans="1:31" ht="13.15" x14ac:dyDescent="0.4">
      <c r="A340" s="19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  <c r="AC340" s="19"/>
      <c r="AD340" s="19"/>
      <c r="AE340" s="19"/>
    </row>
    <row r="341" spans="1:31" ht="13.15" x14ac:dyDescent="0.4">
      <c r="A341" s="19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  <c r="AC341" s="19"/>
      <c r="AD341" s="19"/>
      <c r="AE341" s="19"/>
    </row>
    <row r="342" spans="1:31" ht="13.15" x14ac:dyDescent="0.4">
      <c r="A342" s="19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  <c r="AC342" s="19"/>
      <c r="AD342" s="19"/>
      <c r="AE342" s="19"/>
    </row>
    <row r="343" spans="1:31" ht="13.15" x14ac:dyDescent="0.4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  <c r="AC343" s="19"/>
      <c r="AD343" s="19"/>
      <c r="AE343" s="19"/>
    </row>
    <row r="344" spans="1:31" ht="13.15" x14ac:dyDescent="0.4">
      <c r="A344" s="19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  <c r="AC344" s="19"/>
      <c r="AD344" s="19"/>
      <c r="AE344" s="19"/>
    </row>
    <row r="345" spans="1:31" ht="13.15" x14ac:dyDescent="0.4">
      <c r="A345" s="19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  <c r="AC345" s="19"/>
      <c r="AD345" s="19"/>
      <c r="AE345" s="19"/>
    </row>
    <row r="346" spans="1:31" ht="13.15" x14ac:dyDescent="0.4">
      <c r="A346" s="19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  <c r="AC346" s="19"/>
      <c r="AD346" s="19"/>
      <c r="AE346" s="19"/>
    </row>
    <row r="347" spans="1:31" ht="13.15" x14ac:dyDescent="0.4">
      <c r="A347" s="19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  <c r="AC347" s="19"/>
      <c r="AD347" s="19"/>
      <c r="AE347" s="19"/>
    </row>
    <row r="348" spans="1:31" ht="13.15" x14ac:dyDescent="0.4">
      <c r="A348" s="19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  <c r="AC348" s="19"/>
      <c r="AD348" s="19"/>
      <c r="AE348" s="19"/>
    </row>
    <row r="349" spans="1:31" ht="13.15" x14ac:dyDescent="0.4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  <c r="AC349" s="19"/>
      <c r="AD349" s="19"/>
      <c r="AE349" s="19"/>
    </row>
    <row r="350" spans="1:31" ht="13.15" x14ac:dyDescent="0.4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  <c r="AC350" s="19"/>
      <c r="AD350" s="19"/>
      <c r="AE350" s="19"/>
    </row>
    <row r="351" spans="1:31" ht="13.15" x14ac:dyDescent="0.4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  <c r="AC351" s="19"/>
      <c r="AD351" s="19"/>
      <c r="AE351" s="19"/>
    </row>
    <row r="352" spans="1:31" ht="13.15" x14ac:dyDescent="0.4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  <c r="AC352" s="19"/>
      <c r="AD352" s="19"/>
      <c r="AE352" s="19"/>
    </row>
    <row r="353" spans="1:31" ht="13.15" x14ac:dyDescent="0.4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  <c r="AC353" s="19"/>
      <c r="AD353" s="19"/>
      <c r="AE353" s="19"/>
    </row>
    <row r="354" spans="1:31" ht="13.15" x14ac:dyDescent="0.4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  <c r="AC354" s="19"/>
      <c r="AD354" s="19"/>
      <c r="AE354" s="19"/>
    </row>
    <row r="355" spans="1:31" ht="13.15" x14ac:dyDescent="0.4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  <c r="AC355" s="19"/>
      <c r="AD355" s="19"/>
      <c r="AE355" s="19"/>
    </row>
    <row r="356" spans="1:31" ht="13.15" x14ac:dyDescent="0.4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  <c r="AC356" s="19"/>
      <c r="AD356" s="19"/>
      <c r="AE356" s="19"/>
    </row>
    <row r="357" spans="1:31" ht="13.15" x14ac:dyDescent="0.4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  <c r="AC357" s="19"/>
      <c r="AD357" s="19"/>
      <c r="AE357" s="19"/>
    </row>
    <row r="358" spans="1:31" ht="13.15" x14ac:dyDescent="0.4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</row>
    <row r="359" spans="1:31" ht="13.15" x14ac:dyDescent="0.4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</row>
    <row r="360" spans="1:31" ht="13.15" x14ac:dyDescent="0.4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</row>
    <row r="361" spans="1:31" ht="13.15" x14ac:dyDescent="0.4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  <c r="AC361" s="19"/>
      <c r="AD361" s="19"/>
      <c r="AE361" s="19"/>
    </row>
    <row r="362" spans="1:31" ht="13.15" x14ac:dyDescent="0.4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  <c r="AC362" s="19"/>
      <c r="AD362" s="19"/>
      <c r="AE362" s="19"/>
    </row>
    <row r="363" spans="1:31" ht="13.15" x14ac:dyDescent="0.4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</row>
    <row r="364" spans="1:31" ht="13.15" x14ac:dyDescent="0.4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  <c r="AC364" s="19"/>
      <c r="AD364" s="19"/>
      <c r="AE364" s="19"/>
    </row>
    <row r="365" spans="1:31" ht="13.15" x14ac:dyDescent="0.4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  <c r="AC365" s="19"/>
      <c r="AD365" s="19"/>
      <c r="AE365" s="19"/>
    </row>
    <row r="366" spans="1:31" ht="13.15" x14ac:dyDescent="0.4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  <c r="AC366" s="19"/>
      <c r="AD366" s="19"/>
      <c r="AE366" s="19"/>
    </row>
    <row r="367" spans="1:31" ht="13.15" x14ac:dyDescent="0.4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  <c r="AC367" s="19"/>
      <c r="AD367" s="19"/>
      <c r="AE367" s="19"/>
    </row>
    <row r="368" spans="1:31" ht="13.15" x14ac:dyDescent="0.4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  <c r="AC368" s="19"/>
      <c r="AD368" s="19"/>
      <c r="AE368" s="19"/>
    </row>
    <row r="369" spans="1:31" ht="13.15" x14ac:dyDescent="0.4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  <c r="AC369" s="19"/>
      <c r="AD369" s="19"/>
      <c r="AE369" s="19"/>
    </row>
    <row r="370" spans="1:31" ht="13.15" x14ac:dyDescent="0.4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  <c r="AC370" s="19"/>
      <c r="AD370" s="19"/>
      <c r="AE370" s="19"/>
    </row>
    <row r="371" spans="1:31" ht="13.15" x14ac:dyDescent="0.4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</row>
    <row r="372" spans="1:31" ht="13.15" x14ac:dyDescent="0.4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  <c r="AC372" s="19"/>
      <c r="AD372" s="19"/>
      <c r="AE372" s="19"/>
    </row>
    <row r="373" spans="1:31" ht="13.15" x14ac:dyDescent="0.4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  <c r="AC373" s="19"/>
      <c r="AD373" s="19"/>
      <c r="AE373" s="19"/>
    </row>
    <row r="374" spans="1:31" ht="13.15" x14ac:dyDescent="0.4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  <c r="AC374" s="19"/>
      <c r="AD374" s="19"/>
      <c r="AE374" s="19"/>
    </row>
    <row r="375" spans="1:31" ht="13.15" x14ac:dyDescent="0.4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  <c r="AC375" s="19"/>
      <c r="AD375" s="19"/>
      <c r="AE375" s="19"/>
    </row>
    <row r="376" spans="1:31" ht="13.15" x14ac:dyDescent="0.4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  <c r="AC376" s="19"/>
      <c r="AD376" s="19"/>
      <c r="AE376" s="19"/>
    </row>
    <row r="377" spans="1:31" ht="13.15" x14ac:dyDescent="0.4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  <c r="AC377" s="19"/>
      <c r="AD377" s="19"/>
      <c r="AE377" s="19"/>
    </row>
    <row r="378" spans="1:31" ht="13.15" x14ac:dyDescent="0.4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  <c r="AC378" s="19"/>
      <c r="AD378" s="19"/>
      <c r="AE378" s="19"/>
    </row>
    <row r="379" spans="1:31" ht="13.15" x14ac:dyDescent="0.4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  <c r="AC379" s="19"/>
      <c r="AD379" s="19"/>
      <c r="AE379" s="19"/>
    </row>
    <row r="380" spans="1:31" ht="13.15" x14ac:dyDescent="0.4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  <c r="AC380" s="19"/>
      <c r="AD380" s="19"/>
      <c r="AE380" s="19"/>
    </row>
    <row r="381" spans="1:31" ht="13.15" x14ac:dyDescent="0.4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E381" s="19"/>
    </row>
    <row r="382" spans="1:31" ht="13.15" x14ac:dyDescent="0.4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  <c r="AC382" s="19"/>
      <c r="AD382" s="19"/>
      <c r="AE382" s="19"/>
    </row>
    <row r="383" spans="1:31" ht="13.15" x14ac:dyDescent="0.4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  <c r="AC383" s="19"/>
      <c r="AD383" s="19"/>
      <c r="AE383" s="19"/>
    </row>
    <row r="384" spans="1:31" ht="13.15" x14ac:dyDescent="0.4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  <c r="AC384" s="19"/>
      <c r="AD384" s="19"/>
      <c r="AE384" s="19"/>
    </row>
    <row r="385" spans="1:31" ht="13.15" x14ac:dyDescent="0.4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  <c r="AE385" s="19"/>
    </row>
    <row r="386" spans="1:31" ht="13.15" x14ac:dyDescent="0.4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9"/>
      <c r="AE386" s="19"/>
    </row>
    <row r="387" spans="1:31" ht="13.15" x14ac:dyDescent="0.4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  <c r="AE387" s="19"/>
    </row>
    <row r="388" spans="1:31" ht="13.15" x14ac:dyDescent="0.4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  <c r="AC388" s="19"/>
      <c r="AD388" s="19"/>
      <c r="AE388" s="19"/>
    </row>
    <row r="389" spans="1:31" ht="13.15" x14ac:dyDescent="0.4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  <c r="AC389" s="19"/>
      <c r="AD389" s="19"/>
      <c r="AE389" s="19"/>
    </row>
    <row r="390" spans="1:31" ht="13.15" x14ac:dyDescent="0.4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  <c r="AC390" s="19"/>
      <c r="AD390" s="19"/>
      <c r="AE390" s="19"/>
    </row>
    <row r="391" spans="1:31" ht="13.15" x14ac:dyDescent="0.4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  <c r="AC391" s="19"/>
      <c r="AD391" s="19"/>
      <c r="AE391" s="19"/>
    </row>
    <row r="392" spans="1:31" ht="13.15" x14ac:dyDescent="0.4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E392" s="19"/>
    </row>
    <row r="393" spans="1:31" ht="13.15" x14ac:dyDescent="0.4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/>
      <c r="AE393" s="19"/>
    </row>
    <row r="394" spans="1:31" ht="13.15" x14ac:dyDescent="0.4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</row>
    <row r="395" spans="1:31" ht="13.15" x14ac:dyDescent="0.4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19"/>
      <c r="AD395" s="19"/>
      <c r="AE395" s="19"/>
    </row>
    <row r="396" spans="1:31" ht="13.15" x14ac:dyDescent="0.4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/>
      <c r="AD396" s="19"/>
      <c r="AE396" s="19"/>
    </row>
    <row r="397" spans="1:31" ht="13.15" x14ac:dyDescent="0.4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  <c r="AC397" s="19"/>
      <c r="AD397" s="19"/>
      <c r="AE397" s="19"/>
    </row>
    <row r="398" spans="1:31" ht="13.15" x14ac:dyDescent="0.4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  <c r="AC398" s="19"/>
      <c r="AD398" s="19"/>
      <c r="AE398" s="19"/>
    </row>
    <row r="399" spans="1:31" ht="13.15" x14ac:dyDescent="0.4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  <c r="AC399" s="19"/>
      <c r="AD399" s="19"/>
      <c r="AE399" s="19"/>
    </row>
    <row r="400" spans="1:31" ht="13.15" x14ac:dyDescent="0.4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  <c r="AC400" s="19"/>
      <c r="AD400" s="19"/>
      <c r="AE400" s="19"/>
    </row>
    <row r="401" spans="1:31" ht="13.15" x14ac:dyDescent="0.4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  <c r="AC401" s="19"/>
      <c r="AD401" s="19"/>
      <c r="AE401" s="19"/>
    </row>
    <row r="402" spans="1:31" ht="13.15" x14ac:dyDescent="0.4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  <c r="AC402" s="19"/>
      <c r="AD402" s="19"/>
      <c r="AE402" s="19"/>
    </row>
    <row r="403" spans="1:31" ht="13.15" x14ac:dyDescent="0.4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/>
      <c r="AD403" s="19"/>
      <c r="AE403" s="19"/>
    </row>
    <row r="404" spans="1:31" ht="13.15" x14ac:dyDescent="0.4">
      <c r="A404" s="19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  <c r="AC404" s="19"/>
      <c r="AD404" s="19"/>
      <c r="AE404" s="19"/>
    </row>
    <row r="405" spans="1:31" ht="13.15" x14ac:dyDescent="0.4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  <c r="AC405" s="19"/>
      <c r="AD405" s="19"/>
      <c r="AE405" s="19"/>
    </row>
    <row r="406" spans="1:31" ht="13.15" x14ac:dyDescent="0.4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  <c r="AC406" s="19"/>
      <c r="AD406" s="19"/>
      <c r="AE406" s="19"/>
    </row>
    <row r="407" spans="1:31" ht="13.15" x14ac:dyDescent="0.4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  <c r="AC407" s="19"/>
      <c r="AD407" s="19"/>
      <c r="AE407" s="19"/>
    </row>
    <row r="408" spans="1:31" ht="13.15" x14ac:dyDescent="0.4">
      <c r="A408" s="19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  <c r="AC408" s="19"/>
      <c r="AD408" s="19"/>
      <c r="AE408" s="19"/>
    </row>
    <row r="409" spans="1:31" ht="13.15" x14ac:dyDescent="0.4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  <c r="AC409" s="19"/>
      <c r="AD409" s="19"/>
      <c r="AE409" s="19"/>
    </row>
    <row r="410" spans="1:31" ht="13.15" x14ac:dyDescent="0.4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  <c r="AC410" s="19"/>
      <c r="AD410" s="19"/>
      <c r="AE410" s="19"/>
    </row>
    <row r="411" spans="1:31" ht="13.15" x14ac:dyDescent="0.4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  <c r="AC411" s="19"/>
      <c r="AD411" s="19"/>
      <c r="AE411" s="19"/>
    </row>
    <row r="412" spans="1:31" ht="13.15" x14ac:dyDescent="0.4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  <c r="AC412" s="19"/>
      <c r="AD412" s="19"/>
      <c r="AE412" s="19"/>
    </row>
    <row r="413" spans="1:31" ht="13.15" x14ac:dyDescent="0.4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  <c r="AC413" s="19"/>
      <c r="AD413" s="19"/>
      <c r="AE413" s="19"/>
    </row>
    <row r="414" spans="1:31" ht="13.15" x14ac:dyDescent="0.4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  <c r="AC414" s="19"/>
      <c r="AD414" s="19"/>
      <c r="AE414" s="19"/>
    </row>
    <row r="415" spans="1:31" ht="13.15" x14ac:dyDescent="0.4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  <c r="AC415" s="19"/>
      <c r="AD415" s="19"/>
      <c r="AE415" s="19"/>
    </row>
    <row r="416" spans="1:31" ht="13.15" x14ac:dyDescent="0.4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  <c r="AC416" s="19"/>
      <c r="AD416" s="19"/>
      <c r="AE416" s="19"/>
    </row>
    <row r="417" spans="1:31" ht="13.15" x14ac:dyDescent="0.4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  <c r="AC417" s="19"/>
      <c r="AD417" s="19"/>
      <c r="AE417" s="19"/>
    </row>
    <row r="418" spans="1:31" ht="13.15" x14ac:dyDescent="0.4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  <c r="AC418" s="19"/>
      <c r="AD418" s="19"/>
      <c r="AE418" s="19"/>
    </row>
    <row r="419" spans="1:31" ht="13.15" x14ac:dyDescent="0.4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  <c r="AC419" s="19"/>
      <c r="AD419" s="19"/>
      <c r="AE419" s="19"/>
    </row>
    <row r="420" spans="1:31" ht="13.15" x14ac:dyDescent="0.4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  <c r="AC420" s="19"/>
      <c r="AD420" s="19"/>
      <c r="AE420" s="19"/>
    </row>
    <row r="421" spans="1:31" ht="13.15" x14ac:dyDescent="0.4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  <c r="AC421" s="19"/>
      <c r="AD421" s="19"/>
      <c r="AE421" s="19"/>
    </row>
    <row r="422" spans="1:31" ht="13.15" x14ac:dyDescent="0.4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  <c r="AC422" s="19"/>
      <c r="AD422" s="19"/>
      <c r="AE422" s="19"/>
    </row>
    <row r="423" spans="1:31" ht="13.15" x14ac:dyDescent="0.4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  <c r="AC423" s="19"/>
      <c r="AD423" s="19"/>
      <c r="AE423" s="19"/>
    </row>
    <row r="424" spans="1:31" ht="13.15" x14ac:dyDescent="0.4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  <c r="AC424" s="19"/>
      <c r="AD424" s="19"/>
      <c r="AE424" s="19"/>
    </row>
    <row r="425" spans="1:31" ht="13.15" x14ac:dyDescent="0.4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  <c r="AB425" s="19"/>
      <c r="AC425" s="19"/>
      <c r="AD425" s="19"/>
      <c r="AE425" s="19"/>
    </row>
    <row r="426" spans="1:31" ht="13.15" x14ac:dyDescent="0.4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  <c r="AB426" s="19"/>
      <c r="AC426" s="19"/>
      <c r="AD426" s="19"/>
      <c r="AE426" s="19"/>
    </row>
    <row r="427" spans="1:31" ht="13.15" x14ac:dyDescent="0.4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/>
      <c r="AC427" s="19"/>
      <c r="AD427" s="19"/>
      <c r="AE427" s="19"/>
    </row>
    <row r="428" spans="1:31" ht="13.15" x14ac:dyDescent="0.4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  <c r="AC428" s="19"/>
      <c r="AD428" s="19"/>
      <c r="AE428" s="19"/>
    </row>
    <row r="429" spans="1:31" ht="13.15" x14ac:dyDescent="0.4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  <c r="AC429" s="19"/>
      <c r="AD429" s="19"/>
      <c r="AE429" s="19"/>
    </row>
    <row r="430" spans="1:31" ht="13.15" x14ac:dyDescent="0.4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  <c r="AC430" s="19"/>
      <c r="AD430" s="19"/>
      <c r="AE430" s="19"/>
    </row>
    <row r="431" spans="1:31" ht="13.15" x14ac:dyDescent="0.4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  <c r="AC431" s="19"/>
      <c r="AD431" s="19"/>
      <c r="AE431" s="19"/>
    </row>
    <row r="432" spans="1:31" ht="13.15" x14ac:dyDescent="0.4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  <c r="AB432" s="19"/>
      <c r="AC432" s="19"/>
      <c r="AD432" s="19"/>
      <c r="AE432" s="19"/>
    </row>
    <row r="433" spans="1:31" ht="13.15" x14ac:dyDescent="0.4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  <c r="AC433" s="19"/>
      <c r="AD433" s="19"/>
      <c r="AE433" s="19"/>
    </row>
    <row r="434" spans="1:31" ht="13.15" x14ac:dyDescent="0.4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/>
      <c r="AC434" s="19"/>
      <c r="AD434" s="19"/>
      <c r="AE434" s="19"/>
    </row>
    <row r="435" spans="1:31" ht="13.15" x14ac:dyDescent="0.4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  <c r="AC435" s="19"/>
      <c r="AD435" s="19"/>
      <c r="AE435" s="19"/>
    </row>
    <row r="436" spans="1:31" ht="13.15" x14ac:dyDescent="0.4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  <c r="AC436" s="19"/>
      <c r="AD436" s="19"/>
      <c r="AE436" s="19"/>
    </row>
    <row r="437" spans="1:31" ht="13.15" x14ac:dyDescent="0.4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  <c r="AC437" s="19"/>
      <c r="AD437" s="19"/>
      <c r="AE437" s="19"/>
    </row>
    <row r="438" spans="1:31" ht="13.15" x14ac:dyDescent="0.4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  <c r="AC438" s="19"/>
      <c r="AD438" s="19"/>
      <c r="AE438" s="19"/>
    </row>
    <row r="439" spans="1:31" ht="13.15" x14ac:dyDescent="0.4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  <c r="AC439" s="19"/>
      <c r="AD439" s="19"/>
      <c r="AE439" s="19"/>
    </row>
    <row r="440" spans="1:31" ht="13.15" x14ac:dyDescent="0.4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  <c r="AC440" s="19"/>
      <c r="AD440" s="19"/>
      <c r="AE440" s="19"/>
    </row>
    <row r="441" spans="1:31" ht="13.15" x14ac:dyDescent="0.4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  <c r="AC441" s="19"/>
      <c r="AD441" s="19"/>
      <c r="AE441" s="19"/>
    </row>
    <row r="442" spans="1:31" ht="13.15" x14ac:dyDescent="0.4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  <c r="AC442" s="19"/>
      <c r="AD442" s="19"/>
      <c r="AE442" s="19"/>
    </row>
    <row r="443" spans="1:31" ht="13.15" x14ac:dyDescent="0.4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  <c r="AC443" s="19"/>
      <c r="AD443" s="19"/>
      <c r="AE443" s="19"/>
    </row>
    <row r="444" spans="1:31" ht="13.15" x14ac:dyDescent="0.4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  <c r="AC444" s="19"/>
      <c r="AD444" s="19"/>
      <c r="AE444" s="19"/>
    </row>
    <row r="445" spans="1:31" ht="13.15" x14ac:dyDescent="0.4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  <c r="AC445" s="19"/>
      <c r="AD445" s="19"/>
      <c r="AE445" s="19"/>
    </row>
    <row r="446" spans="1:31" ht="13.15" x14ac:dyDescent="0.4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  <c r="AB446" s="19"/>
      <c r="AC446" s="19"/>
      <c r="AD446" s="19"/>
      <c r="AE446" s="19"/>
    </row>
    <row r="447" spans="1:31" ht="13.15" x14ac:dyDescent="0.4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  <c r="AC447" s="19"/>
      <c r="AD447" s="19"/>
      <c r="AE447" s="19"/>
    </row>
    <row r="448" spans="1:31" ht="13.15" x14ac:dyDescent="0.4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  <c r="AC448" s="19"/>
      <c r="AD448" s="19"/>
      <c r="AE448" s="19"/>
    </row>
    <row r="449" spans="1:31" ht="13.15" x14ac:dyDescent="0.4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  <c r="AC449" s="19"/>
      <c r="AD449" s="19"/>
      <c r="AE449" s="19"/>
    </row>
    <row r="450" spans="1:31" ht="13.15" x14ac:dyDescent="0.4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/>
      <c r="AC450" s="19"/>
      <c r="AD450" s="19"/>
      <c r="AE450" s="19"/>
    </row>
    <row r="451" spans="1:31" ht="13.15" x14ac:dyDescent="0.4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  <c r="AB451" s="19"/>
      <c r="AC451" s="19"/>
      <c r="AD451" s="19"/>
      <c r="AE451" s="19"/>
    </row>
    <row r="452" spans="1:31" ht="13.15" x14ac:dyDescent="0.4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  <c r="AB452" s="19"/>
      <c r="AC452" s="19"/>
      <c r="AD452" s="19"/>
      <c r="AE452" s="19"/>
    </row>
    <row r="453" spans="1:31" ht="13.15" x14ac:dyDescent="0.4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  <c r="AB453" s="19"/>
      <c r="AC453" s="19"/>
      <c r="AD453" s="19"/>
      <c r="AE453" s="19"/>
    </row>
    <row r="454" spans="1:31" ht="13.15" x14ac:dyDescent="0.4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  <c r="AB454" s="19"/>
      <c r="AC454" s="19"/>
      <c r="AD454" s="19"/>
      <c r="AE454" s="19"/>
    </row>
    <row r="455" spans="1:31" ht="13.15" x14ac:dyDescent="0.4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  <c r="AB455" s="19"/>
      <c r="AC455" s="19"/>
      <c r="AD455" s="19"/>
      <c r="AE455" s="19"/>
    </row>
    <row r="456" spans="1:31" ht="13.15" x14ac:dyDescent="0.4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  <c r="AC456" s="19"/>
      <c r="AD456" s="19"/>
      <c r="AE456" s="19"/>
    </row>
    <row r="457" spans="1:31" ht="13.15" x14ac:dyDescent="0.4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  <c r="AA457" s="19"/>
      <c r="AB457" s="19"/>
      <c r="AC457" s="19"/>
      <c r="AD457" s="19"/>
      <c r="AE457" s="19"/>
    </row>
    <row r="458" spans="1:31" ht="13.15" x14ac:dyDescent="0.4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  <c r="AA458" s="19"/>
      <c r="AB458" s="19"/>
      <c r="AC458" s="19"/>
      <c r="AD458" s="19"/>
      <c r="AE458" s="19"/>
    </row>
    <row r="459" spans="1:31" ht="13.15" x14ac:dyDescent="0.4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  <c r="AB459" s="19"/>
      <c r="AC459" s="19"/>
      <c r="AD459" s="19"/>
      <c r="AE459" s="19"/>
    </row>
    <row r="460" spans="1:31" ht="13.15" x14ac:dyDescent="0.4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  <c r="AB460" s="19"/>
      <c r="AC460" s="19"/>
      <c r="AD460" s="19"/>
      <c r="AE460" s="19"/>
    </row>
    <row r="461" spans="1:31" ht="13.15" x14ac:dyDescent="0.4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  <c r="AB461" s="19"/>
      <c r="AC461" s="19"/>
      <c r="AD461" s="19"/>
      <c r="AE461" s="19"/>
    </row>
    <row r="462" spans="1:31" ht="13.15" x14ac:dyDescent="0.4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  <c r="AC462" s="19"/>
      <c r="AD462" s="19"/>
      <c r="AE462" s="19"/>
    </row>
    <row r="463" spans="1:31" ht="13.15" x14ac:dyDescent="0.4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  <c r="AB463" s="19"/>
      <c r="AC463" s="19"/>
      <c r="AD463" s="19"/>
      <c r="AE463" s="19"/>
    </row>
    <row r="464" spans="1:31" ht="13.15" x14ac:dyDescent="0.4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  <c r="AC464" s="19"/>
      <c r="AD464" s="19"/>
      <c r="AE464" s="19"/>
    </row>
    <row r="465" spans="1:31" ht="13.15" x14ac:dyDescent="0.4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/>
      <c r="AC465" s="19"/>
      <c r="AD465" s="19"/>
      <c r="AE465" s="19"/>
    </row>
    <row r="466" spans="1:31" ht="13.15" x14ac:dyDescent="0.4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  <c r="AB466" s="19"/>
      <c r="AC466" s="19"/>
      <c r="AD466" s="19"/>
      <c r="AE466" s="19"/>
    </row>
    <row r="467" spans="1:31" ht="13.15" x14ac:dyDescent="0.4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  <c r="AC467" s="19"/>
      <c r="AD467" s="19"/>
      <c r="AE467" s="19"/>
    </row>
    <row r="468" spans="1:31" ht="13.15" x14ac:dyDescent="0.4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  <c r="AB468" s="19"/>
      <c r="AC468" s="19"/>
      <c r="AD468" s="19"/>
      <c r="AE468" s="19"/>
    </row>
    <row r="469" spans="1:31" ht="13.15" x14ac:dyDescent="0.4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  <c r="AB469" s="19"/>
      <c r="AC469" s="19"/>
      <c r="AD469" s="19"/>
      <c r="AE469" s="19"/>
    </row>
    <row r="470" spans="1:31" ht="13.15" x14ac:dyDescent="0.4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  <c r="AB470" s="19"/>
      <c r="AC470" s="19"/>
      <c r="AD470" s="19"/>
      <c r="AE470" s="19"/>
    </row>
    <row r="471" spans="1:31" ht="13.15" x14ac:dyDescent="0.4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  <c r="AC471" s="19"/>
      <c r="AD471" s="19"/>
      <c r="AE471" s="19"/>
    </row>
    <row r="472" spans="1:31" ht="13.15" x14ac:dyDescent="0.4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  <c r="AB472" s="19"/>
      <c r="AC472" s="19"/>
      <c r="AD472" s="19"/>
      <c r="AE472" s="19"/>
    </row>
    <row r="473" spans="1:31" ht="13.15" x14ac:dyDescent="0.4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  <c r="AC473" s="19"/>
      <c r="AD473" s="19"/>
      <c r="AE473" s="19"/>
    </row>
    <row r="474" spans="1:31" ht="13.15" x14ac:dyDescent="0.4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/>
      <c r="AC474" s="19"/>
      <c r="AD474" s="19"/>
      <c r="AE474" s="19"/>
    </row>
    <row r="475" spans="1:31" ht="13.15" x14ac:dyDescent="0.4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  <c r="AC475" s="19"/>
      <c r="AD475" s="19"/>
      <c r="AE475" s="19"/>
    </row>
    <row r="476" spans="1:31" ht="13.15" x14ac:dyDescent="0.4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/>
      <c r="AC476" s="19"/>
      <c r="AD476" s="19"/>
      <c r="AE476" s="19"/>
    </row>
    <row r="477" spans="1:31" ht="13.15" x14ac:dyDescent="0.4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  <c r="AC477" s="19"/>
      <c r="AD477" s="19"/>
      <c r="AE477" s="19"/>
    </row>
    <row r="478" spans="1:31" ht="13.15" x14ac:dyDescent="0.4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  <c r="AC478" s="19"/>
      <c r="AD478" s="19"/>
      <c r="AE478" s="19"/>
    </row>
    <row r="479" spans="1:31" ht="13.15" x14ac:dyDescent="0.4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  <c r="AC479" s="19"/>
      <c r="AD479" s="19"/>
      <c r="AE479" s="19"/>
    </row>
    <row r="480" spans="1:31" ht="13.15" x14ac:dyDescent="0.4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  <c r="AC480" s="19"/>
      <c r="AD480" s="19"/>
      <c r="AE480" s="19"/>
    </row>
    <row r="481" spans="1:31" ht="13.15" x14ac:dyDescent="0.4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  <c r="AB481" s="19"/>
      <c r="AC481" s="19"/>
      <c r="AD481" s="19"/>
      <c r="AE481" s="19"/>
    </row>
    <row r="482" spans="1:31" ht="13.15" x14ac:dyDescent="0.4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  <c r="AC482" s="19"/>
      <c r="AD482" s="19"/>
      <c r="AE482" s="19"/>
    </row>
    <row r="483" spans="1:31" ht="13.15" x14ac:dyDescent="0.4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19"/>
      <c r="AC483" s="19"/>
      <c r="AD483" s="19"/>
      <c r="AE483" s="19"/>
    </row>
    <row r="484" spans="1:31" ht="13.15" x14ac:dyDescent="0.4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  <c r="AB484" s="19"/>
      <c r="AC484" s="19"/>
      <c r="AD484" s="19"/>
      <c r="AE484" s="19"/>
    </row>
    <row r="485" spans="1:31" ht="13.15" x14ac:dyDescent="0.4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  <c r="AA485" s="19"/>
      <c r="AB485" s="19"/>
      <c r="AC485" s="19"/>
      <c r="AD485" s="19"/>
      <c r="AE485" s="19"/>
    </row>
    <row r="486" spans="1:31" ht="13.15" x14ac:dyDescent="0.4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  <c r="AB486" s="19"/>
      <c r="AC486" s="19"/>
      <c r="AD486" s="19"/>
      <c r="AE486" s="19"/>
    </row>
    <row r="487" spans="1:31" ht="13.15" x14ac:dyDescent="0.4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  <c r="AA487" s="19"/>
      <c r="AB487" s="19"/>
      <c r="AC487" s="19"/>
      <c r="AD487" s="19"/>
      <c r="AE487" s="19"/>
    </row>
    <row r="488" spans="1:31" ht="13.15" x14ac:dyDescent="0.4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  <c r="AC488" s="19"/>
      <c r="AD488" s="19"/>
      <c r="AE488" s="19"/>
    </row>
    <row r="489" spans="1:31" ht="13.15" x14ac:dyDescent="0.4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  <c r="AB489" s="19"/>
      <c r="AC489" s="19"/>
      <c r="AD489" s="19"/>
      <c r="AE489" s="19"/>
    </row>
    <row r="490" spans="1:31" ht="13.15" x14ac:dyDescent="0.4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  <c r="AC490" s="19"/>
      <c r="AD490" s="19"/>
      <c r="AE490" s="19"/>
    </row>
    <row r="491" spans="1:31" ht="13.15" x14ac:dyDescent="0.4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  <c r="AB491" s="19"/>
      <c r="AC491" s="19"/>
      <c r="AD491" s="19"/>
      <c r="AE491" s="19"/>
    </row>
    <row r="492" spans="1:31" ht="13.15" x14ac:dyDescent="0.4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  <c r="AB492" s="19"/>
      <c r="AC492" s="19"/>
      <c r="AD492" s="19"/>
      <c r="AE492" s="19"/>
    </row>
    <row r="493" spans="1:31" ht="13.15" x14ac:dyDescent="0.4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  <c r="AB493" s="19"/>
      <c r="AC493" s="19"/>
      <c r="AD493" s="19"/>
      <c r="AE493" s="19"/>
    </row>
    <row r="494" spans="1:31" ht="13.15" x14ac:dyDescent="0.4">
      <c r="A494" s="19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  <c r="AA494" s="19"/>
      <c r="AB494" s="19"/>
      <c r="AC494" s="19"/>
      <c r="AD494" s="19"/>
      <c r="AE494" s="19"/>
    </row>
    <row r="495" spans="1:31" ht="13.15" x14ac:dyDescent="0.4">
      <c r="A495" s="19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  <c r="AA495" s="19"/>
      <c r="AB495" s="19"/>
      <c r="AC495" s="19"/>
      <c r="AD495" s="19"/>
      <c r="AE495" s="19"/>
    </row>
    <row r="496" spans="1:31" ht="13.15" x14ac:dyDescent="0.4">
      <c r="A496" s="19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  <c r="AA496" s="19"/>
      <c r="AB496" s="19"/>
      <c r="AC496" s="19"/>
      <c r="AD496" s="19"/>
      <c r="AE496" s="19"/>
    </row>
    <row r="497" spans="1:31" ht="13.15" x14ac:dyDescent="0.4">
      <c r="A497" s="19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  <c r="AA497" s="19"/>
      <c r="AB497" s="19"/>
      <c r="AC497" s="19"/>
      <c r="AD497" s="19"/>
      <c r="AE497" s="19"/>
    </row>
    <row r="498" spans="1:31" ht="13.15" x14ac:dyDescent="0.4">
      <c r="A498" s="19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  <c r="AA498" s="19"/>
      <c r="AB498" s="19"/>
      <c r="AC498" s="19"/>
      <c r="AD498" s="19"/>
      <c r="AE498" s="19"/>
    </row>
    <row r="499" spans="1:31" ht="13.15" x14ac:dyDescent="0.4">
      <c r="A499" s="19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  <c r="AB499" s="19"/>
      <c r="AC499" s="19"/>
      <c r="AD499" s="19"/>
      <c r="AE499" s="19"/>
    </row>
    <row r="500" spans="1:31" ht="13.15" x14ac:dyDescent="0.4">
      <c r="A500" s="19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  <c r="AA500" s="19"/>
      <c r="AB500" s="19"/>
      <c r="AC500" s="19"/>
      <c r="AD500" s="19"/>
      <c r="AE500" s="19"/>
    </row>
    <row r="501" spans="1:31" ht="13.15" x14ac:dyDescent="0.4">
      <c r="A501" s="19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  <c r="AA501" s="19"/>
      <c r="AB501" s="19"/>
      <c r="AC501" s="19"/>
      <c r="AD501" s="19"/>
      <c r="AE501" s="19"/>
    </row>
    <row r="502" spans="1:31" ht="13.15" x14ac:dyDescent="0.4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  <c r="AA502" s="19"/>
      <c r="AB502" s="19"/>
      <c r="AC502" s="19"/>
      <c r="AD502" s="19"/>
      <c r="AE502" s="19"/>
    </row>
    <row r="503" spans="1:31" ht="13.15" x14ac:dyDescent="0.4">
      <c r="A503" s="19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  <c r="AB503" s="19"/>
      <c r="AC503" s="19"/>
      <c r="AD503" s="19"/>
      <c r="AE503" s="19"/>
    </row>
    <row r="504" spans="1:31" ht="13.15" x14ac:dyDescent="0.4">
      <c r="A504" s="19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  <c r="AB504" s="19"/>
      <c r="AC504" s="19"/>
      <c r="AD504" s="19"/>
      <c r="AE504" s="19"/>
    </row>
    <row r="505" spans="1:31" ht="13.15" x14ac:dyDescent="0.4">
      <c r="A505" s="19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  <c r="AB505" s="19"/>
      <c r="AC505" s="19"/>
      <c r="AD505" s="19"/>
      <c r="AE505" s="19"/>
    </row>
    <row r="506" spans="1:31" ht="13.15" x14ac:dyDescent="0.4">
      <c r="A506" s="19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  <c r="AB506" s="19"/>
      <c r="AC506" s="19"/>
      <c r="AD506" s="19"/>
      <c r="AE506" s="19"/>
    </row>
    <row r="507" spans="1:31" ht="13.15" x14ac:dyDescent="0.4">
      <c r="A507" s="19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  <c r="AB507" s="19"/>
      <c r="AC507" s="19"/>
      <c r="AD507" s="19"/>
      <c r="AE507" s="19"/>
    </row>
    <row r="508" spans="1:31" ht="13.15" x14ac:dyDescent="0.4">
      <c r="A508" s="19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  <c r="AC508" s="19"/>
      <c r="AD508" s="19"/>
      <c r="AE508" s="19"/>
    </row>
    <row r="509" spans="1:31" ht="13.15" x14ac:dyDescent="0.4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AB509" s="19"/>
      <c r="AC509" s="19"/>
      <c r="AD509" s="19"/>
      <c r="AE509" s="19"/>
    </row>
    <row r="510" spans="1:31" ht="13.15" x14ac:dyDescent="0.4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  <c r="AC510" s="19"/>
      <c r="AD510" s="19"/>
      <c r="AE510" s="19"/>
    </row>
    <row r="511" spans="1:31" ht="13.15" x14ac:dyDescent="0.4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  <c r="AC511" s="19"/>
      <c r="AD511" s="19"/>
      <c r="AE511" s="19"/>
    </row>
    <row r="512" spans="1:31" ht="13.15" x14ac:dyDescent="0.4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  <c r="AC512" s="19"/>
      <c r="AD512" s="19"/>
      <c r="AE512" s="19"/>
    </row>
    <row r="513" spans="1:31" ht="13.15" x14ac:dyDescent="0.4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AB513" s="19"/>
      <c r="AC513" s="19"/>
      <c r="AD513" s="19"/>
      <c r="AE513" s="19"/>
    </row>
    <row r="514" spans="1:31" ht="13.15" x14ac:dyDescent="0.4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  <c r="AB514" s="19"/>
      <c r="AC514" s="19"/>
      <c r="AD514" s="19"/>
      <c r="AE514" s="19"/>
    </row>
    <row r="515" spans="1:31" ht="13.15" x14ac:dyDescent="0.4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/>
      <c r="AC515" s="19"/>
      <c r="AD515" s="19"/>
      <c r="AE515" s="19"/>
    </row>
    <row r="516" spans="1:31" ht="13.15" x14ac:dyDescent="0.4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  <c r="AC516" s="19"/>
      <c r="AD516" s="19"/>
      <c r="AE516" s="19"/>
    </row>
    <row r="517" spans="1:31" ht="13.15" x14ac:dyDescent="0.4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  <c r="AB517" s="19"/>
      <c r="AC517" s="19"/>
      <c r="AD517" s="19"/>
      <c r="AE517" s="19"/>
    </row>
    <row r="518" spans="1:31" ht="13.15" x14ac:dyDescent="0.4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  <c r="AB518" s="19"/>
      <c r="AC518" s="19"/>
      <c r="AD518" s="19"/>
      <c r="AE518" s="19"/>
    </row>
    <row r="519" spans="1:31" ht="13.15" x14ac:dyDescent="0.4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  <c r="AA519" s="19"/>
      <c r="AB519" s="19"/>
      <c r="AC519" s="19"/>
      <c r="AD519" s="19"/>
      <c r="AE519" s="19"/>
    </row>
    <row r="520" spans="1:31" ht="13.15" x14ac:dyDescent="0.4">
      <c r="A520" s="19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  <c r="AB520" s="19"/>
      <c r="AC520" s="19"/>
      <c r="AD520" s="19"/>
      <c r="AE520" s="19"/>
    </row>
    <row r="521" spans="1:31" ht="13.15" x14ac:dyDescent="0.4">
      <c r="A521" s="19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  <c r="AB521" s="19"/>
      <c r="AC521" s="19"/>
      <c r="AD521" s="19"/>
      <c r="AE521" s="19"/>
    </row>
    <row r="522" spans="1:31" ht="13.15" x14ac:dyDescent="0.4">
      <c r="A522" s="19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  <c r="AA522" s="19"/>
      <c r="AB522" s="19"/>
      <c r="AC522" s="19"/>
      <c r="AD522" s="19"/>
      <c r="AE522" s="19"/>
    </row>
    <row r="523" spans="1:31" ht="13.15" x14ac:dyDescent="0.4">
      <c r="A523" s="19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  <c r="AB523" s="19"/>
      <c r="AC523" s="19"/>
      <c r="AD523" s="19"/>
      <c r="AE523" s="19"/>
    </row>
    <row r="524" spans="1:31" ht="13.15" x14ac:dyDescent="0.4">
      <c r="A524" s="19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  <c r="AA524" s="19"/>
      <c r="AB524" s="19"/>
      <c r="AC524" s="19"/>
      <c r="AD524" s="19"/>
      <c r="AE524" s="19"/>
    </row>
    <row r="525" spans="1:31" ht="13.15" x14ac:dyDescent="0.4">
      <c r="A525" s="19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  <c r="AC525" s="19"/>
      <c r="AD525" s="19"/>
      <c r="AE525" s="19"/>
    </row>
    <row r="526" spans="1:31" ht="13.15" x14ac:dyDescent="0.4">
      <c r="A526" s="19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  <c r="AC526" s="19"/>
      <c r="AD526" s="19"/>
      <c r="AE526" s="19"/>
    </row>
    <row r="527" spans="1:31" ht="13.15" x14ac:dyDescent="0.4">
      <c r="A527" s="19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  <c r="AC527" s="19"/>
      <c r="AD527" s="19"/>
      <c r="AE527" s="19"/>
    </row>
    <row r="528" spans="1:31" ht="13.15" x14ac:dyDescent="0.4">
      <c r="A528" s="19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  <c r="AC528" s="19"/>
      <c r="AD528" s="19"/>
      <c r="AE528" s="19"/>
    </row>
    <row r="529" spans="1:31" ht="13.15" x14ac:dyDescent="0.4">
      <c r="A529" s="19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  <c r="AB529" s="19"/>
      <c r="AC529" s="19"/>
      <c r="AD529" s="19"/>
      <c r="AE529" s="19"/>
    </row>
    <row r="530" spans="1:31" ht="13.15" x14ac:dyDescent="0.4">
      <c r="A530" s="19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  <c r="AC530" s="19"/>
      <c r="AD530" s="19"/>
      <c r="AE530" s="19"/>
    </row>
    <row r="531" spans="1:31" ht="13.15" x14ac:dyDescent="0.4">
      <c r="A531" s="19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  <c r="AC531" s="19"/>
      <c r="AD531" s="19"/>
      <c r="AE531" s="19"/>
    </row>
    <row r="532" spans="1:31" ht="13.15" x14ac:dyDescent="0.4">
      <c r="A532" s="19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  <c r="AC532" s="19"/>
      <c r="AD532" s="19"/>
      <c r="AE532" s="19"/>
    </row>
    <row r="533" spans="1:31" ht="13.15" x14ac:dyDescent="0.4">
      <c r="A533" s="19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  <c r="AC533" s="19"/>
      <c r="AD533" s="19"/>
      <c r="AE533" s="19"/>
    </row>
    <row r="534" spans="1:31" ht="13.15" x14ac:dyDescent="0.4">
      <c r="A534" s="19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  <c r="AC534" s="19"/>
      <c r="AD534" s="19"/>
      <c r="AE534" s="19"/>
    </row>
    <row r="535" spans="1:31" ht="13.15" x14ac:dyDescent="0.4">
      <c r="A535" s="19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  <c r="AB535" s="19"/>
      <c r="AC535" s="19"/>
      <c r="AD535" s="19"/>
      <c r="AE535" s="19"/>
    </row>
    <row r="536" spans="1:31" ht="13.15" x14ac:dyDescent="0.4">
      <c r="A536" s="19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  <c r="AC536" s="19"/>
      <c r="AD536" s="19"/>
      <c r="AE536" s="19"/>
    </row>
    <row r="537" spans="1:31" ht="13.15" x14ac:dyDescent="0.4">
      <c r="A537" s="19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  <c r="AC537" s="19"/>
      <c r="AD537" s="19"/>
      <c r="AE537" s="19"/>
    </row>
    <row r="538" spans="1:31" ht="13.15" x14ac:dyDescent="0.4">
      <c r="A538" s="19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  <c r="AC538" s="19"/>
      <c r="AD538" s="19"/>
      <c r="AE538" s="19"/>
    </row>
    <row r="539" spans="1:31" ht="13.15" x14ac:dyDescent="0.4">
      <c r="A539" s="19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  <c r="AC539" s="19"/>
      <c r="AD539" s="19"/>
      <c r="AE539" s="19"/>
    </row>
    <row r="540" spans="1:31" ht="13.15" x14ac:dyDescent="0.4">
      <c r="A540" s="19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  <c r="AA540" s="19"/>
      <c r="AB540" s="19"/>
      <c r="AC540" s="19"/>
      <c r="AD540" s="19"/>
      <c r="AE540" s="19"/>
    </row>
    <row r="541" spans="1:31" ht="13.15" x14ac:dyDescent="0.4">
      <c r="A541" s="19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  <c r="AC541" s="19"/>
      <c r="AD541" s="19"/>
      <c r="AE541" s="19"/>
    </row>
    <row r="542" spans="1:31" ht="13.15" x14ac:dyDescent="0.4">
      <c r="A542" s="19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</row>
    <row r="543" spans="1:31" ht="13.15" x14ac:dyDescent="0.4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  <c r="AB543" s="19"/>
      <c r="AC543" s="19"/>
      <c r="AD543" s="19"/>
      <c r="AE543" s="19"/>
    </row>
    <row r="544" spans="1:31" ht="13.15" x14ac:dyDescent="0.4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  <c r="AA544" s="19"/>
      <c r="AB544" s="19"/>
      <c r="AC544" s="19"/>
      <c r="AD544" s="19"/>
      <c r="AE544" s="19"/>
    </row>
    <row r="545" spans="1:31" ht="13.15" x14ac:dyDescent="0.4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  <c r="AA545" s="19"/>
      <c r="AB545" s="19"/>
      <c r="AC545" s="19"/>
      <c r="AD545" s="19"/>
      <c r="AE545" s="19"/>
    </row>
    <row r="546" spans="1:31" ht="13.15" x14ac:dyDescent="0.4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  <c r="AA546" s="19"/>
      <c r="AB546" s="19"/>
      <c r="AC546" s="19"/>
      <c r="AD546" s="19"/>
      <c r="AE546" s="19"/>
    </row>
    <row r="547" spans="1:31" ht="13.15" x14ac:dyDescent="0.4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  <c r="AC547" s="19"/>
      <c r="AD547" s="19"/>
      <c r="AE547" s="19"/>
    </row>
    <row r="548" spans="1:31" ht="13.15" x14ac:dyDescent="0.4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  <c r="AA548" s="19"/>
      <c r="AB548" s="19"/>
      <c r="AC548" s="19"/>
      <c r="AD548" s="19"/>
      <c r="AE548" s="19"/>
    </row>
    <row r="549" spans="1:31" ht="13.15" x14ac:dyDescent="0.4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  <c r="AA549" s="19"/>
      <c r="AB549" s="19"/>
      <c r="AC549" s="19"/>
      <c r="AD549" s="19"/>
      <c r="AE549" s="19"/>
    </row>
    <row r="550" spans="1:31" ht="13.15" x14ac:dyDescent="0.4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  <c r="AA550" s="19"/>
      <c r="AB550" s="19"/>
      <c r="AC550" s="19"/>
      <c r="AD550" s="19"/>
      <c r="AE550" s="19"/>
    </row>
    <row r="551" spans="1:31" ht="13.15" x14ac:dyDescent="0.4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  <c r="AA551" s="19"/>
      <c r="AB551" s="19"/>
      <c r="AC551" s="19"/>
      <c r="AD551" s="19"/>
      <c r="AE551" s="19"/>
    </row>
    <row r="552" spans="1:31" ht="13.15" x14ac:dyDescent="0.4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  <c r="AA552" s="19"/>
      <c r="AB552" s="19"/>
      <c r="AC552" s="19"/>
      <c r="AD552" s="19"/>
      <c r="AE552" s="19"/>
    </row>
    <row r="553" spans="1:31" ht="13.15" x14ac:dyDescent="0.4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  <c r="AA553" s="19"/>
      <c r="AB553" s="19"/>
      <c r="AC553" s="19"/>
      <c r="AD553" s="19"/>
      <c r="AE553" s="19"/>
    </row>
    <row r="554" spans="1:31" ht="13.15" x14ac:dyDescent="0.4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  <c r="AA554" s="19"/>
      <c r="AB554" s="19"/>
      <c r="AC554" s="19"/>
      <c r="AD554" s="19"/>
      <c r="AE554" s="19"/>
    </row>
    <row r="555" spans="1:31" ht="13.15" x14ac:dyDescent="0.4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  <c r="AA555" s="19"/>
      <c r="AB555" s="19"/>
      <c r="AC555" s="19"/>
      <c r="AD555" s="19"/>
      <c r="AE555" s="19"/>
    </row>
    <row r="556" spans="1:31" ht="13.15" x14ac:dyDescent="0.4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  <c r="AB556" s="19"/>
      <c r="AC556" s="19"/>
      <c r="AD556" s="19"/>
      <c r="AE556" s="19"/>
    </row>
    <row r="557" spans="1:31" ht="13.15" x14ac:dyDescent="0.4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  <c r="AA557" s="19"/>
      <c r="AB557" s="19"/>
      <c r="AC557" s="19"/>
      <c r="AD557" s="19"/>
      <c r="AE557" s="19"/>
    </row>
    <row r="558" spans="1:31" ht="13.15" x14ac:dyDescent="0.4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  <c r="AA558" s="19"/>
      <c r="AB558" s="19"/>
      <c r="AC558" s="19"/>
      <c r="AD558" s="19"/>
      <c r="AE558" s="19"/>
    </row>
    <row r="559" spans="1:31" ht="13.15" x14ac:dyDescent="0.4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  <c r="AA559" s="19"/>
      <c r="AB559" s="19"/>
      <c r="AC559" s="19"/>
      <c r="AD559" s="19"/>
      <c r="AE559" s="19"/>
    </row>
    <row r="560" spans="1:31" ht="13.15" x14ac:dyDescent="0.4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  <c r="AA560" s="19"/>
      <c r="AB560" s="19"/>
      <c r="AC560" s="19"/>
      <c r="AD560" s="19"/>
      <c r="AE560" s="19"/>
    </row>
    <row r="561" spans="1:31" ht="13.15" x14ac:dyDescent="0.4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  <c r="AA561" s="19"/>
      <c r="AB561" s="19"/>
      <c r="AC561" s="19"/>
      <c r="AD561" s="19"/>
      <c r="AE561" s="19"/>
    </row>
    <row r="562" spans="1:31" ht="13.15" x14ac:dyDescent="0.4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  <c r="AA562" s="19"/>
      <c r="AB562" s="19"/>
      <c r="AC562" s="19"/>
      <c r="AD562" s="19"/>
      <c r="AE562" s="19"/>
    </row>
    <row r="563" spans="1:31" ht="13.15" x14ac:dyDescent="0.4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  <c r="AB563" s="19"/>
      <c r="AC563" s="19"/>
      <c r="AD563" s="19"/>
      <c r="AE563" s="19"/>
    </row>
    <row r="564" spans="1:31" ht="13.15" x14ac:dyDescent="0.4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  <c r="AA564" s="19"/>
      <c r="AB564" s="19"/>
      <c r="AC564" s="19"/>
      <c r="AD564" s="19"/>
      <c r="AE564" s="19"/>
    </row>
    <row r="565" spans="1:31" ht="13.15" x14ac:dyDescent="0.4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  <c r="AA565" s="19"/>
      <c r="AB565" s="19"/>
      <c r="AC565" s="19"/>
      <c r="AD565" s="19"/>
      <c r="AE565" s="19"/>
    </row>
    <row r="566" spans="1:31" ht="13.15" x14ac:dyDescent="0.4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  <c r="AA566" s="19"/>
      <c r="AB566" s="19"/>
      <c r="AC566" s="19"/>
      <c r="AD566" s="19"/>
      <c r="AE566" s="19"/>
    </row>
    <row r="567" spans="1:31" ht="13.15" x14ac:dyDescent="0.4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  <c r="AA567" s="19"/>
      <c r="AB567" s="19"/>
      <c r="AC567" s="19"/>
      <c r="AD567" s="19"/>
      <c r="AE567" s="19"/>
    </row>
    <row r="568" spans="1:31" ht="13.15" x14ac:dyDescent="0.4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  <c r="AA568" s="19"/>
      <c r="AB568" s="19"/>
      <c r="AC568" s="19"/>
      <c r="AD568" s="19"/>
      <c r="AE568" s="19"/>
    </row>
    <row r="569" spans="1:31" ht="13.15" x14ac:dyDescent="0.4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  <c r="AC569" s="19"/>
      <c r="AD569" s="19"/>
      <c r="AE569" s="19"/>
    </row>
    <row r="570" spans="1:31" ht="13.15" x14ac:dyDescent="0.4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  <c r="AA570" s="19"/>
      <c r="AB570" s="19"/>
      <c r="AC570" s="19"/>
      <c r="AD570" s="19"/>
      <c r="AE570" s="19"/>
    </row>
    <row r="571" spans="1:31" ht="13.15" x14ac:dyDescent="0.4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  <c r="AA571" s="19"/>
      <c r="AB571" s="19"/>
      <c r="AC571" s="19"/>
      <c r="AD571" s="19"/>
      <c r="AE571" s="19"/>
    </row>
    <row r="572" spans="1:31" ht="13.15" x14ac:dyDescent="0.4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  <c r="AA572" s="19"/>
      <c r="AB572" s="19"/>
      <c r="AC572" s="19"/>
      <c r="AD572" s="19"/>
      <c r="AE572" s="19"/>
    </row>
    <row r="573" spans="1:31" ht="13.15" x14ac:dyDescent="0.4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  <c r="AA573" s="19"/>
      <c r="AB573" s="19"/>
      <c r="AC573" s="19"/>
      <c r="AD573" s="19"/>
      <c r="AE573" s="19"/>
    </row>
    <row r="574" spans="1:31" ht="13.15" x14ac:dyDescent="0.4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  <c r="AC574" s="19"/>
      <c r="AD574" s="19"/>
      <c r="AE574" s="19"/>
    </row>
    <row r="575" spans="1:31" ht="13.15" x14ac:dyDescent="0.4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  <c r="AA575" s="19"/>
      <c r="AB575" s="19"/>
      <c r="AC575" s="19"/>
      <c r="AD575" s="19"/>
      <c r="AE575" s="19"/>
    </row>
    <row r="576" spans="1:31" ht="13.15" x14ac:dyDescent="0.4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  <c r="AA576" s="19"/>
      <c r="AB576" s="19"/>
      <c r="AC576" s="19"/>
      <c r="AD576" s="19"/>
      <c r="AE576" s="19"/>
    </row>
    <row r="577" spans="1:31" ht="13.15" x14ac:dyDescent="0.4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  <c r="AA577" s="19"/>
      <c r="AB577" s="19"/>
      <c r="AC577" s="19"/>
      <c r="AD577" s="19"/>
      <c r="AE577" s="19"/>
    </row>
    <row r="578" spans="1:31" ht="13.15" x14ac:dyDescent="0.4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  <c r="AA578" s="19"/>
      <c r="AB578" s="19"/>
      <c r="AC578" s="19"/>
      <c r="AD578" s="19"/>
      <c r="AE578" s="19"/>
    </row>
    <row r="579" spans="1:31" ht="13.15" x14ac:dyDescent="0.4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  <c r="AA579" s="19"/>
      <c r="AB579" s="19"/>
      <c r="AC579" s="19"/>
      <c r="AD579" s="19"/>
      <c r="AE579" s="19"/>
    </row>
    <row r="580" spans="1:31" ht="13.15" x14ac:dyDescent="0.4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  <c r="AA580" s="19"/>
      <c r="AB580" s="19"/>
      <c r="AC580" s="19"/>
      <c r="AD580" s="19"/>
      <c r="AE580" s="19"/>
    </row>
    <row r="581" spans="1:31" ht="13.15" x14ac:dyDescent="0.4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  <c r="AA581" s="19"/>
      <c r="AB581" s="19"/>
      <c r="AC581" s="19"/>
      <c r="AD581" s="19"/>
      <c r="AE581" s="19"/>
    </row>
    <row r="582" spans="1:31" ht="13.15" x14ac:dyDescent="0.4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  <c r="AA582" s="19"/>
      <c r="AB582" s="19"/>
      <c r="AC582" s="19"/>
      <c r="AD582" s="19"/>
      <c r="AE582" s="19"/>
    </row>
    <row r="583" spans="1:31" ht="13.15" x14ac:dyDescent="0.4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  <c r="AB583" s="19"/>
      <c r="AC583" s="19"/>
      <c r="AD583" s="19"/>
      <c r="AE583" s="19"/>
    </row>
    <row r="584" spans="1:31" ht="13.15" x14ac:dyDescent="0.4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  <c r="AA584" s="19"/>
      <c r="AB584" s="19"/>
      <c r="AC584" s="19"/>
      <c r="AD584" s="19"/>
      <c r="AE584" s="19"/>
    </row>
    <row r="585" spans="1:31" ht="13.15" x14ac:dyDescent="0.4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  <c r="AA585" s="19"/>
      <c r="AB585" s="19"/>
      <c r="AC585" s="19"/>
      <c r="AD585" s="19"/>
      <c r="AE585" s="19"/>
    </row>
    <row r="586" spans="1:31" ht="13.15" x14ac:dyDescent="0.4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  <c r="AA586" s="19"/>
      <c r="AB586" s="19"/>
      <c r="AC586" s="19"/>
      <c r="AD586" s="19"/>
      <c r="AE586" s="19"/>
    </row>
    <row r="587" spans="1:31" ht="13.15" x14ac:dyDescent="0.4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  <c r="AA587" s="19"/>
      <c r="AB587" s="19"/>
      <c r="AC587" s="19"/>
      <c r="AD587" s="19"/>
      <c r="AE587" s="19"/>
    </row>
    <row r="588" spans="1:31" ht="13.15" x14ac:dyDescent="0.4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  <c r="AA588" s="19"/>
      <c r="AB588" s="19"/>
      <c r="AC588" s="19"/>
      <c r="AD588" s="19"/>
      <c r="AE588" s="19"/>
    </row>
    <row r="589" spans="1:31" ht="13.15" x14ac:dyDescent="0.4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  <c r="AA589" s="19"/>
      <c r="AB589" s="19"/>
      <c r="AC589" s="19"/>
      <c r="AD589" s="19"/>
      <c r="AE589" s="19"/>
    </row>
    <row r="590" spans="1:31" ht="13.15" x14ac:dyDescent="0.4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  <c r="AA590" s="19"/>
      <c r="AB590" s="19"/>
      <c r="AC590" s="19"/>
      <c r="AD590" s="19"/>
      <c r="AE590" s="19"/>
    </row>
    <row r="591" spans="1:31" ht="13.15" x14ac:dyDescent="0.4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  <c r="AA591" s="19"/>
      <c r="AB591" s="19"/>
      <c r="AC591" s="19"/>
      <c r="AD591" s="19"/>
      <c r="AE591" s="19"/>
    </row>
    <row r="592" spans="1:31" ht="13.15" x14ac:dyDescent="0.4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  <c r="AA592" s="19"/>
      <c r="AB592" s="19"/>
      <c r="AC592" s="19"/>
      <c r="AD592" s="19"/>
      <c r="AE592" s="19"/>
    </row>
    <row r="593" spans="1:31" ht="13.15" x14ac:dyDescent="0.4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  <c r="AA593" s="19"/>
      <c r="AB593" s="19"/>
      <c r="AC593" s="19"/>
      <c r="AD593" s="19"/>
      <c r="AE593" s="19"/>
    </row>
    <row r="594" spans="1:31" ht="13.15" x14ac:dyDescent="0.4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  <c r="AA594" s="19"/>
      <c r="AB594" s="19"/>
      <c r="AC594" s="19"/>
      <c r="AD594" s="19"/>
      <c r="AE594" s="19"/>
    </row>
    <row r="595" spans="1:31" ht="13.15" x14ac:dyDescent="0.4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  <c r="AA595" s="19"/>
      <c r="AB595" s="19"/>
      <c r="AC595" s="19"/>
      <c r="AD595" s="19"/>
      <c r="AE595" s="19"/>
    </row>
    <row r="596" spans="1:31" ht="13.15" x14ac:dyDescent="0.4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  <c r="AA596" s="19"/>
      <c r="AB596" s="19"/>
      <c r="AC596" s="19"/>
      <c r="AD596" s="19"/>
      <c r="AE596" s="19"/>
    </row>
    <row r="597" spans="1:31" ht="13.15" x14ac:dyDescent="0.4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  <c r="AA597" s="19"/>
      <c r="AB597" s="19"/>
      <c r="AC597" s="19"/>
      <c r="AD597" s="19"/>
      <c r="AE597" s="19"/>
    </row>
    <row r="598" spans="1:31" ht="13.15" x14ac:dyDescent="0.4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  <c r="AA598" s="19"/>
      <c r="AB598" s="19"/>
      <c r="AC598" s="19"/>
      <c r="AD598" s="19"/>
      <c r="AE598" s="19"/>
    </row>
    <row r="599" spans="1:31" ht="13.15" x14ac:dyDescent="0.4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  <c r="AA599" s="19"/>
      <c r="AB599" s="19"/>
      <c r="AC599" s="19"/>
      <c r="AD599" s="19"/>
      <c r="AE599" s="19"/>
    </row>
    <row r="600" spans="1:31" ht="13.15" x14ac:dyDescent="0.4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  <c r="AA600" s="19"/>
      <c r="AB600" s="19"/>
      <c r="AC600" s="19"/>
      <c r="AD600" s="19"/>
      <c r="AE600" s="19"/>
    </row>
    <row r="601" spans="1:31" ht="13.15" x14ac:dyDescent="0.4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  <c r="AB601" s="19"/>
      <c r="AC601" s="19"/>
      <c r="AD601" s="19"/>
      <c r="AE601" s="19"/>
    </row>
    <row r="602" spans="1:31" ht="13.15" x14ac:dyDescent="0.4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  <c r="AA602" s="19"/>
      <c r="AB602" s="19"/>
      <c r="AC602" s="19"/>
      <c r="AD602" s="19"/>
      <c r="AE602" s="19"/>
    </row>
    <row r="603" spans="1:31" ht="13.15" x14ac:dyDescent="0.4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  <c r="AA603" s="19"/>
      <c r="AB603" s="19"/>
      <c r="AC603" s="19"/>
      <c r="AD603" s="19"/>
      <c r="AE603" s="19"/>
    </row>
    <row r="604" spans="1:31" ht="13.15" x14ac:dyDescent="0.4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  <c r="AA604" s="19"/>
      <c r="AB604" s="19"/>
      <c r="AC604" s="19"/>
      <c r="AD604" s="19"/>
      <c r="AE604" s="19"/>
    </row>
    <row r="605" spans="1:31" ht="13.15" x14ac:dyDescent="0.4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  <c r="AA605" s="19"/>
      <c r="AB605" s="19"/>
      <c r="AC605" s="19"/>
      <c r="AD605" s="19"/>
      <c r="AE605" s="19"/>
    </row>
    <row r="606" spans="1:31" ht="13.15" x14ac:dyDescent="0.4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  <c r="AA606" s="19"/>
      <c r="AB606" s="19"/>
      <c r="AC606" s="19"/>
      <c r="AD606" s="19"/>
      <c r="AE606" s="19"/>
    </row>
    <row r="607" spans="1:31" ht="13.15" x14ac:dyDescent="0.4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  <c r="AA607" s="19"/>
      <c r="AB607" s="19"/>
      <c r="AC607" s="19"/>
      <c r="AD607" s="19"/>
      <c r="AE607" s="19"/>
    </row>
    <row r="608" spans="1:31" ht="13.15" x14ac:dyDescent="0.4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  <c r="AB608" s="19"/>
      <c r="AC608" s="19"/>
      <c r="AD608" s="19"/>
      <c r="AE608" s="19"/>
    </row>
    <row r="609" spans="1:31" ht="13.15" x14ac:dyDescent="0.4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  <c r="AA609" s="19"/>
      <c r="AB609" s="19"/>
      <c r="AC609" s="19"/>
      <c r="AD609" s="19"/>
      <c r="AE609" s="19"/>
    </row>
    <row r="610" spans="1:31" ht="13.15" x14ac:dyDescent="0.4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  <c r="AA610" s="19"/>
      <c r="AB610" s="19"/>
      <c r="AC610" s="19"/>
      <c r="AD610" s="19"/>
      <c r="AE610" s="19"/>
    </row>
    <row r="611" spans="1:31" ht="13.15" x14ac:dyDescent="0.4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  <c r="AA611" s="19"/>
      <c r="AB611" s="19"/>
      <c r="AC611" s="19"/>
      <c r="AD611" s="19"/>
      <c r="AE611" s="19"/>
    </row>
    <row r="612" spans="1:31" ht="13.15" x14ac:dyDescent="0.4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  <c r="AA612" s="19"/>
      <c r="AB612" s="19"/>
      <c r="AC612" s="19"/>
      <c r="AD612" s="19"/>
      <c r="AE612" s="19"/>
    </row>
    <row r="613" spans="1:31" ht="13.15" x14ac:dyDescent="0.4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  <c r="AC613" s="19"/>
      <c r="AD613" s="19"/>
      <c r="AE613" s="19"/>
    </row>
    <row r="614" spans="1:31" ht="13.15" x14ac:dyDescent="0.4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  <c r="AC614" s="19"/>
      <c r="AD614" s="19"/>
      <c r="AE614" s="19"/>
    </row>
    <row r="615" spans="1:31" ht="13.15" x14ac:dyDescent="0.4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  <c r="AC615" s="19"/>
      <c r="AD615" s="19"/>
      <c r="AE615" s="19"/>
    </row>
    <row r="616" spans="1:31" ht="13.15" x14ac:dyDescent="0.4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  <c r="AC616" s="19"/>
      <c r="AD616" s="19"/>
      <c r="AE616" s="19"/>
    </row>
    <row r="617" spans="1:31" ht="13.15" x14ac:dyDescent="0.4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  <c r="AA617" s="19"/>
      <c r="AB617" s="19"/>
      <c r="AC617" s="19"/>
      <c r="AD617" s="19"/>
      <c r="AE617" s="19"/>
    </row>
    <row r="618" spans="1:31" ht="13.15" x14ac:dyDescent="0.4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  <c r="AA618" s="19"/>
      <c r="AB618" s="19"/>
      <c r="AC618" s="19"/>
      <c r="AD618" s="19"/>
      <c r="AE618" s="19"/>
    </row>
    <row r="619" spans="1:31" ht="13.15" x14ac:dyDescent="0.4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  <c r="AA619" s="19"/>
      <c r="AB619" s="19"/>
      <c r="AC619" s="19"/>
      <c r="AD619" s="19"/>
      <c r="AE619" s="19"/>
    </row>
    <row r="620" spans="1:31" ht="13.15" x14ac:dyDescent="0.4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  <c r="AB620" s="19"/>
      <c r="AC620" s="19"/>
      <c r="AD620" s="19"/>
      <c r="AE620" s="19"/>
    </row>
    <row r="621" spans="1:31" ht="13.15" x14ac:dyDescent="0.4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  <c r="AA621" s="19"/>
      <c r="AB621" s="19"/>
      <c r="AC621" s="19"/>
      <c r="AD621" s="19"/>
      <c r="AE621" s="19"/>
    </row>
    <row r="622" spans="1:31" ht="13.15" x14ac:dyDescent="0.4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  <c r="AA622" s="19"/>
      <c r="AB622" s="19"/>
      <c r="AC622" s="19"/>
      <c r="AD622" s="19"/>
      <c r="AE622" s="19"/>
    </row>
    <row r="623" spans="1:31" ht="13.15" x14ac:dyDescent="0.4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  <c r="AA623" s="19"/>
      <c r="AB623" s="19"/>
      <c r="AC623" s="19"/>
      <c r="AD623" s="19"/>
      <c r="AE623" s="19"/>
    </row>
    <row r="624" spans="1:31" ht="13.15" x14ac:dyDescent="0.4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  <c r="AA624" s="19"/>
      <c r="AB624" s="19"/>
      <c r="AC624" s="19"/>
      <c r="AD624" s="19"/>
      <c r="AE624" s="19"/>
    </row>
    <row r="625" spans="1:31" ht="13.15" x14ac:dyDescent="0.4">
      <c r="A625" s="19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  <c r="AA625" s="19"/>
      <c r="AB625" s="19"/>
      <c r="AC625" s="19"/>
      <c r="AD625" s="19"/>
      <c r="AE625" s="19"/>
    </row>
    <row r="626" spans="1:31" ht="13.15" x14ac:dyDescent="0.4">
      <c r="A626" s="19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  <c r="AA626" s="19"/>
      <c r="AB626" s="19"/>
      <c r="AC626" s="19"/>
      <c r="AD626" s="19"/>
      <c r="AE626" s="19"/>
    </row>
    <row r="627" spans="1:31" ht="13.15" x14ac:dyDescent="0.4">
      <c r="A627" s="19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  <c r="AA627" s="19"/>
      <c r="AB627" s="19"/>
      <c r="AC627" s="19"/>
      <c r="AD627" s="19"/>
      <c r="AE627" s="19"/>
    </row>
    <row r="628" spans="1:31" ht="13.15" x14ac:dyDescent="0.4">
      <c r="A628" s="19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  <c r="AA628" s="19"/>
      <c r="AB628" s="19"/>
      <c r="AC628" s="19"/>
      <c r="AD628" s="19"/>
      <c r="AE628" s="19"/>
    </row>
    <row r="629" spans="1:31" ht="13.15" x14ac:dyDescent="0.4">
      <c r="A629" s="19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  <c r="AA629" s="19"/>
      <c r="AB629" s="19"/>
      <c r="AC629" s="19"/>
      <c r="AD629" s="19"/>
      <c r="AE629" s="19"/>
    </row>
    <row r="630" spans="1:31" ht="13.15" x14ac:dyDescent="0.4">
      <c r="A630" s="19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  <c r="AA630" s="19"/>
      <c r="AB630" s="19"/>
      <c r="AC630" s="19"/>
      <c r="AD630" s="19"/>
      <c r="AE630" s="19"/>
    </row>
    <row r="631" spans="1:31" ht="13.15" x14ac:dyDescent="0.4">
      <c r="A631" s="19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  <c r="AC631" s="19"/>
      <c r="AD631" s="19"/>
      <c r="AE631" s="19"/>
    </row>
    <row r="632" spans="1:31" ht="13.15" x14ac:dyDescent="0.4">
      <c r="A632" s="19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  <c r="AA632" s="19"/>
      <c r="AB632" s="19"/>
      <c r="AC632" s="19"/>
      <c r="AD632" s="19"/>
      <c r="AE632" s="19"/>
    </row>
    <row r="633" spans="1:31" ht="13.15" x14ac:dyDescent="0.4">
      <c r="A633" s="19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  <c r="AA633" s="19"/>
      <c r="AB633" s="19"/>
      <c r="AC633" s="19"/>
      <c r="AD633" s="19"/>
      <c r="AE633" s="19"/>
    </row>
    <row r="634" spans="1:31" ht="13.15" x14ac:dyDescent="0.4">
      <c r="A634" s="19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  <c r="AA634" s="19"/>
      <c r="AB634" s="19"/>
      <c r="AC634" s="19"/>
      <c r="AD634" s="19"/>
      <c r="AE634" s="19"/>
    </row>
    <row r="635" spans="1:31" ht="13.15" x14ac:dyDescent="0.4">
      <c r="A635" s="19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  <c r="AA635" s="19"/>
      <c r="AB635" s="19"/>
      <c r="AC635" s="19"/>
      <c r="AD635" s="19"/>
      <c r="AE635" s="19"/>
    </row>
    <row r="636" spans="1:31" ht="13.15" x14ac:dyDescent="0.4">
      <c r="A636" s="19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  <c r="AA636" s="19"/>
      <c r="AB636" s="19"/>
      <c r="AC636" s="19"/>
      <c r="AD636" s="19"/>
      <c r="AE636" s="19"/>
    </row>
    <row r="637" spans="1:31" ht="13.15" x14ac:dyDescent="0.4">
      <c r="A637" s="19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  <c r="AA637" s="19"/>
      <c r="AB637" s="19"/>
      <c r="AC637" s="19"/>
      <c r="AD637" s="19"/>
      <c r="AE637" s="19"/>
    </row>
    <row r="638" spans="1:31" ht="13.15" x14ac:dyDescent="0.4">
      <c r="A638" s="19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  <c r="AA638" s="19"/>
      <c r="AB638" s="19"/>
      <c r="AC638" s="19"/>
      <c r="AD638" s="19"/>
      <c r="AE638" s="19"/>
    </row>
    <row r="639" spans="1:31" ht="13.15" x14ac:dyDescent="0.4">
      <c r="A639" s="19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  <c r="AA639" s="19"/>
      <c r="AB639" s="19"/>
      <c r="AC639" s="19"/>
      <c r="AD639" s="19"/>
      <c r="AE639" s="19"/>
    </row>
    <row r="640" spans="1:31" ht="13.15" x14ac:dyDescent="0.4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  <c r="AA640" s="19"/>
      <c r="AB640" s="19"/>
      <c r="AC640" s="19"/>
      <c r="AD640" s="19"/>
      <c r="AE640" s="19"/>
    </row>
    <row r="641" spans="1:31" ht="13.15" x14ac:dyDescent="0.4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  <c r="AA641" s="19"/>
      <c r="AB641" s="19"/>
      <c r="AC641" s="19"/>
      <c r="AD641" s="19"/>
      <c r="AE641" s="19"/>
    </row>
    <row r="642" spans="1:31" ht="13.15" x14ac:dyDescent="0.4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  <c r="AA642" s="19"/>
      <c r="AB642" s="19"/>
      <c r="AC642" s="19"/>
      <c r="AD642" s="19"/>
      <c r="AE642" s="19"/>
    </row>
    <row r="643" spans="1:31" ht="13.15" x14ac:dyDescent="0.4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  <c r="AA643" s="19"/>
      <c r="AB643" s="19"/>
      <c r="AC643" s="19"/>
      <c r="AD643" s="19"/>
      <c r="AE643" s="19"/>
    </row>
    <row r="644" spans="1:31" ht="13.15" x14ac:dyDescent="0.4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  <c r="AA644" s="19"/>
      <c r="AB644" s="19"/>
      <c r="AC644" s="19"/>
      <c r="AD644" s="19"/>
      <c r="AE644" s="19"/>
    </row>
    <row r="645" spans="1:31" ht="13.15" x14ac:dyDescent="0.4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  <c r="AA645" s="19"/>
      <c r="AB645" s="19"/>
      <c r="AC645" s="19"/>
      <c r="AD645" s="19"/>
      <c r="AE645" s="19"/>
    </row>
    <row r="646" spans="1:31" ht="13.15" x14ac:dyDescent="0.4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  <c r="AB646" s="19"/>
      <c r="AC646" s="19"/>
      <c r="AD646" s="19"/>
      <c r="AE646" s="19"/>
    </row>
    <row r="647" spans="1:31" ht="13.15" x14ac:dyDescent="0.4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  <c r="AA647" s="19"/>
      <c r="AB647" s="19"/>
      <c r="AC647" s="19"/>
      <c r="AD647" s="19"/>
      <c r="AE647" s="19"/>
    </row>
    <row r="648" spans="1:31" ht="13.15" x14ac:dyDescent="0.4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  <c r="AA648" s="19"/>
      <c r="AB648" s="19"/>
      <c r="AC648" s="19"/>
      <c r="AD648" s="19"/>
      <c r="AE648" s="19"/>
    </row>
    <row r="649" spans="1:31" ht="13.15" x14ac:dyDescent="0.4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  <c r="AA649" s="19"/>
      <c r="AB649" s="19"/>
      <c r="AC649" s="19"/>
      <c r="AD649" s="19"/>
      <c r="AE649" s="19"/>
    </row>
    <row r="650" spans="1:31" ht="13.15" x14ac:dyDescent="0.4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  <c r="AA650" s="19"/>
      <c r="AB650" s="19"/>
      <c r="AC650" s="19"/>
      <c r="AD650" s="19"/>
      <c r="AE650" s="19"/>
    </row>
    <row r="651" spans="1:31" ht="13.15" x14ac:dyDescent="0.4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  <c r="AA651" s="19"/>
      <c r="AB651" s="19"/>
      <c r="AC651" s="19"/>
      <c r="AD651" s="19"/>
      <c r="AE651" s="19"/>
    </row>
    <row r="652" spans="1:31" ht="13.15" x14ac:dyDescent="0.4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  <c r="AA652" s="19"/>
      <c r="AB652" s="19"/>
      <c r="AC652" s="19"/>
      <c r="AD652" s="19"/>
      <c r="AE652" s="19"/>
    </row>
    <row r="653" spans="1:31" ht="13.15" x14ac:dyDescent="0.4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  <c r="AA653" s="19"/>
      <c r="AB653" s="19"/>
      <c r="AC653" s="19"/>
      <c r="AD653" s="19"/>
      <c r="AE653" s="19"/>
    </row>
    <row r="654" spans="1:31" ht="13.15" x14ac:dyDescent="0.4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  <c r="AA654" s="19"/>
      <c r="AB654" s="19"/>
      <c r="AC654" s="19"/>
      <c r="AD654" s="19"/>
      <c r="AE654" s="19"/>
    </row>
    <row r="655" spans="1:31" ht="13.15" x14ac:dyDescent="0.4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  <c r="AA655" s="19"/>
      <c r="AB655" s="19"/>
      <c r="AC655" s="19"/>
      <c r="AD655" s="19"/>
      <c r="AE655" s="19"/>
    </row>
    <row r="656" spans="1:31" ht="13.15" x14ac:dyDescent="0.4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  <c r="AA656" s="19"/>
      <c r="AB656" s="19"/>
      <c r="AC656" s="19"/>
      <c r="AD656" s="19"/>
      <c r="AE656" s="19"/>
    </row>
    <row r="657" spans="1:31" ht="13.15" x14ac:dyDescent="0.4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  <c r="AA657" s="19"/>
      <c r="AB657" s="19"/>
      <c r="AC657" s="19"/>
      <c r="AD657" s="19"/>
      <c r="AE657" s="19"/>
    </row>
    <row r="658" spans="1:31" ht="13.15" x14ac:dyDescent="0.4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  <c r="AA658" s="19"/>
      <c r="AB658" s="19"/>
      <c r="AC658" s="19"/>
      <c r="AD658" s="19"/>
      <c r="AE658" s="19"/>
    </row>
    <row r="659" spans="1:31" ht="13.15" x14ac:dyDescent="0.4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  <c r="AA659" s="19"/>
      <c r="AB659" s="19"/>
      <c r="AC659" s="19"/>
      <c r="AD659" s="19"/>
      <c r="AE659" s="19"/>
    </row>
    <row r="660" spans="1:31" ht="13.15" x14ac:dyDescent="0.4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  <c r="AA660" s="19"/>
      <c r="AB660" s="19"/>
      <c r="AC660" s="19"/>
      <c r="AD660" s="19"/>
      <c r="AE660" s="19"/>
    </row>
    <row r="661" spans="1:31" ht="13.15" x14ac:dyDescent="0.4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  <c r="AA661" s="19"/>
      <c r="AB661" s="19"/>
      <c r="AC661" s="19"/>
      <c r="AD661" s="19"/>
      <c r="AE661" s="19"/>
    </row>
    <row r="662" spans="1:31" ht="13.15" x14ac:dyDescent="0.4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  <c r="AA662" s="19"/>
      <c r="AB662" s="19"/>
      <c r="AC662" s="19"/>
      <c r="AD662" s="19"/>
      <c r="AE662" s="19"/>
    </row>
    <row r="663" spans="1:31" ht="13.15" x14ac:dyDescent="0.4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  <c r="AA663" s="19"/>
      <c r="AB663" s="19"/>
      <c r="AC663" s="19"/>
      <c r="AD663" s="19"/>
      <c r="AE663" s="19"/>
    </row>
    <row r="664" spans="1:31" ht="13.15" x14ac:dyDescent="0.4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  <c r="AA664" s="19"/>
      <c r="AB664" s="19"/>
      <c r="AC664" s="19"/>
      <c r="AD664" s="19"/>
      <c r="AE664" s="19"/>
    </row>
    <row r="665" spans="1:31" ht="13.15" x14ac:dyDescent="0.4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  <c r="AA665" s="19"/>
      <c r="AB665" s="19"/>
      <c r="AC665" s="19"/>
      <c r="AD665" s="19"/>
      <c r="AE665" s="19"/>
    </row>
    <row r="666" spans="1:31" ht="13.15" x14ac:dyDescent="0.4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  <c r="AA666" s="19"/>
      <c r="AB666" s="19"/>
      <c r="AC666" s="19"/>
      <c r="AD666" s="19"/>
      <c r="AE666" s="19"/>
    </row>
    <row r="667" spans="1:31" ht="13.15" x14ac:dyDescent="0.4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  <c r="AA667" s="19"/>
      <c r="AB667" s="19"/>
      <c r="AC667" s="19"/>
      <c r="AD667" s="19"/>
      <c r="AE667" s="19"/>
    </row>
    <row r="668" spans="1:31" ht="13.15" x14ac:dyDescent="0.4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  <c r="AA668" s="19"/>
      <c r="AB668" s="19"/>
      <c r="AC668" s="19"/>
      <c r="AD668" s="19"/>
      <c r="AE668" s="19"/>
    </row>
    <row r="669" spans="1:31" ht="13.15" x14ac:dyDescent="0.4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  <c r="AA669" s="19"/>
      <c r="AB669" s="19"/>
      <c r="AC669" s="19"/>
      <c r="AD669" s="19"/>
      <c r="AE669" s="19"/>
    </row>
    <row r="670" spans="1:31" ht="13.15" x14ac:dyDescent="0.4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  <c r="AA670" s="19"/>
      <c r="AB670" s="19"/>
      <c r="AC670" s="19"/>
      <c r="AD670" s="19"/>
      <c r="AE670" s="19"/>
    </row>
    <row r="671" spans="1:31" ht="13.15" x14ac:dyDescent="0.4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  <c r="AA671" s="19"/>
      <c r="AB671" s="19"/>
      <c r="AC671" s="19"/>
      <c r="AD671" s="19"/>
      <c r="AE671" s="19"/>
    </row>
    <row r="672" spans="1:31" ht="13.15" x14ac:dyDescent="0.4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  <c r="AA672" s="19"/>
      <c r="AB672" s="19"/>
      <c r="AC672" s="19"/>
      <c r="AD672" s="19"/>
      <c r="AE672" s="19"/>
    </row>
    <row r="673" spans="1:31" ht="13.15" x14ac:dyDescent="0.4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  <c r="AA673" s="19"/>
      <c r="AB673" s="19"/>
      <c r="AC673" s="19"/>
      <c r="AD673" s="19"/>
      <c r="AE673" s="19"/>
    </row>
    <row r="674" spans="1:31" ht="13.15" x14ac:dyDescent="0.4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  <c r="AA674" s="19"/>
      <c r="AB674" s="19"/>
      <c r="AC674" s="19"/>
      <c r="AD674" s="19"/>
      <c r="AE674" s="19"/>
    </row>
    <row r="675" spans="1:31" ht="13.15" x14ac:dyDescent="0.4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  <c r="AA675" s="19"/>
      <c r="AB675" s="19"/>
      <c r="AC675" s="19"/>
      <c r="AD675" s="19"/>
      <c r="AE675" s="19"/>
    </row>
    <row r="676" spans="1:31" ht="13.15" x14ac:dyDescent="0.4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  <c r="AA676" s="19"/>
      <c r="AB676" s="19"/>
      <c r="AC676" s="19"/>
      <c r="AD676" s="19"/>
      <c r="AE676" s="19"/>
    </row>
    <row r="677" spans="1:31" ht="13.15" x14ac:dyDescent="0.4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  <c r="AA677" s="19"/>
      <c r="AB677" s="19"/>
      <c r="AC677" s="19"/>
      <c r="AD677" s="19"/>
      <c r="AE677" s="19"/>
    </row>
    <row r="678" spans="1:31" ht="13.15" x14ac:dyDescent="0.4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  <c r="AA678" s="19"/>
      <c r="AB678" s="19"/>
      <c r="AC678" s="19"/>
      <c r="AD678" s="19"/>
      <c r="AE678" s="19"/>
    </row>
    <row r="679" spans="1:31" ht="13.15" x14ac:dyDescent="0.4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A679" s="19"/>
      <c r="AB679" s="19"/>
      <c r="AC679" s="19"/>
      <c r="AD679" s="19"/>
      <c r="AE679" s="19"/>
    </row>
    <row r="680" spans="1:31" ht="13.15" x14ac:dyDescent="0.4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  <c r="AA680" s="19"/>
      <c r="AB680" s="19"/>
      <c r="AC680" s="19"/>
      <c r="AD680" s="19"/>
      <c r="AE680" s="19"/>
    </row>
    <row r="681" spans="1:31" ht="13.15" x14ac:dyDescent="0.4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  <c r="AA681" s="19"/>
      <c r="AB681" s="19"/>
      <c r="AC681" s="19"/>
      <c r="AD681" s="19"/>
      <c r="AE681" s="19"/>
    </row>
    <row r="682" spans="1:31" ht="13.15" x14ac:dyDescent="0.4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  <c r="AA682" s="19"/>
      <c r="AB682" s="19"/>
      <c r="AC682" s="19"/>
      <c r="AD682" s="19"/>
      <c r="AE682" s="19"/>
    </row>
    <row r="683" spans="1:31" ht="13.15" x14ac:dyDescent="0.4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  <c r="AA683" s="19"/>
      <c r="AB683" s="19"/>
      <c r="AC683" s="19"/>
      <c r="AD683" s="19"/>
      <c r="AE683" s="19"/>
    </row>
    <row r="684" spans="1:31" ht="13.15" x14ac:dyDescent="0.4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  <c r="AA684" s="19"/>
      <c r="AB684" s="19"/>
      <c r="AC684" s="19"/>
      <c r="AD684" s="19"/>
      <c r="AE684" s="19"/>
    </row>
    <row r="685" spans="1:31" ht="13.15" x14ac:dyDescent="0.4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  <c r="AA685" s="19"/>
      <c r="AB685" s="19"/>
      <c r="AC685" s="19"/>
      <c r="AD685" s="19"/>
      <c r="AE685" s="19"/>
    </row>
    <row r="686" spans="1:31" ht="13.15" x14ac:dyDescent="0.4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  <c r="AA686" s="19"/>
      <c r="AB686" s="19"/>
      <c r="AC686" s="19"/>
      <c r="AD686" s="19"/>
      <c r="AE686" s="19"/>
    </row>
    <row r="687" spans="1:31" ht="13.15" x14ac:dyDescent="0.4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  <c r="AA687" s="19"/>
      <c r="AB687" s="19"/>
      <c r="AC687" s="19"/>
      <c r="AD687" s="19"/>
      <c r="AE687" s="19"/>
    </row>
    <row r="688" spans="1:31" ht="13.15" x14ac:dyDescent="0.4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  <c r="AA688" s="19"/>
      <c r="AB688" s="19"/>
      <c r="AC688" s="19"/>
      <c r="AD688" s="19"/>
      <c r="AE688" s="19"/>
    </row>
    <row r="689" spans="1:31" ht="13.15" x14ac:dyDescent="0.4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  <c r="AA689" s="19"/>
      <c r="AB689" s="19"/>
      <c r="AC689" s="19"/>
      <c r="AD689" s="19"/>
      <c r="AE689" s="19"/>
    </row>
    <row r="690" spans="1:31" ht="13.15" x14ac:dyDescent="0.4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  <c r="AA690" s="19"/>
      <c r="AB690" s="19"/>
      <c r="AC690" s="19"/>
      <c r="AD690" s="19"/>
      <c r="AE690" s="19"/>
    </row>
    <row r="691" spans="1:31" ht="13.15" x14ac:dyDescent="0.4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  <c r="AA691" s="19"/>
      <c r="AB691" s="19"/>
      <c r="AC691" s="19"/>
      <c r="AD691" s="19"/>
      <c r="AE691" s="19"/>
    </row>
    <row r="692" spans="1:31" ht="13.15" x14ac:dyDescent="0.4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  <c r="AA692" s="19"/>
      <c r="AB692" s="19"/>
      <c r="AC692" s="19"/>
      <c r="AD692" s="19"/>
      <c r="AE692" s="19"/>
    </row>
    <row r="693" spans="1:31" ht="13.15" x14ac:dyDescent="0.4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  <c r="AA693" s="19"/>
      <c r="AB693" s="19"/>
      <c r="AC693" s="19"/>
      <c r="AD693" s="19"/>
      <c r="AE693" s="19"/>
    </row>
    <row r="694" spans="1:31" ht="13.15" x14ac:dyDescent="0.4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  <c r="AA694" s="19"/>
      <c r="AB694" s="19"/>
      <c r="AC694" s="19"/>
      <c r="AD694" s="19"/>
      <c r="AE694" s="19"/>
    </row>
    <row r="695" spans="1:31" ht="13.15" x14ac:dyDescent="0.4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  <c r="AA695" s="19"/>
      <c r="AB695" s="19"/>
      <c r="AC695" s="19"/>
      <c r="AD695" s="19"/>
      <c r="AE695" s="19"/>
    </row>
    <row r="696" spans="1:31" ht="13.15" x14ac:dyDescent="0.4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  <c r="AA696" s="19"/>
      <c r="AB696" s="19"/>
      <c r="AC696" s="19"/>
      <c r="AD696" s="19"/>
      <c r="AE696" s="19"/>
    </row>
    <row r="697" spans="1:31" ht="13.15" x14ac:dyDescent="0.4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  <c r="AA697" s="19"/>
      <c r="AB697" s="19"/>
      <c r="AC697" s="19"/>
      <c r="AD697" s="19"/>
      <c r="AE697" s="19"/>
    </row>
    <row r="698" spans="1:31" ht="13.15" x14ac:dyDescent="0.4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  <c r="AA698" s="19"/>
      <c r="AB698" s="19"/>
      <c r="AC698" s="19"/>
      <c r="AD698" s="19"/>
      <c r="AE698" s="19"/>
    </row>
    <row r="699" spans="1:31" ht="13.15" x14ac:dyDescent="0.4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  <c r="AA699" s="19"/>
      <c r="AB699" s="19"/>
      <c r="AC699" s="19"/>
      <c r="AD699" s="19"/>
      <c r="AE699" s="19"/>
    </row>
    <row r="700" spans="1:31" ht="13.15" x14ac:dyDescent="0.4">
      <c r="A700" s="19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  <c r="AA700" s="19"/>
      <c r="AB700" s="19"/>
      <c r="AC700" s="19"/>
      <c r="AD700" s="19"/>
      <c r="AE700" s="19"/>
    </row>
    <row r="701" spans="1:31" ht="13.15" x14ac:dyDescent="0.4">
      <c r="A701" s="19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  <c r="AA701" s="19"/>
      <c r="AB701" s="19"/>
      <c r="AC701" s="19"/>
      <c r="AD701" s="19"/>
      <c r="AE701" s="19"/>
    </row>
    <row r="702" spans="1:31" ht="13.15" x14ac:dyDescent="0.4">
      <c r="A702" s="19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  <c r="AA702" s="19"/>
      <c r="AB702" s="19"/>
      <c r="AC702" s="19"/>
      <c r="AD702" s="19"/>
      <c r="AE702" s="19"/>
    </row>
    <row r="703" spans="1:31" ht="13.15" x14ac:dyDescent="0.4">
      <c r="A703" s="19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  <c r="AA703" s="19"/>
      <c r="AB703" s="19"/>
      <c r="AC703" s="19"/>
      <c r="AD703" s="19"/>
      <c r="AE703" s="19"/>
    </row>
    <row r="704" spans="1:31" ht="13.15" x14ac:dyDescent="0.4">
      <c r="A704" s="19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  <c r="AA704" s="19"/>
      <c r="AB704" s="19"/>
      <c r="AC704" s="19"/>
      <c r="AD704" s="19"/>
      <c r="AE704" s="19"/>
    </row>
    <row r="705" spans="1:31" ht="13.15" x14ac:dyDescent="0.4">
      <c r="A705" s="19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  <c r="AA705" s="19"/>
      <c r="AB705" s="19"/>
      <c r="AC705" s="19"/>
      <c r="AD705" s="19"/>
      <c r="AE705" s="19"/>
    </row>
    <row r="706" spans="1:31" ht="13.15" x14ac:dyDescent="0.4">
      <c r="A706" s="19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A706" s="19"/>
      <c r="AB706" s="19"/>
      <c r="AC706" s="19"/>
      <c r="AD706" s="19"/>
      <c r="AE706" s="19"/>
    </row>
    <row r="707" spans="1:31" ht="13.15" x14ac:dyDescent="0.4">
      <c r="A707" s="19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  <c r="AA707" s="19"/>
      <c r="AB707" s="19"/>
      <c r="AC707" s="19"/>
      <c r="AD707" s="19"/>
      <c r="AE707" s="19"/>
    </row>
    <row r="708" spans="1:31" ht="13.15" x14ac:dyDescent="0.4">
      <c r="A708" s="19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  <c r="AA708" s="19"/>
      <c r="AB708" s="19"/>
      <c r="AC708" s="19"/>
      <c r="AD708" s="19"/>
      <c r="AE708" s="19"/>
    </row>
    <row r="709" spans="1:31" ht="13.15" x14ac:dyDescent="0.4">
      <c r="A709" s="19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  <c r="AA709" s="19"/>
      <c r="AB709" s="19"/>
      <c r="AC709" s="19"/>
      <c r="AD709" s="19"/>
      <c r="AE709" s="19"/>
    </row>
    <row r="710" spans="1:31" ht="13.15" x14ac:dyDescent="0.4">
      <c r="A710" s="19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  <c r="AA710" s="19"/>
      <c r="AB710" s="19"/>
      <c r="AC710" s="19"/>
      <c r="AD710" s="19"/>
      <c r="AE710" s="19"/>
    </row>
    <row r="711" spans="1:31" ht="13.15" x14ac:dyDescent="0.4">
      <c r="A711" s="19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  <c r="AB711" s="19"/>
      <c r="AC711" s="19"/>
      <c r="AD711" s="19"/>
      <c r="AE711" s="19"/>
    </row>
    <row r="712" spans="1:31" ht="13.15" x14ac:dyDescent="0.4">
      <c r="A712" s="19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  <c r="AA712" s="19"/>
      <c r="AB712" s="19"/>
      <c r="AC712" s="19"/>
      <c r="AD712" s="19"/>
      <c r="AE712" s="19"/>
    </row>
    <row r="713" spans="1:31" ht="13.15" x14ac:dyDescent="0.4">
      <c r="A713" s="19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  <c r="AA713" s="19"/>
      <c r="AB713" s="19"/>
      <c r="AC713" s="19"/>
      <c r="AD713" s="19"/>
      <c r="AE713" s="19"/>
    </row>
    <row r="714" spans="1:31" ht="13.15" x14ac:dyDescent="0.4">
      <c r="A714" s="19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  <c r="AA714" s="19"/>
      <c r="AB714" s="19"/>
      <c r="AC714" s="19"/>
      <c r="AD714" s="19"/>
      <c r="AE714" s="19"/>
    </row>
    <row r="715" spans="1:31" ht="13.15" x14ac:dyDescent="0.4">
      <c r="A715" s="19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  <c r="AA715" s="19"/>
      <c r="AB715" s="19"/>
      <c r="AC715" s="19"/>
      <c r="AD715" s="19"/>
      <c r="AE715" s="19"/>
    </row>
    <row r="716" spans="1:31" ht="13.15" x14ac:dyDescent="0.4">
      <c r="A716" s="19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  <c r="AA716" s="19"/>
      <c r="AB716" s="19"/>
      <c r="AC716" s="19"/>
      <c r="AD716" s="19"/>
      <c r="AE716" s="19"/>
    </row>
    <row r="717" spans="1:31" ht="13.15" x14ac:dyDescent="0.4">
      <c r="A717" s="19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  <c r="AA717" s="19"/>
      <c r="AB717" s="19"/>
      <c r="AC717" s="19"/>
      <c r="AD717" s="19"/>
      <c r="AE717" s="19"/>
    </row>
    <row r="718" spans="1:31" ht="13.15" x14ac:dyDescent="0.4">
      <c r="A718" s="19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  <c r="AA718" s="19"/>
      <c r="AB718" s="19"/>
      <c r="AC718" s="19"/>
      <c r="AD718" s="19"/>
      <c r="AE718" s="19"/>
    </row>
    <row r="719" spans="1:31" ht="13.15" x14ac:dyDescent="0.4">
      <c r="A719" s="19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  <c r="AA719" s="19"/>
      <c r="AB719" s="19"/>
      <c r="AC719" s="19"/>
      <c r="AD719" s="19"/>
      <c r="AE719" s="19"/>
    </row>
    <row r="720" spans="1:31" ht="13.15" x14ac:dyDescent="0.4">
      <c r="A720" s="19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  <c r="AA720" s="19"/>
      <c r="AB720" s="19"/>
      <c r="AC720" s="19"/>
      <c r="AD720" s="19"/>
      <c r="AE720" s="19"/>
    </row>
    <row r="721" spans="1:31" ht="13.15" x14ac:dyDescent="0.4">
      <c r="A721" s="19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  <c r="AA721" s="19"/>
      <c r="AB721" s="19"/>
      <c r="AC721" s="19"/>
      <c r="AD721" s="19"/>
      <c r="AE721" s="19"/>
    </row>
    <row r="722" spans="1:31" ht="13.15" x14ac:dyDescent="0.4">
      <c r="A722" s="19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  <c r="AA722" s="19"/>
      <c r="AB722" s="19"/>
      <c r="AC722" s="19"/>
      <c r="AD722" s="19"/>
      <c r="AE722" s="19"/>
    </row>
    <row r="723" spans="1:31" ht="13.15" x14ac:dyDescent="0.4">
      <c r="A723" s="19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  <c r="AA723" s="19"/>
      <c r="AB723" s="19"/>
      <c r="AC723" s="19"/>
      <c r="AD723" s="19"/>
      <c r="AE723" s="19"/>
    </row>
    <row r="724" spans="1:31" ht="13.15" x14ac:dyDescent="0.4">
      <c r="A724" s="19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  <c r="AA724" s="19"/>
      <c r="AB724" s="19"/>
      <c r="AC724" s="19"/>
      <c r="AD724" s="19"/>
      <c r="AE724" s="19"/>
    </row>
    <row r="725" spans="1:31" ht="13.15" x14ac:dyDescent="0.4">
      <c r="A725" s="19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  <c r="AA725" s="19"/>
      <c r="AB725" s="19"/>
      <c r="AC725" s="19"/>
      <c r="AD725" s="19"/>
      <c r="AE725" s="19"/>
    </row>
    <row r="726" spans="1:31" ht="13.15" x14ac:dyDescent="0.4">
      <c r="A726" s="19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  <c r="AA726" s="19"/>
      <c r="AB726" s="19"/>
      <c r="AC726" s="19"/>
      <c r="AD726" s="19"/>
      <c r="AE726" s="19"/>
    </row>
    <row r="727" spans="1:31" ht="13.15" x14ac:dyDescent="0.4">
      <c r="A727" s="19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  <c r="AA727" s="19"/>
      <c r="AB727" s="19"/>
      <c r="AC727" s="19"/>
      <c r="AD727" s="19"/>
      <c r="AE727" s="19"/>
    </row>
    <row r="728" spans="1:31" ht="13.15" x14ac:dyDescent="0.4">
      <c r="A728" s="19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  <c r="AB728" s="19"/>
      <c r="AC728" s="19"/>
      <c r="AD728" s="19"/>
      <c r="AE728" s="19"/>
    </row>
    <row r="729" spans="1:31" ht="13.15" x14ac:dyDescent="0.4">
      <c r="A729" s="19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A729" s="19"/>
      <c r="AB729" s="19"/>
      <c r="AC729" s="19"/>
      <c r="AD729" s="19"/>
      <c r="AE729" s="19"/>
    </row>
    <row r="730" spans="1:31" ht="13.15" x14ac:dyDescent="0.4">
      <c r="A730" s="19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  <c r="AA730" s="19"/>
      <c r="AB730" s="19"/>
      <c r="AC730" s="19"/>
      <c r="AD730" s="19"/>
      <c r="AE730" s="19"/>
    </row>
    <row r="731" spans="1:31" ht="13.15" x14ac:dyDescent="0.4">
      <c r="A731" s="19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  <c r="AA731" s="19"/>
      <c r="AB731" s="19"/>
      <c r="AC731" s="19"/>
      <c r="AD731" s="19"/>
      <c r="AE731" s="19"/>
    </row>
    <row r="732" spans="1:31" ht="13.15" x14ac:dyDescent="0.4">
      <c r="A732" s="19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  <c r="AA732" s="19"/>
      <c r="AB732" s="19"/>
      <c r="AC732" s="19"/>
      <c r="AD732" s="19"/>
      <c r="AE732" s="19"/>
    </row>
    <row r="733" spans="1:31" ht="13.15" x14ac:dyDescent="0.4">
      <c r="A733" s="19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  <c r="AA733" s="19"/>
      <c r="AB733" s="19"/>
      <c r="AC733" s="19"/>
      <c r="AD733" s="19"/>
      <c r="AE733" s="19"/>
    </row>
    <row r="734" spans="1:31" ht="13.15" x14ac:dyDescent="0.4">
      <c r="A734" s="19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  <c r="AA734" s="19"/>
      <c r="AB734" s="19"/>
      <c r="AC734" s="19"/>
      <c r="AD734" s="19"/>
      <c r="AE734" s="19"/>
    </row>
    <row r="735" spans="1:31" ht="13.15" x14ac:dyDescent="0.4">
      <c r="A735" s="19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  <c r="AA735" s="19"/>
      <c r="AB735" s="19"/>
      <c r="AC735" s="19"/>
      <c r="AD735" s="19"/>
      <c r="AE735" s="19"/>
    </row>
    <row r="736" spans="1:31" ht="13.15" x14ac:dyDescent="0.4">
      <c r="A736" s="19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  <c r="AA736" s="19"/>
      <c r="AB736" s="19"/>
      <c r="AC736" s="19"/>
      <c r="AD736" s="19"/>
      <c r="AE736" s="19"/>
    </row>
    <row r="737" spans="1:31" ht="13.15" x14ac:dyDescent="0.4">
      <c r="A737" s="19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  <c r="AA737" s="19"/>
      <c r="AB737" s="19"/>
      <c r="AC737" s="19"/>
      <c r="AD737" s="19"/>
      <c r="AE737" s="19"/>
    </row>
    <row r="738" spans="1:31" ht="13.15" x14ac:dyDescent="0.4">
      <c r="A738" s="19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  <c r="AA738" s="19"/>
      <c r="AB738" s="19"/>
      <c r="AC738" s="19"/>
      <c r="AD738" s="19"/>
      <c r="AE738" s="19"/>
    </row>
    <row r="739" spans="1:31" ht="13.15" x14ac:dyDescent="0.4">
      <c r="A739" s="19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  <c r="AA739" s="19"/>
      <c r="AB739" s="19"/>
      <c r="AC739" s="19"/>
      <c r="AD739" s="19"/>
      <c r="AE739" s="19"/>
    </row>
    <row r="740" spans="1:31" ht="13.15" x14ac:dyDescent="0.4">
      <c r="A740" s="19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  <c r="AA740" s="19"/>
      <c r="AB740" s="19"/>
      <c r="AC740" s="19"/>
      <c r="AD740" s="19"/>
      <c r="AE740" s="19"/>
    </row>
    <row r="741" spans="1:31" ht="13.15" x14ac:dyDescent="0.4">
      <c r="A741" s="19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  <c r="AA741" s="19"/>
      <c r="AB741" s="19"/>
      <c r="AC741" s="19"/>
      <c r="AD741" s="19"/>
      <c r="AE741" s="19"/>
    </row>
    <row r="742" spans="1:31" ht="13.15" x14ac:dyDescent="0.4">
      <c r="A742" s="19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  <c r="AA742" s="19"/>
      <c r="AB742" s="19"/>
      <c r="AC742" s="19"/>
      <c r="AD742" s="19"/>
      <c r="AE742" s="19"/>
    </row>
    <row r="743" spans="1:31" ht="13.15" x14ac:dyDescent="0.4">
      <c r="A743" s="19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  <c r="AA743" s="19"/>
      <c r="AB743" s="19"/>
      <c r="AC743" s="19"/>
      <c r="AD743" s="19"/>
      <c r="AE743" s="19"/>
    </row>
    <row r="744" spans="1:31" ht="13.15" x14ac:dyDescent="0.4">
      <c r="A744" s="19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  <c r="AA744" s="19"/>
      <c r="AB744" s="19"/>
      <c r="AC744" s="19"/>
      <c r="AD744" s="19"/>
      <c r="AE744" s="19"/>
    </row>
    <row r="745" spans="1:31" ht="13.15" x14ac:dyDescent="0.4">
      <c r="A745" s="19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  <c r="AA745" s="19"/>
      <c r="AB745" s="19"/>
      <c r="AC745" s="19"/>
      <c r="AD745" s="19"/>
      <c r="AE745" s="19"/>
    </row>
    <row r="746" spans="1:31" ht="13.15" x14ac:dyDescent="0.4">
      <c r="A746" s="19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  <c r="AA746" s="19"/>
      <c r="AB746" s="19"/>
      <c r="AC746" s="19"/>
      <c r="AD746" s="19"/>
      <c r="AE746" s="19"/>
    </row>
    <row r="747" spans="1:31" ht="13.15" x14ac:dyDescent="0.4">
      <c r="A747" s="19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  <c r="AA747" s="19"/>
      <c r="AB747" s="19"/>
      <c r="AC747" s="19"/>
      <c r="AD747" s="19"/>
      <c r="AE747" s="19"/>
    </row>
    <row r="748" spans="1:31" ht="13.15" x14ac:dyDescent="0.4">
      <c r="A748" s="19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  <c r="AA748" s="19"/>
      <c r="AB748" s="19"/>
      <c r="AC748" s="19"/>
      <c r="AD748" s="19"/>
      <c r="AE748" s="19"/>
    </row>
    <row r="749" spans="1:31" ht="13.15" x14ac:dyDescent="0.4">
      <c r="A749" s="19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  <c r="AA749" s="19"/>
      <c r="AB749" s="19"/>
      <c r="AC749" s="19"/>
      <c r="AD749" s="19"/>
      <c r="AE749" s="19"/>
    </row>
    <row r="750" spans="1:31" ht="13.15" x14ac:dyDescent="0.4">
      <c r="A750" s="19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  <c r="AA750" s="19"/>
      <c r="AB750" s="19"/>
      <c r="AC750" s="19"/>
      <c r="AD750" s="19"/>
      <c r="AE750" s="19"/>
    </row>
    <row r="751" spans="1:31" ht="13.15" x14ac:dyDescent="0.4">
      <c r="A751" s="19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  <c r="AA751" s="19"/>
      <c r="AB751" s="19"/>
      <c r="AC751" s="19"/>
      <c r="AD751" s="19"/>
      <c r="AE751" s="19"/>
    </row>
    <row r="752" spans="1:31" ht="13.15" x14ac:dyDescent="0.4">
      <c r="A752" s="19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  <c r="AA752" s="19"/>
      <c r="AB752" s="19"/>
      <c r="AC752" s="19"/>
      <c r="AD752" s="19"/>
      <c r="AE752" s="19"/>
    </row>
    <row r="753" spans="1:31" ht="13.15" x14ac:dyDescent="0.4">
      <c r="A753" s="19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  <c r="AA753" s="19"/>
      <c r="AB753" s="19"/>
      <c r="AC753" s="19"/>
      <c r="AD753" s="19"/>
      <c r="AE753" s="19"/>
    </row>
    <row r="754" spans="1:31" ht="13.15" x14ac:dyDescent="0.4">
      <c r="A754" s="19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  <c r="AA754" s="19"/>
      <c r="AB754" s="19"/>
      <c r="AC754" s="19"/>
      <c r="AD754" s="19"/>
      <c r="AE754" s="19"/>
    </row>
    <row r="755" spans="1:31" ht="13.15" x14ac:dyDescent="0.4">
      <c r="A755" s="19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  <c r="AA755" s="19"/>
      <c r="AB755" s="19"/>
      <c r="AC755" s="19"/>
      <c r="AD755" s="19"/>
      <c r="AE755" s="19"/>
    </row>
    <row r="756" spans="1:31" ht="13.15" x14ac:dyDescent="0.4">
      <c r="A756" s="19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  <c r="AA756" s="19"/>
      <c r="AB756" s="19"/>
      <c r="AC756" s="19"/>
      <c r="AD756" s="19"/>
      <c r="AE756" s="19"/>
    </row>
    <row r="757" spans="1:31" ht="13.15" x14ac:dyDescent="0.4">
      <c r="A757" s="19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  <c r="AA757" s="19"/>
      <c r="AB757" s="19"/>
      <c r="AC757" s="19"/>
      <c r="AD757" s="19"/>
      <c r="AE757" s="19"/>
    </row>
    <row r="758" spans="1:31" ht="13.15" x14ac:dyDescent="0.4">
      <c r="A758" s="19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  <c r="AA758" s="19"/>
      <c r="AB758" s="19"/>
      <c r="AC758" s="19"/>
      <c r="AD758" s="19"/>
      <c r="AE758" s="19"/>
    </row>
    <row r="759" spans="1:31" ht="13.15" x14ac:dyDescent="0.4">
      <c r="A759" s="19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  <c r="AA759" s="19"/>
      <c r="AB759" s="19"/>
      <c r="AC759" s="19"/>
      <c r="AD759" s="19"/>
      <c r="AE759" s="19"/>
    </row>
    <row r="760" spans="1:31" ht="13.15" x14ac:dyDescent="0.4">
      <c r="A760" s="19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  <c r="AA760" s="19"/>
      <c r="AB760" s="19"/>
      <c r="AC760" s="19"/>
      <c r="AD760" s="19"/>
      <c r="AE760" s="19"/>
    </row>
    <row r="761" spans="1:31" ht="13.15" x14ac:dyDescent="0.4">
      <c r="A761" s="19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  <c r="AA761" s="19"/>
      <c r="AB761" s="19"/>
      <c r="AC761" s="19"/>
      <c r="AD761" s="19"/>
      <c r="AE761" s="19"/>
    </row>
    <row r="762" spans="1:31" ht="13.15" x14ac:dyDescent="0.4">
      <c r="A762" s="19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  <c r="AB762" s="19"/>
      <c r="AC762" s="19"/>
      <c r="AD762" s="19"/>
      <c r="AE762" s="19"/>
    </row>
    <row r="763" spans="1:31" ht="13.15" x14ac:dyDescent="0.4">
      <c r="A763" s="19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  <c r="AA763" s="19"/>
      <c r="AB763" s="19"/>
      <c r="AC763" s="19"/>
      <c r="AD763" s="19"/>
      <c r="AE763" s="19"/>
    </row>
    <row r="764" spans="1:31" ht="13.15" x14ac:dyDescent="0.4">
      <c r="A764" s="19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  <c r="AA764" s="19"/>
      <c r="AB764" s="19"/>
      <c r="AC764" s="19"/>
      <c r="AD764" s="19"/>
      <c r="AE764" s="19"/>
    </row>
    <row r="765" spans="1:31" ht="13.15" x14ac:dyDescent="0.4">
      <c r="A765" s="19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  <c r="AA765" s="19"/>
      <c r="AB765" s="19"/>
      <c r="AC765" s="19"/>
      <c r="AD765" s="19"/>
      <c r="AE765" s="19"/>
    </row>
    <row r="766" spans="1:31" ht="13.15" x14ac:dyDescent="0.4">
      <c r="A766" s="19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  <c r="AA766" s="19"/>
      <c r="AB766" s="19"/>
      <c r="AC766" s="19"/>
      <c r="AD766" s="19"/>
      <c r="AE766" s="19"/>
    </row>
    <row r="767" spans="1:31" ht="13.15" x14ac:dyDescent="0.4">
      <c r="A767" s="19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  <c r="AA767" s="19"/>
      <c r="AB767" s="19"/>
      <c r="AC767" s="19"/>
      <c r="AD767" s="19"/>
      <c r="AE767" s="19"/>
    </row>
    <row r="768" spans="1:31" ht="13.15" x14ac:dyDescent="0.4">
      <c r="A768" s="19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  <c r="AA768" s="19"/>
      <c r="AB768" s="19"/>
      <c r="AC768" s="19"/>
      <c r="AD768" s="19"/>
      <c r="AE768" s="19"/>
    </row>
    <row r="769" spans="1:31" ht="13.15" x14ac:dyDescent="0.4">
      <c r="A769" s="19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  <c r="AA769" s="19"/>
      <c r="AB769" s="19"/>
      <c r="AC769" s="19"/>
      <c r="AD769" s="19"/>
      <c r="AE769" s="19"/>
    </row>
    <row r="770" spans="1:31" ht="13.15" x14ac:dyDescent="0.4">
      <c r="A770" s="19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  <c r="AA770" s="19"/>
      <c r="AB770" s="19"/>
      <c r="AC770" s="19"/>
      <c r="AD770" s="19"/>
      <c r="AE770" s="19"/>
    </row>
    <row r="771" spans="1:31" ht="13.15" x14ac:dyDescent="0.4">
      <c r="A771" s="19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  <c r="AA771" s="19"/>
      <c r="AB771" s="19"/>
      <c r="AC771" s="19"/>
      <c r="AD771" s="19"/>
      <c r="AE771" s="19"/>
    </row>
    <row r="772" spans="1:31" ht="13.15" x14ac:dyDescent="0.4">
      <c r="A772" s="19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  <c r="AA772" s="19"/>
      <c r="AB772" s="19"/>
      <c r="AC772" s="19"/>
      <c r="AD772" s="19"/>
      <c r="AE772" s="19"/>
    </row>
    <row r="773" spans="1:31" ht="13.15" x14ac:dyDescent="0.4">
      <c r="A773" s="19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  <c r="AA773" s="19"/>
      <c r="AB773" s="19"/>
      <c r="AC773" s="19"/>
      <c r="AD773" s="19"/>
      <c r="AE773" s="19"/>
    </row>
    <row r="774" spans="1:31" ht="13.15" x14ac:dyDescent="0.4">
      <c r="A774" s="19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  <c r="AA774" s="19"/>
      <c r="AB774" s="19"/>
      <c r="AC774" s="19"/>
      <c r="AD774" s="19"/>
      <c r="AE774" s="19"/>
    </row>
    <row r="775" spans="1:31" ht="13.15" x14ac:dyDescent="0.4">
      <c r="A775" s="19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  <c r="AA775" s="19"/>
      <c r="AB775" s="19"/>
      <c r="AC775" s="19"/>
      <c r="AD775" s="19"/>
      <c r="AE775" s="19"/>
    </row>
    <row r="776" spans="1:31" ht="13.15" x14ac:dyDescent="0.4">
      <c r="A776" s="19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  <c r="AA776" s="19"/>
      <c r="AB776" s="19"/>
      <c r="AC776" s="19"/>
      <c r="AD776" s="19"/>
      <c r="AE776" s="19"/>
    </row>
    <row r="777" spans="1:31" ht="13.15" x14ac:dyDescent="0.4">
      <c r="A777" s="19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  <c r="AA777" s="19"/>
      <c r="AB777" s="19"/>
      <c r="AC777" s="19"/>
      <c r="AD777" s="19"/>
      <c r="AE777" s="19"/>
    </row>
    <row r="778" spans="1:31" ht="13.15" x14ac:dyDescent="0.4">
      <c r="A778" s="19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  <c r="AA778" s="19"/>
      <c r="AB778" s="19"/>
      <c r="AC778" s="19"/>
      <c r="AD778" s="19"/>
      <c r="AE778" s="19"/>
    </row>
    <row r="779" spans="1:31" ht="13.15" x14ac:dyDescent="0.4">
      <c r="A779" s="19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  <c r="AA779" s="19"/>
      <c r="AB779" s="19"/>
      <c r="AC779" s="19"/>
      <c r="AD779" s="19"/>
      <c r="AE779" s="19"/>
    </row>
    <row r="780" spans="1:31" ht="13.15" x14ac:dyDescent="0.4">
      <c r="A780" s="19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  <c r="AA780" s="19"/>
      <c r="AB780" s="19"/>
      <c r="AC780" s="19"/>
      <c r="AD780" s="19"/>
      <c r="AE780" s="19"/>
    </row>
    <row r="781" spans="1:31" ht="13.15" x14ac:dyDescent="0.4">
      <c r="A781" s="19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  <c r="AA781" s="19"/>
      <c r="AB781" s="19"/>
      <c r="AC781" s="19"/>
      <c r="AD781" s="19"/>
      <c r="AE781" s="19"/>
    </row>
    <row r="782" spans="1:31" ht="13.15" x14ac:dyDescent="0.4">
      <c r="A782" s="19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  <c r="AA782" s="19"/>
      <c r="AB782" s="19"/>
      <c r="AC782" s="19"/>
      <c r="AD782" s="19"/>
      <c r="AE782" s="19"/>
    </row>
    <row r="783" spans="1:31" ht="13.15" x14ac:dyDescent="0.4">
      <c r="A783" s="19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  <c r="AA783" s="19"/>
      <c r="AB783" s="19"/>
      <c r="AC783" s="19"/>
      <c r="AD783" s="19"/>
      <c r="AE783" s="19"/>
    </row>
    <row r="784" spans="1:31" ht="13.15" x14ac:dyDescent="0.4">
      <c r="A784" s="19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  <c r="AA784" s="19"/>
      <c r="AB784" s="19"/>
      <c r="AC784" s="19"/>
      <c r="AD784" s="19"/>
      <c r="AE784" s="19"/>
    </row>
    <row r="785" spans="1:31" ht="13.15" x14ac:dyDescent="0.4">
      <c r="A785" s="19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  <c r="AA785" s="19"/>
      <c r="AB785" s="19"/>
      <c r="AC785" s="19"/>
      <c r="AD785" s="19"/>
      <c r="AE785" s="19"/>
    </row>
    <row r="786" spans="1:31" ht="13.15" x14ac:dyDescent="0.4">
      <c r="A786" s="19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  <c r="AA786" s="19"/>
      <c r="AB786" s="19"/>
      <c r="AC786" s="19"/>
      <c r="AD786" s="19"/>
      <c r="AE786" s="19"/>
    </row>
    <row r="787" spans="1:31" ht="13.15" x14ac:dyDescent="0.4">
      <c r="A787" s="19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  <c r="AA787" s="19"/>
      <c r="AB787" s="19"/>
      <c r="AC787" s="19"/>
      <c r="AD787" s="19"/>
      <c r="AE787" s="19"/>
    </row>
    <row r="788" spans="1:31" ht="13.15" x14ac:dyDescent="0.4">
      <c r="A788" s="19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  <c r="AA788" s="19"/>
      <c r="AB788" s="19"/>
      <c r="AC788" s="19"/>
      <c r="AD788" s="19"/>
      <c r="AE788" s="19"/>
    </row>
    <row r="789" spans="1:31" ht="13.15" x14ac:dyDescent="0.4">
      <c r="A789" s="19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  <c r="AA789" s="19"/>
      <c r="AB789" s="19"/>
      <c r="AC789" s="19"/>
      <c r="AD789" s="19"/>
      <c r="AE789" s="19"/>
    </row>
    <row r="790" spans="1:31" ht="13.15" x14ac:dyDescent="0.4">
      <c r="A790" s="19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  <c r="AA790" s="19"/>
      <c r="AB790" s="19"/>
      <c r="AC790" s="19"/>
      <c r="AD790" s="19"/>
      <c r="AE790" s="19"/>
    </row>
    <row r="791" spans="1:31" ht="13.15" x14ac:dyDescent="0.4">
      <c r="A791" s="19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  <c r="AA791" s="19"/>
      <c r="AB791" s="19"/>
      <c r="AC791" s="19"/>
      <c r="AD791" s="19"/>
      <c r="AE791" s="19"/>
    </row>
    <row r="792" spans="1:31" ht="13.15" x14ac:dyDescent="0.4">
      <c r="A792" s="19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  <c r="AA792" s="19"/>
      <c r="AB792" s="19"/>
      <c r="AC792" s="19"/>
      <c r="AD792" s="19"/>
      <c r="AE792" s="19"/>
    </row>
    <row r="793" spans="1:31" ht="13.15" x14ac:dyDescent="0.4">
      <c r="A793" s="19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  <c r="AA793" s="19"/>
      <c r="AB793" s="19"/>
      <c r="AC793" s="19"/>
      <c r="AD793" s="19"/>
      <c r="AE793" s="19"/>
    </row>
    <row r="794" spans="1:31" ht="13.15" x14ac:dyDescent="0.4">
      <c r="A794" s="19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  <c r="AA794" s="19"/>
      <c r="AB794" s="19"/>
      <c r="AC794" s="19"/>
      <c r="AD794" s="19"/>
      <c r="AE794" s="19"/>
    </row>
    <row r="795" spans="1:31" ht="13.15" x14ac:dyDescent="0.4">
      <c r="A795" s="19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  <c r="AA795" s="19"/>
      <c r="AB795" s="19"/>
      <c r="AC795" s="19"/>
      <c r="AD795" s="19"/>
      <c r="AE795" s="19"/>
    </row>
    <row r="796" spans="1:31" ht="13.15" x14ac:dyDescent="0.4">
      <c r="A796" s="19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  <c r="AA796" s="19"/>
      <c r="AB796" s="19"/>
      <c r="AC796" s="19"/>
      <c r="AD796" s="19"/>
      <c r="AE796" s="19"/>
    </row>
    <row r="797" spans="1:31" ht="13.15" x14ac:dyDescent="0.4">
      <c r="A797" s="19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  <c r="AA797" s="19"/>
      <c r="AB797" s="19"/>
      <c r="AC797" s="19"/>
      <c r="AD797" s="19"/>
      <c r="AE797" s="19"/>
    </row>
    <row r="798" spans="1:31" ht="13.15" x14ac:dyDescent="0.4">
      <c r="A798" s="19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  <c r="AA798" s="19"/>
      <c r="AB798" s="19"/>
      <c r="AC798" s="19"/>
      <c r="AD798" s="19"/>
      <c r="AE798" s="19"/>
    </row>
    <row r="799" spans="1:31" ht="13.15" x14ac:dyDescent="0.4">
      <c r="A799" s="19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  <c r="AA799" s="19"/>
      <c r="AB799" s="19"/>
      <c r="AC799" s="19"/>
      <c r="AD799" s="19"/>
      <c r="AE799" s="19"/>
    </row>
    <row r="800" spans="1:31" ht="13.15" x14ac:dyDescent="0.4">
      <c r="A800" s="19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  <c r="AA800" s="19"/>
      <c r="AB800" s="19"/>
      <c r="AC800" s="19"/>
      <c r="AD800" s="19"/>
      <c r="AE800" s="19"/>
    </row>
    <row r="801" spans="1:31" ht="13.15" x14ac:dyDescent="0.4">
      <c r="A801" s="19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  <c r="AA801" s="19"/>
      <c r="AB801" s="19"/>
      <c r="AC801" s="19"/>
      <c r="AD801" s="19"/>
      <c r="AE801" s="19"/>
    </row>
    <row r="802" spans="1:31" ht="13.15" x14ac:dyDescent="0.4">
      <c r="A802" s="19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  <c r="AA802" s="19"/>
      <c r="AB802" s="19"/>
      <c r="AC802" s="19"/>
      <c r="AD802" s="19"/>
      <c r="AE802" s="19"/>
    </row>
    <row r="803" spans="1:31" ht="13.15" x14ac:dyDescent="0.4">
      <c r="A803" s="19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  <c r="AA803" s="19"/>
      <c r="AB803" s="19"/>
      <c r="AC803" s="19"/>
      <c r="AD803" s="19"/>
      <c r="AE803" s="19"/>
    </row>
    <row r="804" spans="1:31" ht="13.15" x14ac:dyDescent="0.4">
      <c r="A804" s="19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  <c r="AA804" s="19"/>
      <c r="AB804" s="19"/>
      <c r="AC804" s="19"/>
      <c r="AD804" s="19"/>
      <c r="AE804" s="19"/>
    </row>
    <row r="805" spans="1:31" ht="13.15" x14ac:dyDescent="0.4">
      <c r="A805" s="19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  <c r="AA805" s="19"/>
      <c r="AB805" s="19"/>
      <c r="AC805" s="19"/>
      <c r="AD805" s="19"/>
      <c r="AE805" s="19"/>
    </row>
    <row r="806" spans="1:31" ht="13.15" x14ac:dyDescent="0.4">
      <c r="A806" s="19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  <c r="AA806" s="19"/>
      <c r="AB806" s="19"/>
      <c r="AC806" s="19"/>
      <c r="AD806" s="19"/>
      <c r="AE806" s="19"/>
    </row>
    <row r="807" spans="1:31" ht="13.15" x14ac:dyDescent="0.4">
      <c r="A807" s="19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  <c r="AA807" s="19"/>
      <c r="AB807" s="19"/>
      <c r="AC807" s="19"/>
      <c r="AD807" s="19"/>
      <c r="AE807" s="19"/>
    </row>
    <row r="808" spans="1:31" ht="13.15" x14ac:dyDescent="0.4">
      <c r="A808" s="19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  <c r="AA808" s="19"/>
      <c r="AB808" s="19"/>
      <c r="AC808" s="19"/>
      <c r="AD808" s="19"/>
      <c r="AE808" s="19"/>
    </row>
    <row r="809" spans="1:31" ht="13.15" x14ac:dyDescent="0.4">
      <c r="A809" s="19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  <c r="AA809" s="19"/>
      <c r="AB809" s="19"/>
      <c r="AC809" s="19"/>
      <c r="AD809" s="19"/>
      <c r="AE809" s="19"/>
    </row>
    <row r="810" spans="1:31" ht="13.15" x14ac:dyDescent="0.4">
      <c r="A810" s="19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  <c r="AA810" s="19"/>
      <c r="AB810" s="19"/>
      <c r="AC810" s="19"/>
      <c r="AD810" s="19"/>
      <c r="AE810" s="19"/>
    </row>
    <row r="811" spans="1:31" ht="13.15" x14ac:dyDescent="0.4">
      <c r="A811" s="19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  <c r="AA811" s="19"/>
      <c r="AB811" s="19"/>
      <c r="AC811" s="19"/>
      <c r="AD811" s="19"/>
      <c r="AE811" s="19"/>
    </row>
    <row r="812" spans="1:31" ht="13.15" x14ac:dyDescent="0.4">
      <c r="A812" s="19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  <c r="AA812" s="19"/>
      <c r="AB812" s="19"/>
      <c r="AC812" s="19"/>
      <c r="AD812" s="19"/>
      <c r="AE812" s="19"/>
    </row>
    <row r="813" spans="1:31" ht="13.15" x14ac:dyDescent="0.4">
      <c r="A813" s="19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  <c r="AA813" s="19"/>
      <c r="AB813" s="19"/>
      <c r="AC813" s="19"/>
      <c r="AD813" s="19"/>
      <c r="AE813" s="19"/>
    </row>
    <row r="814" spans="1:31" ht="13.15" x14ac:dyDescent="0.4">
      <c r="A814" s="19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  <c r="AA814" s="19"/>
      <c r="AB814" s="19"/>
      <c r="AC814" s="19"/>
      <c r="AD814" s="19"/>
      <c r="AE814" s="19"/>
    </row>
    <row r="815" spans="1:31" ht="13.15" x14ac:dyDescent="0.4">
      <c r="A815" s="19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  <c r="AA815" s="19"/>
      <c r="AB815" s="19"/>
      <c r="AC815" s="19"/>
      <c r="AD815" s="19"/>
      <c r="AE815" s="19"/>
    </row>
    <row r="816" spans="1:31" ht="13.15" x14ac:dyDescent="0.4">
      <c r="A816" s="19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  <c r="AA816" s="19"/>
      <c r="AB816" s="19"/>
      <c r="AC816" s="19"/>
      <c r="AD816" s="19"/>
      <c r="AE816" s="19"/>
    </row>
    <row r="817" spans="1:31" ht="13.15" x14ac:dyDescent="0.4">
      <c r="A817" s="19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  <c r="AA817" s="19"/>
      <c r="AB817" s="19"/>
      <c r="AC817" s="19"/>
      <c r="AD817" s="19"/>
      <c r="AE817" s="19"/>
    </row>
    <row r="818" spans="1:31" ht="13.15" x14ac:dyDescent="0.4">
      <c r="A818" s="19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  <c r="AA818" s="19"/>
      <c r="AB818" s="19"/>
      <c r="AC818" s="19"/>
      <c r="AD818" s="19"/>
      <c r="AE818" s="19"/>
    </row>
    <row r="819" spans="1:31" ht="13.15" x14ac:dyDescent="0.4">
      <c r="A819" s="19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  <c r="AA819" s="19"/>
      <c r="AB819" s="19"/>
      <c r="AC819" s="19"/>
      <c r="AD819" s="19"/>
      <c r="AE819" s="19"/>
    </row>
    <row r="820" spans="1:31" ht="13.15" x14ac:dyDescent="0.4">
      <c r="A820" s="19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  <c r="AA820" s="19"/>
      <c r="AB820" s="19"/>
      <c r="AC820" s="19"/>
      <c r="AD820" s="19"/>
      <c r="AE820" s="19"/>
    </row>
    <row r="821" spans="1:31" ht="13.15" x14ac:dyDescent="0.4">
      <c r="A821" s="19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  <c r="AA821" s="19"/>
      <c r="AB821" s="19"/>
      <c r="AC821" s="19"/>
      <c r="AD821" s="19"/>
      <c r="AE821" s="19"/>
    </row>
    <row r="822" spans="1:31" ht="13.15" x14ac:dyDescent="0.4">
      <c r="A822" s="19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  <c r="AA822" s="19"/>
      <c r="AB822" s="19"/>
      <c r="AC822" s="19"/>
      <c r="AD822" s="19"/>
      <c r="AE822" s="19"/>
    </row>
    <row r="823" spans="1:31" ht="13.15" x14ac:dyDescent="0.4">
      <c r="A823" s="19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  <c r="AA823" s="19"/>
      <c r="AB823" s="19"/>
      <c r="AC823" s="19"/>
      <c r="AD823" s="19"/>
      <c r="AE823" s="19"/>
    </row>
    <row r="824" spans="1:31" ht="13.15" x14ac:dyDescent="0.4">
      <c r="A824" s="19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  <c r="AA824" s="19"/>
      <c r="AB824" s="19"/>
      <c r="AC824" s="19"/>
      <c r="AD824" s="19"/>
      <c r="AE824" s="19"/>
    </row>
    <row r="825" spans="1:31" ht="13.15" x14ac:dyDescent="0.4">
      <c r="A825" s="19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  <c r="AA825" s="19"/>
      <c r="AB825" s="19"/>
      <c r="AC825" s="19"/>
      <c r="AD825" s="19"/>
      <c r="AE825" s="19"/>
    </row>
    <row r="826" spans="1:31" ht="13.15" x14ac:dyDescent="0.4">
      <c r="A826" s="19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  <c r="AA826" s="19"/>
      <c r="AB826" s="19"/>
      <c r="AC826" s="19"/>
      <c r="AD826" s="19"/>
      <c r="AE826" s="19"/>
    </row>
    <row r="827" spans="1:31" ht="13.15" x14ac:dyDescent="0.4">
      <c r="A827" s="19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  <c r="AA827" s="19"/>
      <c r="AB827" s="19"/>
      <c r="AC827" s="19"/>
      <c r="AD827" s="19"/>
      <c r="AE827" s="19"/>
    </row>
    <row r="828" spans="1:31" ht="13.15" x14ac:dyDescent="0.4">
      <c r="A828" s="19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  <c r="AA828" s="19"/>
      <c r="AB828" s="19"/>
      <c r="AC828" s="19"/>
      <c r="AD828" s="19"/>
      <c r="AE828" s="19"/>
    </row>
    <row r="829" spans="1:31" ht="13.15" x14ac:dyDescent="0.4">
      <c r="A829" s="19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  <c r="AA829" s="19"/>
      <c r="AB829" s="19"/>
      <c r="AC829" s="19"/>
      <c r="AD829" s="19"/>
      <c r="AE829" s="19"/>
    </row>
    <row r="830" spans="1:31" ht="13.15" x14ac:dyDescent="0.4">
      <c r="A830" s="19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  <c r="AA830" s="19"/>
      <c r="AB830" s="19"/>
      <c r="AC830" s="19"/>
      <c r="AD830" s="19"/>
      <c r="AE830" s="19"/>
    </row>
    <row r="831" spans="1:31" ht="13.15" x14ac:dyDescent="0.4">
      <c r="A831" s="19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  <c r="AA831" s="19"/>
      <c r="AB831" s="19"/>
      <c r="AC831" s="19"/>
      <c r="AD831" s="19"/>
      <c r="AE831" s="19"/>
    </row>
    <row r="832" spans="1:31" ht="13.15" x14ac:dyDescent="0.4">
      <c r="A832" s="19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  <c r="AA832" s="19"/>
      <c r="AB832" s="19"/>
      <c r="AC832" s="19"/>
      <c r="AD832" s="19"/>
      <c r="AE832" s="19"/>
    </row>
    <row r="833" spans="1:31" ht="13.15" x14ac:dyDescent="0.4">
      <c r="A833" s="19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  <c r="AA833" s="19"/>
      <c r="AB833" s="19"/>
      <c r="AC833" s="19"/>
      <c r="AD833" s="19"/>
      <c r="AE833" s="19"/>
    </row>
    <row r="834" spans="1:31" ht="13.15" x14ac:dyDescent="0.4">
      <c r="A834" s="19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  <c r="AA834" s="19"/>
      <c r="AB834" s="19"/>
      <c r="AC834" s="19"/>
      <c r="AD834" s="19"/>
      <c r="AE834" s="19"/>
    </row>
    <row r="835" spans="1:31" ht="13.15" x14ac:dyDescent="0.4">
      <c r="A835" s="19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  <c r="AA835" s="19"/>
      <c r="AB835" s="19"/>
      <c r="AC835" s="19"/>
      <c r="AD835" s="19"/>
      <c r="AE835" s="19"/>
    </row>
    <row r="836" spans="1:31" ht="13.15" x14ac:dyDescent="0.4">
      <c r="A836" s="19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  <c r="AA836" s="19"/>
      <c r="AB836" s="19"/>
      <c r="AC836" s="19"/>
      <c r="AD836" s="19"/>
      <c r="AE836" s="19"/>
    </row>
    <row r="837" spans="1:31" ht="13.15" x14ac:dyDescent="0.4">
      <c r="A837" s="19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  <c r="AA837" s="19"/>
      <c r="AB837" s="19"/>
      <c r="AC837" s="19"/>
      <c r="AD837" s="19"/>
      <c r="AE837" s="19"/>
    </row>
    <row r="838" spans="1:31" ht="13.15" x14ac:dyDescent="0.4">
      <c r="A838" s="19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  <c r="AA838" s="19"/>
      <c r="AB838" s="19"/>
      <c r="AC838" s="19"/>
      <c r="AD838" s="19"/>
      <c r="AE838" s="19"/>
    </row>
    <row r="839" spans="1:31" ht="13.15" x14ac:dyDescent="0.4">
      <c r="A839" s="19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  <c r="AA839" s="19"/>
      <c r="AB839" s="19"/>
      <c r="AC839" s="19"/>
      <c r="AD839" s="19"/>
      <c r="AE839" s="19"/>
    </row>
    <row r="840" spans="1:31" ht="13.15" x14ac:dyDescent="0.4">
      <c r="A840" s="19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  <c r="AA840" s="19"/>
      <c r="AB840" s="19"/>
      <c r="AC840" s="19"/>
      <c r="AD840" s="19"/>
      <c r="AE840" s="19"/>
    </row>
    <row r="841" spans="1:31" ht="13.15" x14ac:dyDescent="0.4">
      <c r="A841" s="19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  <c r="AA841" s="19"/>
      <c r="AB841" s="19"/>
      <c r="AC841" s="19"/>
      <c r="AD841" s="19"/>
      <c r="AE841" s="19"/>
    </row>
    <row r="842" spans="1:31" ht="13.15" x14ac:dyDescent="0.4">
      <c r="A842" s="19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  <c r="AA842" s="19"/>
      <c r="AB842" s="19"/>
      <c r="AC842" s="19"/>
      <c r="AD842" s="19"/>
      <c r="AE842" s="19"/>
    </row>
    <row r="843" spans="1:31" ht="13.15" x14ac:dyDescent="0.4">
      <c r="A843" s="19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  <c r="AA843" s="19"/>
      <c r="AB843" s="19"/>
      <c r="AC843" s="19"/>
      <c r="AD843" s="19"/>
      <c r="AE843" s="19"/>
    </row>
    <row r="844" spans="1:31" ht="13.15" x14ac:dyDescent="0.4">
      <c r="A844" s="19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  <c r="AA844" s="19"/>
      <c r="AB844" s="19"/>
      <c r="AC844" s="19"/>
      <c r="AD844" s="19"/>
      <c r="AE844" s="19"/>
    </row>
    <row r="845" spans="1:31" ht="13.15" x14ac:dyDescent="0.4">
      <c r="A845" s="19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  <c r="AA845" s="19"/>
      <c r="AB845" s="19"/>
      <c r="AC845" s="19"/>
      <c r="AD845" s="19"/>
      <c r="AE845" s="19"/>
    </row>
    <row r="846" spans="1:31" ht="13.15" x14ac:dyDescent="0.4">
      <c r="A846" s="19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  <c r="AA846" s="19"/>
      <c r="AB846" s="19"/>
      <c r="AC846" s="19"/>
      <c r="AD846" s="19"/>
      <c r="AE846" s="19"/>
    </row>
    <row r="847" spans="1:31" ht="13.15" x14ac:dyDescent="0.4">
      <c r="A847" s="19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  <c r="AA847" s="19"/>
      <c r="AB847" s="19"/>
      <c r="AC847" s="19"/>
      <c r="AD847" s="19"/>
      <c r="AE847" s="19"/>
    </row>
    <row r="848" spans="1:31" ht="13.15" x14ac:dyDescent="0.4">
      <c r="A848" s="19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  <c r="AA848" s="19"/>
      <c r="AB848" s="19"/>
      <c r="AC848" s="19"/>
      <c r="AD848" s="19"/>
      <c r="AE848" s="19"/>
    </row>
    <row r="849" spans="1:31" ht="13.15" x14ac:dyDescent="0.4">
      <c r="A849" s="19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  <c r="AA849" s="19"/>
      <c r="AB849" s="19"/>
      <c r="AC849" s="19"/>
      <c r="AD849" s="19"/>
      <c r="AE849" s="19"/>
    </row>
    <row r="850" spans="1:31" ht="13.15" x14ac:dyDescent="0.4">
      <c r="A850" s="19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  <c r="AA850" s="19"/>
      <c r="AB850" s="19"/>
      <c r="AC850" s="19"/>
      <c r="AD850" s="19"/>
      <c r="AE850" s="19"/>
    </row>
    <row r="851" spans="1:31" ht="13.15" x14ac:dyDescent="0.4">
      <c r="A851" s="19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  <c r="AA851" s="19"/>
      <c r="AB851" s="19"/>
      <c r="AC851" s="19"/>
      <c r="AD851" s="19"/>
      <c r="AE851" s="19"/>
    </row>
    <row r="852" spans="1:31" ht="13.15" x14ac:dyDescent="0.4">
      <c r="A852" s="19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  <c r="AA852" s="19"/>
      <c r="AB852" s="19"/>
      <c r="AC852" s="19"/>
      <c r="AD852" s="19"/>
      <c r="AE852" s="19"/>
    </row>
    <row r="853" spans="1:31" ht="13.15" x14ac:dyDescent="0.4">
      <c r="A853" s="19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  <c r="AA853" s="19"/>
      <c r="AB853" s="19"/>
      <c r="AC853" s="19"/>
      <c r="AD853" s="19"/>
      <c r="AE853" s="19"/>
    </row>
    <row r="854" spans="1:31" ht="13.15" x14ac:dyDescent="0.4">
      <c r="A854" s="19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  <c r="AA854" s="19"/>
      <c r="AB854" s="19"/>
      <c r="AC854" s="19"/>
      <c r="AD854" s="19"/>
      <c r="AE854" s="19"/>
    </row>
    <row r="855" spans="1:31" ht="13.15" x14ac:dyDescent="0.4">
      <c r="A855" s="19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  <c r="AA855" s="19"/>
      <c r="AB855" s="19"/>
      <c r="AC855" s="19"/>
      <c r="AD855" s="19"/>
      <c r="AE855" s="19"/>
    </row>
    <row r="856" spans="1:31" ht="13.15" x14ac:dyDescent="0.4">
      <c r="A856" s="19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  <c r="AA856" s="19"/>
      <c r="AB856" s="19"/>
      <c r="AC856" s="19"/>
      <c r="AD856" s="19"/>
      <c r="AE856" s="19"/>
    </row>
    <row r="857" spans="1:31" ht="13.15" x14ac:dyDescent="0.4">
      <c r="A857" s="19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  <c r="AA857" s="19"/>
      <c r="AB857" s="19"/>
      <c r="AC857" s="19"/>
      <c r="AD857" s="19"/>
      <c r="AE857" s="19"/>
    </row>
    <row r="858" spans="1:31" ht="13.15" x14ac:dyDescent="0.4">
      <c r="A858" s="19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  <c r="AA858" s="19"/>
      <c r="AB858" s="19"/>
      <c r="AC858" s="19"/>
      <c r="AD858" s="19"/>
      <c r="AE858" s="19"/>
    </row>
    <row r="859" spans="1:31" ht="13.15" x14ac:dyDescent="0.4">
      <c r="A859" s="19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  <c r="AA859" s="19"/>
      <c r="AB859" s="19"/>
      <c r="AC859" s="19"/>
      <c r="AD859" s="19"/>
      <c r="AE859" s="19"/>
    </row>
    <row r="860" spans="1:31" ht="13.15" x14ac:dyDescent="0.4">
      <c r="A860" s="19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  <c r="AA860" s="19"/>
      <c r="AB860" s="19"/>
      <c r="AC860" s="19"/>
      <c r="AD860" s="19"/>
      <c r="AE860" s="19"/>
    </row>
    <row r="861" spans="1:31" ht="13.15" x14ac:dyDescent="0.4">
      <c r="A861" s="19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  <c r="AA861" s="19"/>
      <c r="AB861" s="19"/>
      <c r="AC861" s="19"/>
      <c r="AD861" s="19"/>
      <c r="AE861" s="19"/>
    </row>
    <row r="862" spans="1:31" ht="13.15" x14ac:dyDescent="0.4">
      <c r="A862" s="19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  <c r="AA862" s="19"/>
      <c r="AB862" s="19"/>
      <c r="AC862" s="19"/>
      <c r="AD862" s="19"/>
      <c r="AE862" s="19"/>
    </row>
    <row r="863" spans="1:31" ht="13.15" x14ac:dyDescent="0.4">
      <c r="A863" s="19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  <c r="AA863" s="19"/>
      <c r="AB863" s="19"/>
      <c r="AC863" s="19"/>
      <c r="AD863" s="19"/>
      <c r="AE863" s="19"/>
    </row>
    <row r="864" spans="1:31" ht="13.15" x14ac:dyDescent="0.4">
      <c r="A864" s="19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  <c r="AA864" s="19"/>
      <c r="AB864" s="19"/>
      <c r="AC864" s="19"/>
      <c r="AD864" s="19"/>
      <c r="AE864" s="19"/>
    </row>
    <row r="865" spans="1:31" ht="13.15" x14ac:dyDescent="0.4">
      <c r="A865" s="19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  <c r="AA865" s="19"/>
      <c r="AB865" s="19"/>
      <c r="AC865" s="19"/>
      <c r="AD865" s="19"/>
      <c r="AE865" s="19"/>
    </row>
    <row r="866" spans="1:31" ht="13.15" x14ac:dyDescent="0.4">
      <c r="A866" s="19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  <c r="AA866" s="19"/>
      <c r="AB866" s="19"/>
      <c r="AC866" s="19"/>
      <c r="AD866" s="19"/>
      <c r="AE866" s="19"/>
    </row>
    <row r="867" spans="1:31" ht="13.15" x14ac:dyDescent="0.4">
      <c r="A867" s="19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  <c r="AA867" s="19"/>
      <c r="AB867" s="19"/>
      <c r="AC867" s="19"/>
      <c r="AD867" s="19"/>
      <c r="AE867" s="19"/>
    </row>
    <row r="868" spans="1:31" ht="13.15" x14ac:dyDescent="0.4">
      <c r="A868" s="19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  <c r="AA868" s="19"/>
      <c r="AB868" s="19"/>
      <c r="AC868" s="19"/>
      <c r="AD868" s="19"/>
      <c r="AE868" s="19"/>
    </row>
    <row r="869" spans="1:31" ht="13.15" x14ac:dyDescent="0.4">
      <c r="A869" s="19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  <c r="AA869" s="19"/>
      <c r="AB869" s="19"/>
      <c r="AC869" s="19"/>
      <c r="AD869" s="19"/>
      <c r="AE869" s="19"/>
    </row>
    <row r="870" spans="1:31" ht="13.15" x14ac:dyDescent="0.4">
      <c r="A870" s="19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  <c r="AA870" s="19"/>
      <c r="AB870" s="19"/>
      <c r="AC870" s="19"/>
      <c r="AD870" s="19"/>
      <c r="AE870" s="19"/>
    </row>
    <row r="871" spans="1:31" ht="13.15" x14ac:dyDescent="0.4">
      <c r="A871" s="19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  <c r="AA871" s="19"/>
      <c r="AB871" s="19"/>
      <c r="AC871" s="19"/>
      <c r="AD871" s="19"/>
      <c r="AE871" s="19"/>
    </row>
    <row r="872" spans="1:31" ht="13.15" x14ac:dyDescent="0.4">
      <c r="A872" s="19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  <c r="AA872" s="19"/>
      <c r="AB872" s="19"/>
      <c r="AC872" s="19"/>
      <c r="AD872" s="19"/>
      <c r="AE872" s="19"/>
    </row>
    <row r="873" spans="1:31" ht="13.15" x14ac:dyDescent="0.4">
      <c r="A873" s="19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  <c r="AA873" s="19"/>
      <c r="AB873" s="19"/>
      <c r="AC873" s="19"/>
      <c r="AD873" s="19"/>
      <c r="AE873" s="19"/>
    </row>
    <row r="874" spans="1:31" ht="13.15" x14ac:dyDescent="0.4">
      <c r="A874" s="19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  <c r="AA874" s="19"/>
      <c r="AB874" s="19"/>
      <c r="AC874" s="19"/>
      <c r="AD874" s="19"/>
      <c r="AE874" s="19"/>
    </row>
    <row r="875" spans="1:31" ht="13.15" x14ac:dyDescent="0.4">
      <c r="A875" s="19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  <c r="AA875" s="19"/>
      <c r="AB875" s="19"/>
      <c r="AC875" s="19"/>
      <c r="AD875" s="19"/>
      <c r="AE875" s="19"/>
    </row>
    <row r="876" spans="1:31" ht="13.15" x14ac:dyDescent="0.4">
      <c r="A876" s="19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  <c r="AA876" s="19"/>
      <c r="AB876" s="19"/>
      <c r="AC876" s="19"/>
      <c r="AD876" s="19"/>
      <c r="AE876" s="19"/>
    </row>
    <row r="877" spans="1:31" ht="13.15" x14ac:dyDescent="0.4">
      <c r="A877" s="19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  <c r="AA877" s="19"/>
      <c r="AB877" s="19"/>
      <c r="AC877" s="19"/>
      <c r="AD877" s="19"/>
      <c r="AE877" s="19"/>
    </row>
    <row r="878" spans="1:31" ht="13.15" x14ac:dyDescent="0.4">
      <c r="A878" s="19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  <c r="AA878" s="19"/>
      <c r="AB878" s="19"/>
      <c r="AC878" s="19"/>
      <c r="AD878" s="19"/>
      <c r="AE878" s="19"/>
    </row>
    <row r="879" spans="1:31" ht="13.15" x14ac:dyDescent="0.4">
      <c r="A879" s="19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  <c r="AA879" s="19"/>
      <c r="AB879" s="19"/>
      <c r="AC879" s="19"/>
      <c r="AD879" s="19"/>
      <c r="AE879" s="19"/>
    </row>
    <row r="880" spans="1:31" ht="13.15" x14ac:dyDescent="0.4">
      <c r="A880" s="19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  <c r="AA880" s="19"/>
      <c r="AB880" s="19"/>
      <c r="AC880" s="19"/>
      <c r="AD880" s="19"/>
      <c r="AE880" s="19"/>
    </row>
    <row r="881" spans="1:31" ht="13.15" x14ac:dyDescent="0.4">
      <c r="A881" s="19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  <c r="AA881" s="19"/>
      <c r="AB881" s="19"/>
      <c r="AC881" s="19"/>
      <c r="AD881" s="19"/>
      <c r="AE881" s="19"/>
    </row>
    <row r="882" spans="1:31" ht="13.15" x14ac:dyDescent="0.4">
      <c r="A882" s="19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  <c r="AA882" s="19"/>
      <c r="AB882" s="19"/>
      <c r="AC882" s="19"/>
      <c r="AD882" s="19"/>
      <c r="AE882" s="19"/>
    </row>
    <row r="883" spans="1:31" ht="13.15" x14ac:dyDescent="0.4">
      <c r="A883" s="19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  <c r="AA883" s="19"/>
      <c r="AB883" s="19"/>
      <c r="AC883" s="19"/>
      <c r="AD883" s="19"/>
      <c r="AE883" s="19"/>
    </row>
    <row r="884" spans="1:31" ht="13.15" x14ac:dyDescent="0.4">
      <c r="A884" s="19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  <c r="AA884" s="19"/>
      <c r="AB884" s="19"/>
      <c r="AC884" s="19"/>
      <c r="AD884" s="19"/>
      <c r="AE884" s="19"/>
    </row>
    <row r="885" spans="1:31" ht="13.15" x14ac:dyDescent="0.4">
      <c r="A885" s="19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  <c r="AA885" s="19"/>
      <c r="AB885" s="19"/>
      <c r="AC885" s="19"/>
      <c r="AD885" s="19"/>
      <c r="AE885" s="19"/>
    </row>
    <row r="886" spans="1:31" ht="13.15" x14ac:dyDescent="0.4">
      <c r="A886" s="19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  <c r="AA886" s="19"/>
      <c r="AB886" s="19"/>
      <c r="AC886" s="19"/>
      <c r="AD886" s="19"/>
      <c r="AE886" s="19"/>
    </row>
    <row r="887" spans="1:31" ht="13.15" x14ac:dyDescent="0.4">
      <c r="A887" s="19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  <c r="AA887" s="19"/>
      <c r="AB887" s="19"/>
      <c r="AC887" s="19"/>
      <c r="AD887" s="19"/>
      <c r="AE887" s="19"/>
    </row>
    <row r="888" spans="1:31" ht="13.15" x14ac:dyDescent="0.4">
      <c r="A888" s="19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  <c r="AA888" s="19"/>
      <c r="AB888" s="19"/>
      <c r="AC888" s="19"/>
      <c r="AD888" s="19"/>
      <c r="AE888" s="19"/>
    </row>
    <row r="889" spans="1:31" ht="13.15" x14ac:dyDescent="0.4">
      <c r="A889" s="19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  <c r="AA889" s="19"/>
      <c r="AB889" s="19"/>
      <c r="AC889" s="19"/>
      <c r="AD889" s="19"/>
      <c r="AE889" s="19"/>
    </row>
    <row r="890" spans="1:31" ht="13.15" x14ac:dyDescent="0.4">
      <c r="A890" s="19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  <c r="AA890" s="19"/>
      <c r="AB890" s="19"/>
      <c r="AC890" s="19"/>
      <c r="AD890" s="19"/>
      <c r="AE890" s="19"/>
    </row>
    <row r="891" spans="1:31" ht="13.15" x14ac:dyDescent="0.4">
      <c r="A891" s="19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  <c r="AA891" s="19"/>
      <c r="AB891" s="19"/>
      <c r="AC891" s="19"/>
      <c r="AD891" s="19"/>
      <c r="AE891" s="19"/>
    </row>
    <row r="892" spans="1:31" ht="13.15" x14ac:dyDescent="0.4">
      <c r="A892" s="19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  <c r="AA892" s="19"/>
      <c r="AB892" s="19"/>
      <c r="AC892" s="19"/>
      <c r="AD892" s="19"/>
      <c r="AE892" s="19"/>
    </row>
    <row r="893" spans="1:31" ht="13.15" x14ac:dyDescent="0.4">
      <c r="A893" s="19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  <c r="AA893" s="19"/>
      <c r="AB893" s="19"/>
      <c r="AC893" s="19"/>
      <c r="AD893" s="19"/>
      <c r="AE893" s="19"/>
    </row>
    <row r="894" spans="1:31" ht="13.15" x14ac:dyDescent="0.4">
      <c r="A894" s="19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  <c r="AA894" s="19"/>
      <c r="AB894" s="19"/>
      <c r="AC894" s="19"/>
      <c r="AD894" s="19"/>
      <c r="AE894" s="19"/>
    </row>
    <row r="895" spans="1:31" ht="13.15" x14ac:dyDescent="0.4">
      <c r="A895" s="19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  <c r="AA895" s="19"/>
      <c r="AB895" s="19"/>
      <c r="AC895" s="19"/>
      <c r="AD895" s="19"/>
      <c r="AE895" s="19"/>
    </row>
    <row r="896" spans="1:31" ht="13.15" x14ac:dyDescent="0.4">
      <c r="A896" s="19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  <c r="AA896" s="19"/>
      <c r="AB896" s="19"/>
      <c r="AC896" s="19"/>
      <c r="AD896" s="19"/>
      <c r="AE896" s="19"/>
    </row>
    <row r="897" spans="1:31" ht="13.15" x14ac:dyDescent="0.4">
      <c r="A897" s="19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  <c r="AA897" s="19"/>
      <c r="AB897" s="19"/>
      <c r="AC897" s="19"/>
      <c r="AD897" s="19"/>
      <c r="AE897" s="19"/>
    </row>
    <row r="898" spans="1:31" ht="13.15" x14ac:dyDescent="0.4">
      <c r="A898" s="19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  <c r="AA898" s="19"/>
      <c r="AB898" s="19"/>
      <c r="AC898" s="19"/>
      <c r="AD898" s="19"/>
      <c r="AE898" s="19"/>
    </row>
    <row r="899" spans="1:31" ht="13.15" x14ac:dyDescent="0.4">
      <c r="A899" s="19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  <c r="AA899" s="19"/>
      <c r="AB899" s="19"/>
      <c r="AC899" s="19"/>
      <c r="AD899" s="19"/>
      <c r="AE899" s="19"/>
    </row>
    <row r="900" spans="1:31" ht="13.15" x14ac:dyDescent="0.4">
      <c r="A900" s="19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  <c r="AA900" s="19"/>
      <c r="AB900" s="19"/>
      <c r="AC900" s="19"/>
      <c r="AD900" s="19"/>
      <c r="AE900" s="19"/>
    </row>
    <row r="901" spans="1:31" ht="13.15" x14ac:dyDescent="0.4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  <c r="AA901" s="19"/>
      <c r="AB901" s="19"/>
      <c r="AC901" s="19"/>
      <c r="AD901" s="19"/>
      <c r="AE901" s="19"/>
    </row>
    <row r="902" spans="1:31" ht="13.15" x14ac:dyDescent="0.4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  <c r="AA902" s="19"/>
      <c r="AB902" s="19"/>
      <c r="AC902" s="19"/>
      <c r="AD902" s="19"/>
      <c r="AE902" s="19"/>
    </row>
    <row r="903" spans="1:31" ht="13.15" x14ac:dyDescent="0.4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  <c r="AA903" s="19"/>
      <c r="AB903" s="19"/>
      <c r="AC903" s="19"/>
      <c r="AD903" s="19"/>
      <c r="AE903" s="19"/>
    </row>
    <row r="904" spans="1:31" ht="13.15" x14ac:dyDescent="0.4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  <c r="AA904" s="19"/>
      <c r="AB904" s="19"/>
      <c r="AC904" s="19"/>
      <c r="AD904" s="19"/>
      <c r="AE904" s="19"/>
    </row>
    <row r="905" spans="1:31" ht="13.15" x14ac:dyDescent="0.4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  <c r="AA905" s="19"/>
      <c r="AB905" s="19"/>
      <c r="AC905" s="19"/>
      <c r="AD905" s="19"/>
      <c r="AE905" s="19"/>
    </row>
    <row r="906" spans="1:31" ht="13.15" x14ac:dyDescent="0.4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  <c r="AA906" s="19"/>
      <c r="AB906" s="19"/>
      <c r="AC906" s="19"/>
      <c r="AD906" s="19"/>
      <c r="AE906" s="19"/>
    </row>
    <row r="907" spans="1:31" ht="13.15" x14ac:dyDescent="0.4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  <c r="AA907" s="19"/>
      <c r="AB907" s="19"/>
      <c r="AC907" s="19"/>
      <c r="AD907" s="19"/>
      <c r="AE907" s="19"/>
    </row>
    <row r="908" spans="1:31" ht="13.15" x14ac:dyDescent="0.4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  <c r="AA908" s="19"/>
      <c r="AB908" s="19"/>
      <c r="AC908" s="19"/>
      <c r="AD908" s="19"/>
      <c r="AE908" s="19"/>
    </row>
    <row r="909" spans="1:31" ht="13.15" x14ac:dyDescent="0.4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  <c r="AA909" s="19"/>
      <c r="AB909" s="19"/>
      <c r="AC909" s="19"/>
      <c r="AD909" s="19"/>
      <c r="AE909" s="19"/>
    </row>
    <row r="910" spans="1:31" ht="13.15" x14ac:dyDescent="0.4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  <c r="AB910" s="19"/>
      <c r="AC910" s="19"/>
      <c r="AD910" s="19"/>
      <c r="AE910" s="19"/>
    </row>
    <row r="911" spans="1:31" ht="13.15" x14ac:dyDescent="0.4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  <c r="AA911" s="19"/>
      <c r="AB911" s="19"/>
      <c r="AC911" s="19"/>
      <c r="AD911" s="19"/>
      <c r="AE911" s="19"/>
    </row>
    <row r="912" spans="1:31" ht="13.15" x14ac:dyDescent="0.4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  <c r="AA912" s="19"/>
      <c r="AB912" s="19"/>
      <c r="AC912" s="19"/>
      <c r="AD912" s="19"/>
      <c r="AE912" s="19"/>
    </row>
    <row r="913" spans="1:31" ht="13.15" x14ac:dyDescent="0.4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  <c r="AA913" s="19"/>
      <c r="AB913" s="19"/>
      <c r="AC913" s="19"/>
      <c r="AD913" s="19"/>
      <c r="AE913" s="19"/>
    </row>
    <row r="914" spans="1:31" ht="13.15" x14ac:dyDescent="0.4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  <c r="AA914" s="19"/>
      <c r="AB914" s="19"/>
      <c r="AC914" s="19"/>
      <c r="AD914" s="19"/>
      <c r="AE914" s="19"/>
    </row>
    <row r="915" spans="1:31" ht="13.15" x14ac:dyDescent="0.4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  <c r="AA915" s="19"/>
      <c r="AB915" s="19"/>
      <c r="AC915" s="19"/>
      <c r="AD915" s="19"/>
      <c r="AE915" s="19"/>
    </row>
    <row r="916" spans="1:31" ht="13.15" x14ac:dyDescent="0.4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  <c r="AA916" s="19"/>
      <c r="AB916" s="19"/>
      <c r="AC916" s="19"/>
      <c r="AD916" s="19"/>
      <c r="AE916" s="19"/>
    </row>
    <row r="917" spans="1:31" ht="13.15" x14ac:dyDescent="0.4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  <c r="AA917" s="19"/>
      <c r="AB917" s="19"/>
      <c r="AC917" s="19"/>
      <c r="AD917" s="19"/>
      <c r="AE917" s="19"/>
    </row>
    <row r="918" spans="1:31" ht="13.15" x14ac:dyDescent="0.4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  <c r="AB918" s="19"/>
      <c r="AC918" s="19"/>
      <c r="AD918" s="19"/>
      <c r="AE918" s="19"/>
    </row>
    <row r="919" spans="1:31" ht="13.15" x14ac:dyDescent="0.4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  <c r="AA919" s="19"/>
      <c r="AB919" s="19"/>
      <c r="AC919" s="19"/>
      <c r="AD919" s="19"/>
      <c r="AE919" s="19"/>
    </row>
    <row r="920" spans="1:31" ht="13.15" x14ac:dyDescent="0.4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  <c r="AA920" s="19"/>
      <c r="AB920" s="19"/>
      <c r="AC920" s="19"/>
      <c r="AD920" s="19"/>
      <c r="AE920" s="19"/>
    </row>
    <row r="921" spans="1:31" ht="13.15" x14ac:dyDescent="0.4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  <c r="AA921" s="19"/>
      <c r="AB921" s="19"/>
      <c r="AC921" s="19"/>
      <c r="AD921" s="19"/>
      <c r="AE921" s="19"/>
    </row>
    <row r="922" spans="1:31" ht="13.15" x14ac:dyDescent="0.4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  <c r="AA922" s="19"/>
      <c r="AB922" s="19"/>
      <c r="AC922" s="19"/>
      <c r="AD922" s="19"/>
      <c r="AE922" s="19"/>
    </row>
    <row r="923" spans="1:31" ht="13.15" x14ac:dyDescent="0.4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  <c r="AA923" s="19"/>
      <c r="AB923" s="19"/>
      <c r="AC923" s="19"/>
      <c r="AD923" s="19"/>
      <c r="AE923" s="19"/>
    </row>
    <row r="924" spans="1:31" ht="13.15" x14ac:dyDescent="0.4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  <c r="AA924" s="19"/>
      <c r="AB924" s="19"/>
      <c r="AC924" s="19"/>
      <c r="AD924" s="19"/>
      <c r="AE924" s="19"/>
    </row>
    <row r="925" spans="1:31" ht="13.15" x14ac:dyDescent="0.4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  <c r="AA925" s="19"/>
      <c r="AB925" s="19"/>
      <c r="AC925" s="19"/>
      <c r="AD925" s="19"/>
      <c r="AE925" s="19"/>
    </row>
    <row r="926" spans="1:31" ht="13.15" x14ac:dyDescent="0.4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  <c r="AA926" s="19"/>
      <c r="AB926" s="19"/>
      <c r="AC926" s="19"/>
      <c r="AD926" s="19"/>
      <c r="AE926" s="19"/>
    </row>
    <row r="927" spans="1:31" ht="13.15" x14ac:dyDescent="0.4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  <c r="AA927" s="19"/>
      <c r="AB927" s="19"/>
      <c r="AC927" s="19"/>
      <c r="AD927" s="19"/>
      <c r="AE927" s="19"/>
    </row>
    <row r="928" spans="1:31" ht="13.15" x14ac:dyDescent="0.4">
      <c r="A928" s="19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  <c r="AA928" s="19"/>
      <c r="AB928" s="19"/>
      <c r="AC928" s="19"/>
      <c r="AD928" s="19"/>
      <c r="AE928" s="19"/>
    </row>
    <row r="929" spans="1:31" ht="13.15" x14ac:dyDescent="0.4">
      <c r="A929" s="19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  <c r="AA929" s="19"/>
      <c r="AB929" s="19"/>
      <c r="AC929" s="19"/>
      <c r="AD929" s="19"/>
      <c r="AE929" s="19"/>
    </row>
    <row r="930" spans="1:31" ht="13.15" x14ac:dyDescent="0.4">
      <c r="A930" s="19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  <c r="AA930" s="19"/>
      <c r="AB930" s="19"/>
      <c r="AC930" s="19"/>
      <c r="AD930" s="19"/>
      <c r="AE930" s="19"/>
    </row>
    <row r="931" spans="1:31" ht="13.15" x14ac:dyDescent="0.4">
      <c r="A931" s="19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  <c r="AA931" s="19"/>
      <c r="AB931" s="19"/>
      <c r="AC931" s="19"/>
      <c r="AD931" s="19"/>
      <c r="AE931" s="19"/>
    </row>
    <row r="932" spans="1:31" ht="13.15" x14ac:dyDescent="0.4">
      <c r="A932" s="19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  <c r="AA932" s="19"/>
      <c r="AB932" s="19"/>
      <c r="AC932" s="19"/>
      <c r="AD932" s="19"/>
      <c r="AE932" s="19"/>
    </row>
    <row r="933" spans="1:31" ht="13.15" x14ac:dyDescent="0.4">
      <c r="A933" s="19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  <c r="AA933" s="19"/>
      <c r="AB933" s="19"/>
      <c r="AC933" s="19"/>
      <c r="AD933" s="19"/>
      <c r="AE933" s="19"/>
    </row>
    <row r="934" spans="1:31" ht="13.15" x14ac:dyDescent="0.4">
      <c r="A934" s="19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  <c r="AA934" s="19"/>
      <c r="AB934" s="19"/>
      <c r="AC934" s="19"/>
      <c r="AD934" s="19"/>
      <c r="AE934" s="19"/>
    </row>
    <row r="935" spans="1:31" ht="13.15" x14ac:dyDescent="0.4">
      <c r="A935" s="19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  <c r="AA935" s="19"/>
      <c r="AB935" s="19"/>
      <c r="AC935" s="19"/>
      <c r="AD935" s="19"/>
      <c r="AE935" s="19"/>
    </row>
    <row r="936" spans="1:31" ht="13.15" x14ac:dyDescent="0.4">
      <c r="A936" s="19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  <c r="AA936" s="19"/>
      <c r="AB936" s="19"/>
      <c r="AC936" s="19"/>
      <c r="AD936" s="19"/>
      <c r="AE936" s="19"/>
    </row>
    <row r="937" spans="1:31" ht="13.15" x14ac:dyDescent="0.4">
      <c r="A937" s="19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  <c r="AA937" s="19"/>
      <c r="AB937" s="19"/>
      <c r="AC937" s="19"/>
      <c r="AD937" s="19"/>
      <c r="AE937" s="19"/>
    </row>
    <row r="938" spans="1:31" ht="13.15" x14ac:dyDescent="0.4">
      <c r="A938" s="19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  <c r="AA938" s="19"/>
      <c r="AB938" s="19"/>
      <c r="AC938" s="19"/>
      <c r="AD938" s="19"/>
      <c r="AE938" s="19"/>
    </row>
    <row r="939" spans="1:31" ht="13.15" x14ac:dyDescent="0.4">
      <c r="A939" s="19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  <c r="AA939" s="19"/>
      <c r="AB939" s="19"/>
      <c r="AC939" s="19"/>
      <c r="AD939" s="19"/>
      <c r="AE939" s="19"/>
    </row>
    <row r="940" spans="1:31" ht="13.15" x14ac:dyDescent="0.4">
      <c r="A940" s="19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  <c r="AB940" s="19"/>
      <c r="AC940" s="19"/>
      <c r="AD940" s="19"/>
      <c r="AE940" s="19"/>
    </row>
    <row r="941" spans="1:31" ht="13.15" x14ac:dyDescent="0.4">
      <c r="A941" s="19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  <c r="AA941" s="19"/>
      <c r="AB941" s="19"/>
      <c r="AC941" s="19"/>
      <c r="AD941" s="19"/>
      <c r="AE941" s="19"/>
    </row>
    <row r="942" spans="1:31" ht="13.15" x14ac:dyDescent="0.4">
      <c r="A942" s="19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  <c r="AA942" s="19"/>
      <c r="AB942" s="19"/>
      <c r="AC942" s="19"/>
      <c r="AD942" s="19"/>
      <c r="AE942" s="19"/>
    </row>
    <row r="943" spans="1:31" ht="13.15" x14ac:dyDescent="0.4">
      <c r="A943" s="19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  <c r="AA943" s="19"/>
      <c r="AB943" s="19"/>
      <c r="AC943" s="19"/>
      <c r="AD943" s="19"/>
      <c r="AE943" s="19"/>
    </row>
    <row r="944" spans="1:31" ht="13.15" x14ac:dyDescent="0.4">
      <c r="A944" s="19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  <c r="AA944" s="19"/>
      <c r="AB944" s="19"/>
      <c r="AC944" s="19"/>
      <c r="AD944" s="19"/>
      <c r="AE944" s="19"/>
    </row>
    <row r="945" spans="1:31" ht="13.15" x14ac:dyDescent="0.4">
      <c r="A945" s="19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  <c r="AA945" s="19"/>
      <c r="AB945" s="19"/>
      <c r="AC945" s="19"/>
      <c r="AD945" s="19"/>
      <c r="AE945" s="19"/>
    </row>
    <row r="946" spans="1:31" ht="13.15" x14ac:dyDescent="0.4">
      <c r="A946" s="19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  <c r="AA946" s="19"/>
      <c r="AB946" s="19"/>
      <c r="AC946" s="19"/>
      <c r="AD946" s="19"/>
      <c r="AE946" s="19"/>
    </row>
    <row r="947" spans="1:31" ht="13.15" x14ac:dyDescent="0.4">
      <c r="A947" s="19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  <c r="AA947" s="19"/>
      <c r="AB947" s="19"/>
      <c r="AC947" s="19"/>
      <c r="AD947" s="19"/>
      <c r="AE947" s="19"/>
    </row>
    <row r="948" spans="1:31" ht="13.15" x14ac:dyDescent="0.4">
      <c r="A948" s="19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  <c r="AA948" s="19"/>
      <c r="AB948" s="19"/>
      <c r="AC948" s="19"/>
      <c r="AD948" s="19"/>
      <c r="AE948" s="19"/>
    </row>
    <row r="949" spans="1:31" ht="13.15" x14ac:dyDescent="0.4">
      <c r="A949" s="19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  <c r="AA949" s="19"/>
      <c r="AB949" s="19"/>
      <c r="AC949" s="19"/>
      <c r="AD949" s="19"/>
      <c r="AE949" s="19"/>
    </row>
    <row r="950" spans="1:31" ht="13.15" x14ac:dyDescent="0.4">
      <c r="A950" s="19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  <c r="AA950" s="19"/>
      <c r="AB950" s="19"/>
      <c r="AC950" s="19"/>
      <c r="AD950" s="19"/>
      <c r="AE950" s="19"/>
    </row>
    <row r="951" spans="1:31" ht="13.15" x14ac:dyDescent="0.4">
      <c r="A951" s="19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  <c r="AA951" s="19"/>
      <c r="AB951" s="19"/>
      <c r="AC951" s="19"/>
      <c r="AD951" s="19"/>
      <c r="AE951" s="19"/>
    </row>
    <row r="952" spans="1:31" ht="13.15" x14ac:dyDescent="0.4">
      <c r="A952" s="19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  <c r="AA952" s="19"/>
      <c r="AB952" s="19"/>
      <c r="AC952" s="19"/>
      <c r="AD952" s="19"/>
      <c r="AE952" s="19"/>
    </row>
    <row r="953" spans="1:31" ht="13.15" x14ac:dyDescent="0.4">
      <c r="A953" s="19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  <c r="AA953" s="19"/>
      <c r="AB953" s="19"/>
      <c r="AC953" s="19"/>
      <c r="AD953" s="19"/>
      <c r="AE953" s="19"/>
    </row>
    <row r="954" spans="1:31" ht="13.15" x14ac:dyDescent="0.4">
      <c r="A954" s="19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  <c r="AA954" s="19"/>
      <c r="AB954" s="19"/>
      <c r="AC954" s="19"/>
      <c r="AD954" s="19"/>
      <c r="AE954" s="19"/>
    </row>
    <row r="955" spans="1:31" ht="13.15" x14ac:dyDescent="0.4">
      <c r="A955" s="19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  <c r="AA955" s="19"/>
      <c r="AB955" s="19"/>
      <c r="AC955" s="19"/>
      <c r="AD955" s="19"/>
      <c r="AE955" s="19"/>
    </row>
    <row r="956" spans="1:31" ht="13.15" x14ac:dyDescent="0.4">
      <c r="A956" s="19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  <c r="AA956" s="19"/>
      <c r="AB956" s="19"/>
      <c r="AC956" s="19"/>
      <c r="AD956" s="19"/>
      <c r="AE956" s="19"/>
    </row>
    <row r="957" spans="1:31" ht="13.15" x14ac:dyDescent="0.4">
      <c r="A957" s="19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  <c r="AA957" s="19"/>
      <c r="AB957" s="19"/>
      <c r="AC957" s="19"/>
      <c r="AD957" s="19"/>
      <c r="AE957" s="19"/>
    </row>
    <row r="958" spans="1:31" ht="13.15" x14ac:dyDescent="0.4">
      <c r="A958" s="19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  <c r="AA958" s="19"/>
      <c r="AB958" s="19"/>
      <c r="AC958" s="19"/>
      <c r="AD958" s="19"/>
      <c r="AE958" s="19"/>
    </row>
    <row r="959" spans="1:31" ht="13.15" x14ac:dyDescent="0.4">
      <c r="A959" s="19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  <c r="AA959" s="19"/>
      <c r="AB959" s="19"/>
      <c r="AC959" s="19"/>
      <c r="AD959" s="19"/>
      <c r="AE959" s="19"/>
    </row>
    <row r="960" spans="1:31" ht="13.15" x14ac:dyDescent="0.4">
      <c r="A960" s="19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  <c r="AA960" s="19"/>
      <c r="AB960" s="19"/>
      <c r="AC960" s="19"/>
      <c r="AD960" s="19"/>
      <c r="AE960" s="19"/>
    </row>
    <row r="961" spans="1:31" ht="13.15" x14ac:dyDescent="0.4">
      <c r="A961" s="19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  <c r="AA961" s="19"/>
      <c r="AB961" s="19"/>
      <c r="AC961" s="19"/>
      <c r="AD961" s="19"/>
      <c r="AE961" s="19"/>
    </row>
    <row r="962" spans="1:31" ht="13.15" x14ac:dyDescent="0.4">
      <c r="A962" s="19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  <c r="AA962" s="19"/>
      <c r="AB962" s="19"/>
      <c r="AC962" s="19"/>
      <c r="AD962" s="19"/>
      <c r="AE962" s="19"/>
    </row>
    <row r="963" spans="1:31" ht="13.15" x14ac:dyDescent="0.4">
      <c r="A963" s="19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  <c r="AB963" s="19"/>
      <c r="AC963" s="19"/>
      <c r="AD963" s="19"/>
      <c r="AE963" s="19"/>
    </row>
    <row r="964" spans="1:31" ht="13.15" x14ac:dyDescent="0.4">
      <c r="A964" s="19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  <c r="AA964" s="19"/>
      <c r="AB964" s="19"/>
      <c r="AC964" s="19"/>
      <c r="AD964" s="19"/>
      <c r="AE964" s="19"/>
    </row>
    <row r="965" spans="1:31" ht="13.15" x14ac:dyDescent="0.4">
      <c r="A965" s="19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  <c r="AA965" s="19"/>
      <c r="AB965" s="19"/>
      <c r="AC965" s="19"/>
      <c r="AD965" s="19"/>
      <c r="AE965" s="19"/>
    </row>
    <row r="966" spans="1:31" ht="13.15" x14ac:dyDescent="0.4">
      <c r="A966" s="19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  <c r="AA966" s="19"/>
      <c r="AB966" s="19"/>
      <c r="AC966" s="19"/>
      <c r="AD966" s="19"/>
      <c r="AE966" s="19"/>
    </row>
    <row r="967" spans="1:31" ht="13.15" x14ac:dyDescent="0.4">
      <c r="A967" s="19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  <c r="AA967" s="19"/>
      <c r="AB967" s="19"/>
      <c r="AC967" s="19"/>
      <c r="AD967" s="19"/>
      <c r="AE967" s="19"/>
    </row>
    <row r="968" spans="1:31" ht="13.15" x14ac:dyDescent="0.4">
      <c r="A968" s="19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  <c r="AA968" s="19"/>
      <c r="AB968" s="19"/>
      <c r="AC968" s="19"/>
      <c r="AD968" s="19"/>
      <c r="AE968" s="19"/>
    </row>
    <row r="969" spans="1:31" ht="13.15" x14ac:dyDescent="0.4">
      <c r="A969" s="19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  <c r="AA969" s="19"/>
      <c r="AB969" s="19"/>
      <c r="AC969" s="19"/>
      <c r="AD969" s="19"/>
      <c r="AE969" s="19"/>
    </row>
    <row r="970" spans="1:31" ht="13.15" x14ac:dyDescent="0.4">
      <c r="A970" s="19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  <c r="AA970" s="19"/>
      <c r="AB970" s="19"/>
      <c r="AC970" s="19"/>
      <c r="AD970" s="19"/>
      <c r="AE970" s="19"/>
    </row>
    <row r="971" spans="1:31" ht="13.15" x14ac:dyDescent="0.4">
      <c r="A971" s="19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  <c r="AA971" s="19"/>
      <c r="AB971" s="19"/>
      <c r="AC971" s="19"/>
      <c r="AD971" s="19"/>
      <c r="AE971" s="19"/>
    </row>
    <row r="972" spans="1:31" ht="13.15" x14ac:dyDescent="0.4">
      <c r="A972" s="19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  <c r="AA972" s="19"/>
      <c r="AB972" s="19"/>
      <c r="AC972" s="19"/>
      <c r="AD972" s="19"/>
      <c r="AE972" s="19"/>
    </row>
    <row r="973" spans="1:31" ht="13.15" x14ac:dyDescent="0.4">
      <c r="A973" s="19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  <c r="AA973" s="19"/>
      <c r="AB973" s="19"/>
      <c r="AC973" s="19"/>
      <c r="AD973" s="19"/>
      <c r="AE973" s="19"/>
    </row>
    <row r="974" spans="1:31" ht="13.15" x14ac:dyDescent="0.4">
      <c r="A974" s="19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  <c r="AA974" s="19"/>
      <c r="AB974" s="19"/>
      <c r="AC974" s="19"/>
      <c r="AD974" s="19"/>
      <c r="AE974" s="19"/>
    </row>
    <row r="975" spans="1:31" ht="13.15" x14ac:dyDescent="0.4">
      <c r="A975" s="19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  <c r="AA975" s="19"/>
      <c r="AB975" s="19"/>
      <c r="AC975" s="19"/>
      <c r="AD975" s="19"/>
      <c r="AE975" s="19"/>
    </row>
    <row r="976" spans="1:31" ht="13.15" x14ac:dyDescent="0.4">
      <c r="A976" s="19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  <c r="AA976" s="19"/>
      <c r="AB976" s="19"/>
      <c r="AC976" s="19"/>
      <c r="AD976" s="19"/>
      <c r="AE976" s="19"/>
    </row>
    <row r="977" spans="1:31" ht="13.15" x14ac:dyDescent="0.4">
      <c r="A977" s="19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  <c r="AA977" s="19"/>
      <c r="AB977" s="19"/>
      <c r="AC977" s="19"/>
      <c r="AD977" s="19"/>
      <c r="AE977" s="19"/>
    </row>
    <row r="978" spans="1:31" ht="13.15" x14ac:dyDescent="0.4">
      <c r="A978" s="19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  <c r="AA978" s="19"/>
      <c r="AB978" s="19"/>
      <c r="AC978" s="19"/>
      <c r="AD978" s="19"/>
      <c r="AE978" s="19"/>
    </row>
    <row r="979" spans="1:31" ht="13.15" x14ac:dyDescent="0.4">
      <c r="A979" s="19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  <c r="AA979" s="19"/>
      <c r="AB979" s="19"/>
      <c r="AC979" s="19"/>
      <c r="AD979" s="19"/>
      <c r="AE979" s="19"/>
    </row>
    <row r="980" spans="1:31" ht="13.15" x14ac:dyDescent="0.4">
      <c r="A980" s="19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  <c r="AA980" s="19"/>
      <c r="AB980" s="19"/>
      <c r="AC980" s="19"/>
      <c r="AD980" s="19"/>
      <c r="AE980" s="19"/>
    </row>
    <row r="981" spans="1:31" ht="13.15" x14ac:dyDescent="0.4">
      <c r="A981" s="19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  <c r="AA981" s="19"/>
      <c r="AB981" s="19"/>
      <c r="AC981" s="19"/>
      <c r="AD981" s="19"/>
      <c r="AE981" s="19"/>
    </row>
    <row r="982" spans="1:31" ht="13.15" x14ac:dyDescent="0.4">
      <c r="A982" s="19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  <c r="AA982" s="19"/>
      <c r="AB982" s="19"/>
      <c r="AC982" s="19"/>
      <c r="AD982" s="19"/>
      <c r="AE982" s="19"/>
    </row>
    <row r="983" spans="1:31" ht="13.15" x14ac:dyDescent="0.4">
      <c r="A983" s="19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  <c r="AA983" s="19"/>
      <c r="AB983" s="19"/>
      <c r="AC983" s="19"/>
      <c r="AD983" s="19"/>
      <c r="AE983" s="19"/>
    </row>
    <row r="984" spans="1:31" ht="13.15" x14ac:dyDescent="0.4">
      <c r="A984" s="19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  <c r="AA984" s="19"/>
      <c r="AB984" s="19"/>
      <c r="AC984" s="19"/>
      <c r="AD984" s="19"/>
      <c r="AE984" s="19"/>
    </row>
    <row r="985" spans="1:31" ht="13.15" x14ac:dyDescent="0.4">
      <c r="A985" s="19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  <c r="AA985" s="19"/>
      <c r="AB985" s="19"/>
      <c r="AC985" s="19"/>
      <c r="AD985" s="19"/>
      <c r="AE985" s="19"/>
    </row>
    <row r="986" spans="1:31" ht="13.15" x14ac:dyDescent="0.4">
      <c r="A986" s="19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  <c r="AA986" s="19"/>
      <c r="AB986" s="19"/>
      <c r="AC986" s="19"/>
      <c r="AD986" s="19"/>
      <c r="AE986" s="19"/>
    </row>
    <row r="987" spans="1:31" ht="13.15" x14ac:dyDescent="0.4">
      <c r="A987" s="19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  <c r="AA987" s="19"/>
      <c r="AB987" s="19"/>
      <c r="AC987" s="19"/>
      <c r="AD987" s="19"/>
      <c r="AE987" s="19"/>
    </row>
    <row r="988" spans="1:31" ht="13.15" x14ac:dyDescent="0.4">
      <c r="A988" s="19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  <c r="AA988" s="19"/>
      <c r="AB988" s="19"/>
      <c r="AC988" s="19"/>
      <c r="AD988" s="19"/>
      <c r="AE988" s="19"/>
    </row>
    <row r="989" spans="1:31" ht="13.15" x14ac:dyDescent="0.4">
      <c r="A989" s="19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  <c r="AA989" s="19"/>
      <c r="AB989" s="19"/>
      <c r="AC989" s="19"/>
      <c r="AD989" s="19"/>
      <c r="AE989" s="19"/>
    </row>
    <row r="990" spans="1:31" ht="13.15" x14ac:dyDescent="0.4">
      <c r="A990" s="19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  <c r="AA990" s="19"/>
      <c r="AB990" s="19"/>
      <c r="AC990" s="19"/>
      <c r="AD990" s="19"/>
      <c r="AE990" s="19"/>
    </row>
    <row r="991" spans="1:31" ht="13.15" x14ac:dyDescent="0.4">
      <c r="A991" s="19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  <c r="AA991" s="19"/>
      <c r="AB991" s="19"/>
      <c r="AC991" s="19"/>
      <c r="AD991" s="19"/>
      <c r="AE991" s="19"/>
    </row>
    <row r="992" spans="1:31" ht="13.15" x14ac:dyDescent="0.4">
      <c r="A992" s="19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  <c r="AA992" s="19"/>
      <c r="AB992" s="19"/>
      <c r="AC992" s="19"/>
      <c r="AD992" s="19"/>
      <c r="AE992" s="19"/>
    </row>
    <row r="993" spans="1:31" ht="13.15" x14ac:dyDescent="0.4">
      <c r="A993" s="19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  <c r="AA993" s="19"/>
      <c r="AB993" s="19"/>
      <c r="AC993" s="19"/>
      <c r="AD993" s="19"/>
      <c r="AE993" s="19"/>
    </row>
    <row r="994" spans="1:31" ht="13.15" x14ac:dyDescent="0.4">
      <c r="A994" s="19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  <c r="AA994" s="19"/>
      <c r="AB994" s="19"/>
      <c r="AC994" s="19"/>
      <c r="AD994" s="19"/>
      <c r="AE994" s="19"/>
    </row>
    <row r="995" spans="1:31" ht="13.15" x14ac:dyDescent="0.4">
      <c r="A995" s="19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  <c r="AA995" s="19"/>
      <c r="AB995" s="19"/>
      <c r="AC995" s="19"/>
      <c r="AD995" s="19"/>
      <c r="AE995" s="19"/>
    </row>
    <row r="996" spans="1:31" ht="13.15" x14ac:dyDescent="0.4">
      <c r="A996" s="19"/>
      <c r="B996" s="19"/>
      <c r="C996" s="19"/>
      <c r="D996" s="19"/>
      <c r="T996" s="19"/>
      <c r="U996" s="19"/>
      <c r="V996" s="19"/>
      <c r="W996" s="19"/>
      <c r="X996" s="19"/>
      <c r="Y996" s="19"/>
      <c r="Z996" s="19"/>
      <c r="AA996" s="19"/>
      <c r="AB996" s="19"/>
      <c r="AC996" s="19"/>
      <c r="AD996" s="19"/>
      <c r="AE996" s="19"/>
    </row>
    <row r="997" spans="1:31" ht="13.15" x14ac:dyDescent="0.4">
      <c r="A997" s="19"/>
      <c r="B997" s="19"/>
      <c r="C997" s="19"/>
      <c r="D997" s="19"/>
      <c r="T997" s="19"/>
      <c r="U997" s="19"/>
      <c r="V997" s="19"/>
      <c r="W997" s="19"/>
      <c r="X997" s="19"/>
      <c r="Y997" s="19"/>
      <c r="Z997" s="19"/>
      <c r="AA997" s="19"/>
      <c r="AB997" s="19"/>
      <c r="AC997" s="19"/>
      <c r="AD997" s="19"/>
      <c r="AE997" s="19"/>
    </row>
    <row r="998" spans="1:31" ht="13.15" x14ac:dyDescent="0.4">
      <c r="A998" s="19"/>
      <c r="B998" s="19"/>
      <c r="C998" s="19"/>
      <c r="D998" s="19"/>
      <c r="T998" s="19"/>
      <c r="U998" s="19"/>
      <c r="V998" s="19"/>
      <c r="W998" s="19"/>
      <c r="X998" s="19"/>
      <c r="Y998" s="19"/>
      <c r="Z998" s="19"/>
      <c r="AA998" s="19"/>
      <c r="AB998" s="19"/>
      <c r="AC998" s="19"/>
      <c r="AD998" s="19"/>
      <c r="AE998" s="19"/>
    </row>
    <row r="999" spans="1:31" ht="13.15" x14ac:dyDescent="0.4">
      <c r="A999" s="19"/>
      <c r="B999" s="19"/>
      <c r="C999" s="19"/>
      <c r="D999" s="19"/>
      <c r="T999" s="19"/>
      <c r="U999" s="19"/>
      <c r="V999" s="19"/>
      <c r="W999" s="19"/>
      <c r="X999" s="19"/>
      <c r="Y999" s="19"/>
      <c r="Z999" s="19"/>
      <c r="AA999" s="19"/>
      <c r="AB999" s="19"/>
      <c r="AC999" s="19"/>
      <c r="AD999" s="19"/>
      <c r="AE999" s="19"/>
    </row>
    <row r="1000" spans="1:31" ht="13.15" x14ac:dyDescent="0.4">
      <c r="A1000" s="19"/>
      <c r="B1000" s="19"/>
      <c r="C1000" s="19"/>
      <c r="D1000" s="19"/>
      <c r="T1000" s="19"/>
      <c r="U1000" s="19"/>
      <c r="V1000" s="19"/>
      <c r="W1000" s="19"/>
      <c r="X1000" s="19"/>
      <c r="Y1000" s="19"/>
      <c r="Z1000" s="19"/>
      <c r="AA1000" s="19"/>
      <c r="AB1000" s="19"/>
      <c r="AC1000" s="19"/>
      <c r="AD1000" s="19"/>
      <c r="AE1000" s="19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AE998"/>
  <sheetViews>
    <sheetView workbookViewId="0">
      <pane ySplit="1" topLeftCell="A2" activePane="bottomLeft" state="frozen"/>
      <selection pane="bottomLeft" activeCell="B3" sqref="B3"/>
    </sheetView>
  </sheetViews>
  <sheetFormatPr defaultColWidth="12.59765625" defaultRowHeight="15.75" customHeight="1" x14ac:dyDescent="0.35"/>
  <cols>
    <col min="6" max="6" width="18.73046875" customWidth="1"/>
    <col min="7" max="7" width="14.59765625" customWidth="1"/>
    <col min="8" max="8" width="16" customWidth="1"/>
  </cols>
  <sheetData>
    <row r="1" spans="1:31" ht="15.75" customHeight="1" x14ac:dyDescent="0.4">
      <c r="A1" s="18"/>
      <c r="B1" s="18"/>
      <c r="C1" s="18"/>
      <c r="D1" s="18"/>
      <c r="E1" s="18" t="s">
        <v>0</v>
      </c>
      <c r="F1" s="18" t="s">
        <v>4</v>
      </c>
      <c r="G1" s="18" t="s">
        <v>5</v>
      </c>
      <c r="H1" s="18" t="s">
        <v>6</v>
      </c>
      <c r="I1" s="18" t="s">
        <v>7</v>
      </c>
      <c r="J1" s="18" t="s">
        <v>8</v>
      </c>
      <c r="K1" s="18" t="s">
        <v>9</v>
      </c>
      <c r="L1" s="18" t="s">
        <v>10</v>
      </c>
      <c r="M1" s="18" t="s">
        <v>11</v>
      </c>
      <c r="N1" s="18" t="s">
        <v>12</v>
      </c>
      <c r="O1" s="18" t="s">
        <v>13</v>
      </c>
      <c r="P1" s="18" t="s">
        <v>14</v>
      </c>
      <c r="Q1" s="18" t="s">
        <v>15</v>
      </c>
      <c r="R1" s="18" t="s">
        <v>16</v>
      </c>
      <c r="S1" s="18" t="s">
        <v>74</v>
      </c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</row>
    <row r="2" spans="1:31" ht="15.75" customHeight="1" x14ac:dyDescent="0.4">
      <c r="A2" s="20" t="s">
        <v>3</v>
      </c>
      <c r="B2" s="20" t="s">
        <v>1</v>
      </c>
      <c r="C2" s="19"/>
      <c r="D2" s="19"/>
      <c r="E2" s="19" t="s">
        <v>22</v>
      </c>
      <c r="F2" s="19" t="s">
        <v>92</v>
      </c>
      <c r="G2" s="19" t="s">
        <v>161</v>
      </c>
      <c r="H2" s="19" t="s">
        <v>162</v>
      </c>
      <c r="I2" s="21">
        <v>45355</v>
      </c>
      <c r="J2" s="21">
        <v>45355</v>
      </c>
      <c r="K2" s="19" t="s">
        <v>85</v>
      </c>
      <c r="L2" s="19" t="s">
        <v>94</v>
      </c>
      <c r="M2" s="19" t="s">
        <v>95</v>
      </c>
      <c r="N2" s="19">
        <v>6</v>
      </c>
      <c r="O2" s="19" t="s">
        <v>97</v>
      </c>
      <c r="P2" s="19">
        <v>2</v>
      </c>
      <c r="Q2" s="19">
        <v>2</v>
      </c>
      <c r="R2" s="19">
        <v>2</v>
      </c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</row>
    <row r="3" spans="1:31" ht="15.75" customHeight="1" x14ac:dyDescent="0.4">
      <c r="A3" s="19" t="s">
        <v>43</v>
      </c>
      <c r="B3" s="19">
        <f>COUNTIF($H$2:$H998,"Shameka Johnson")</f>
        <v>12</v>
      </c>
      <c r="C3" s="19"/>
      <c r="D3" s="19"/>
      <c r="E3" s="19" t="s">
        <v>22</v>
      </c>
      <c r="F3" s="19" t="s">
        <v>92</v>
      </c>
      <c r="G3" s="19" t="s">
        <v>163</v>
      </c>
      <c r="H3" s="19" t="s">
        <v>162</v>
      </c>
      <c r="I3" s="21">
        <v>45355</v>
      </c>
      <c r="J3" s="21">
        <v>45356</v>
      </c>
      <c r="K3" s="19" t="s">
        <v>78</v>
      </c>
      <c r="L3" s="19" t="s">
        <v>99</v>
      </c>
      <c r="M3" s="19" t="s">
        <v>117</v>
      </c>
      <c r="N3" s="19">
        <v>5.5</v>
      </c>
      <c r="O3" s="19" t="s">
        <v>81</v>
      </c>
      <c r="P3" s="19">
        <v>1.5</v>
      </c>
      <c r="Q3" s="19">
        <v>2</v>
      </c>
      <c r="R3" s="19">
        <v>2</v>
      </c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</row>
    <row r="4" spans="1:31" ht="15.75" customHeight="1" x14ac:dyDescent="0.4">
      <c r="A4" s="19" t="s">
        <v>44</v>
      </c>
      <c r="B4" s="19">
        <f>COUNTIF($H$2:$H998,"Elizabeth Williams")</f>
        <v>10</v>
      </c>
      <c r="C4" s="19"/>
      <c r="D4" s="19"/>
      <c r="E4" s="19" t="s">
        <v>22</v>
      </c>
      <c r="F4" s="19" t="s">
        <v>75</v>
      </c>
      <c r="G4" s="19" t="s">
        <v>164</v>
      </c>
      <c r="H4" s="19" t="s">
        <v>162</v>
      </c>
      <c r="I4" s="21">
        <v>45355</v>
      </c>
      <c r="J4" s="21">
        <v>45355</v>
      </c>
      <c r="K4" s="19" t="s">
        <v>85</v>
      </c>
      <c r="L4" s="19" t="s">
        <v>88</v>
      </c>
      <c r="M4" s="19" t="s">
        <v>108</v>
      </c>
      <c r="N4" s="19">
        <v>6</v>
      </c>
      <c r="O4" s="19" t="s">
        <v>97</v>
      </c>
      <c r="P4" s="19">
        <v>1</v>
      </c>
      <c r="Q4" s="19">
        <v>2</v>
      </c>
      <c r="R4" s="19">
        <v>2</v>
      </c>
      <c r="S4" s="19">
        <v>1</v>
      </c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</row>
    <row r="5" spans="1:31" ht="15.75" customHeight="1" x14ac:dyDescent="0.4">
      <c r="A5" s="18" t="s">
        <v>29</v>
      </c>
      <c r="B5" s="18">
        <f>SUM(B3:B4)</f>
        <v>22</v>
      </c>
      <c r="C5" s="19"/>
      <c r="D5" s="19"/>
      <c r="E5" s="19" t="s">
        <v>22</v>
      </c>
      <c r="F5" s="19" t="s">
        <v>92</v>
      </c>
      <c r="G5" s="19" t="s">
        <v>165</v>
      </c>
      <c r="H5" s="19" t="s">
        <v>162</v>
      </c>
      <c r="I5" s="21">
        <v>45356</v>
      </c>
      <c r="J5" s="21"/>
      <c r="K5" s="19" t="s">
        <v>78</v>
      </c>
      <c r="L5" s="19" t="s">
        <v>115</v>
      </c>
      <c r="M5" s="19" t="s">
        <v>95</v>
      </c>
      <c r="N5" s="19">
        <v>5</v>
      </c>
      <c r="O5" s="19" t="s">
        <v>81</v>
      </c>
      <c r="P5" s="19">
        <v>1.5</v>
      </c>
      <c r="Q5" s="19">
        <v>2</v>
      </c>
      <c r="R5" s="19">
        <v>1.5</v>
      </c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</row>
    <row r="6" spans="1:31" ht="15.75" customHeight="1" x14ac:dyDescent="0.4">
      <c r="A6" s="19"/>
      <c r="B6" s="19"/>
      <c r="C6" s="19"/>
      <c r="D6" s="19"/>
      <c r="E6" s="19" t="s">
        <v>22</v>
      </c>
      <c r="F6" s="19" t="s">
        <v>75</v>
      </c>
      <c r="G6" s="19" t="s">
        <v>166</v>
      </c>
      <c r="H6" s="19" t="s">
        <v>162</v>
      </c>
      <c r="I6" s="21">
        <v>45357</v>
      </c>
      <c r="J6" s="21">
        <v>45358</v>
      </c>
      <c r="K6" s="19" t="s">
        <v>78</v>
      </c>
      <c r="L6" s="19" t="s">
        <v>99</v>
      </c>
      <c r="M6" s="19" t="s">
        <v>95</v>
      </c>
      <c r="N6" s="19">
        <v>7</v>
      </c>
      <c r="O6" s="19" t="s">
        <v>97</v>
      </c>
      <c r="P6" s="19">
        <v>1</v>
      </c>
      <c r="Q6" s="19">
        <v>2.5</v>
      </c>
      <c r="R6" s="19">
        <v>2</v>
      </c>
      <c r="S6" s="19">
        <v>1.5</v>
      </c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</row>
    <row r="7" spans="1:31" ht="15.75" customHeight="1" x14ac:dyDescent="0.4">
      <c r="A7" s="19"/>
      <c r="B7" s="19"/>
      <c r="C7" s="19"/>
      <c r="D7" s="19"/>
      <c r="E7" s="19" t="s">
        <v>22</v>
      </c>
      <c r="F7" s="19" t="s">
        <v>75</v>
      </c>
      <c r="G7" s="19" t="s">
        <v>167</v>
      </c>
      <c r="H7" s="19" t="s">
        <v>162</v>
      </c>
      <c r="I7" s="21">
        <v>45357</v>
      </c>
      <c r="J7" s="21">
        <v>45357</v>
      </c>
      <c r="K7" s="19" t="s">
        <v>85</v>
      </c>
      <c r="L7" s="19" t="s">
        <v>115</v>
      </c>
      <c r="M7" s="19" t="s">
        <v>108</v>
      </c>
      <c r="N7" s="19">
        <v>7.5</v>
      </c>
      <c r="O7" s="19" t="s">
        <v>97</v>
      </c>
      <c r="P7" s="19">
        <v>1</v>
      </c>
      <c r="Q7" s="19">
        <v>2.5</v>
      </c>
      <c r="R7" s="19">
        <v>2.5</v>
      </c>
      <c r="S7" s="19">
        <v>1.5</v>
      </c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</row>
    <row r="8" spans="1:31" ht="15.75" customHeight="1" x14ac:dyDescent="0.4">
      <c r="A8" s="20" t="s">
        <v>13</v>
      </c>
      <c r="B8" s="20" t="s">
        <v>104</v>
      </c>
      <c r="C8" s="20" t="s">
        <v>105</v>
      </c>
      <c r="D8" s="19"/>
      <c r="E8" s="19" t="s">
        <v>22</v>
      </c>
      <c r="F8" s="19" t="s">
        <v>75</v>
      </c>
      <c r="G8" s="19" t="s">
        <v>168</v>
      </c>
      <c r="H8" s="19" t="s">
        <v>162</v>
      </c>
      <c r="I8" s="21">
        <v>45357</v>
      </c>
      <c r="J8" s="21"/>
      <c r="K8" s="19" t="s">
        <v>85</v>
      </c>
      <c r="L8" s="19" t="s">
        <v>79</v>
      </c>
      <c r="M8" s="19" t="s">
        <v>95</v>
      </c>
      <c r="N8" s="19">
        <v>5.5</v>
      </c>
      <c r="O8" s="19" t="s">
        <v>81</v>
      </c>
      <c r="P8" s="19">
        <v>1</v>
      </c>
      <c r="Q8" s="19">
        <v>1.5</v>
      </c>
      <c r="R8" s="19">
        <v>1.5</v>
      </c>
      <c r="S8" s="19">
        <v>1.5</v>
      </c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</row>
    <row r="9" spans="1:31" ht="15.75" customHeight="1" x14ac:dyDescent="0.4">
      <c r="A9" s="19" t="s">
        <v>109</v>
      </c>
      <c r="B9" s="22">
        <f>C9/B5</f>
        <v>0.72727272727272729</v>
      </c>
      <c r="C9" s="19">
        <f>(COUNTIF($O$2:$O998,"Proficient I"))+(COUNTIF($O$2:$O998,"Proficient II"))+(COUNTIF($O$2:$O998,"Exemplary"))</f>
        <v>16</v>
      </c>
      <c r="D9" s="19"/>
      <c r="E9" s="19" t="s">
        <v>22</v>
      </c>
      <c r="F9" s="19" t="s">
        <v>75</v>
      </c>
      <c r="G9" s="19" t="s">
        <v>169</v>
      </c>
      <c r="H9" s="19" t="s">
        <v>162</v>
      </c>
      <c r="I9" s="21">
        <v>45357</v>
      </c>
      <c r="J9" s="21">
        <v>45358</v>
      </c>
      <c r="K9" s="19" t="s">
        <v>78</v>
      </c>
      <c r="L9" s="19" t="s">
        <v>115</v>
      </c>
      <c r="M9" s="19" t="s">
        <v>95</v>
      </c>
      <c r="N9" s="19">
        <v>7</v>
      </c>
      <c r="O9" s="19" t="s">
        <v>97</v>
      </c>
      <c r="P9" s="19">
        <v>1</v>
      </c>
      <c r="Q9" s="19">
        <v>2.5</v>
      </c>
      <c r="R9" s="19">
        <v>2</v>
      </c>
      <c r="S9" s="19">
        <v>1.5</v>
      </c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</row>
    <row r="10" spans="1:31" ht="15.75" customHeight="1" x14ac:dyDescent="0.4">
      <c r="A10" s="19" t="s">
        <v>111</v>
      </c>
      <c r="B10" s="22">
        <f>C10/B5</f>
        <v>0.27272727272727271</v>
      </c>
      <c r="C10" s="19">
        <f>(COUNTIF($O$2:$O998,"Unsatisfactory"))+(COUNTIF($O$2:$O998,"Progressing"))</f>
        <v>6</v>
      </c>
      <c r="D10" s="19"/>
      <c r="E10" s="19" t="s">
        <v>22</v>
      </c>
      <c r="F10" s="19" t="s">
        <v>75</v>
      </c>
      <c r="G10" s="19" t="s">
        <v>170</v>
      </c>
      <c r="H10" s="19" t="s">
        <v>162</v>
      </c>
      <c r="I10" s="21">
        <v>45358</v>
      </c>
      <c r="J10" s="21">
        <v>45359</v>
      </c>
      <c r="K10" s="19" t="s">
        <v>78</v>
      </c>
      <c r="L10" s="19" t="s">
        <v>99</v>
      </c>
      <c r="M10" s="19" t="s">
        <v>80</v>
      </c>
      <c r="N10" s="19">
        <v>6.5</v>
      </c>
      <c r="O10" s="19" t="s">
        <v>97</v>
      </c>
      <c r="P10" s="19">
        <v>0.5</v>
      </c>
      <c r="Q10" s="19">
        <v>2.5</v>
      </c>
      <c r="R10" s="19">
        <v>2</v>
      </c>
      <c r="S10" s="19">
        <v>1.5</v>
      </c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</row>
    <row r="11" spans="1:31" ht="15.75" customHeight="1" x14ac:dyDescent="0.4">
      <c r="A11" s="19"/>
      <c r="B11" s="19"/>
      <c r="C11" s="19"/>
      <c r="D11" s="19"/>
      <c r="E11" s="19" t="s">
        <v>22</v>
      </c>
      <c r="F11" s="19" t="s">
        <v>75</v>
      </c>
      <c r="G11" s="19" t="s">
        <v>171</v>
      </c>
      <c r="H11" s="19" t="s">
        <v>162</v>
      </c>
      <c r="I11" s="21">
        <v>45358</v>
      </c>
      <c r="J11" s="21">
        <v>45359</v>
      </c>
      <c r="K11" s="19" t="s">
        <v>85</v>
      </c>
      <c r="L11" s="19" t="s">
        <v>99</v>
      </c>
      <c r="M11" s="19" t="s">
        <v>108</v>
      </c>
      <c r="N11" s="19">
        <v>6.5</v>
      </c>
      <c r="O11" s="19" t="s">
        <v>97</v>
      </c>
      <c r="P11" s="19">
        <v>1</v>
      </c>
      <c r="Q11" s="19">
        <v>2</v>
      </c>
      <c r="R11" s="19">
        <v>2</v>
      </c>
      <c r="S11" s="19">
        <v>1.5</v>
      </c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</row>
    <row r="12" spans="1:31" ht="15.75" customHeight="1" x14ac:dyDescent="0.4">
      <c r="A12" s="19"/>
      <c r="B12" s="19"/>
      <c r="C12" s="19"/>
      <c r="D12" s="19"/>
      <c r="E12" s="19" t="s">
        <v>22</v>
      </c>
      <c r="F12" s="19" t="s">
        <v>92</v>
      </c>
      <c r="G12" s="19" t="s">
        <v>172</v>
      </c>
      <c r="H12" s="19" t="s">
        <v>173</v>
      </c>
      <c r="I12" s="21">
        <v>45355</v>
      </c>
      <c r="J12" s="21"/>
      <c r="K12" s="19" t="s">
        <v>85</v>
      </c>
      <c r="L12" s="19" t="s">
        <v>94</v>
      </c>
      <c r="M12" s="19" t="s">
        <v>108</v>
      </c>
      <c r="N12" s="19">
        <v>6.5</v>
      </c>
      <c r="O12" s="19" t="s">
        <v>97</v>
      </c>
      <c r="P12" s="19">
        <v>2</v>
      </c>
      <c r="Q12" s="19">
        <v>2.5</v>
      </c>
      <c r="R12" s="19">
        <v>2</v>
      </c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</row>
    <row r="13" spans="1:31" ht="15.75" customHeight="1" x14ac:dyDescent="0.4">
      <c r="A13" s="19"/>
      <c r="B13" s="19"/>
      <c r="C13" s="19"/>
      <c r="D13" s="19"/>
      <c r="E13" s="19" t="s">
        <v>22</v>
      </c>
      <c r="F13" s="19" t="s">
        <v>75</v>
      </c>
      <c r="G13" s="19" t="s">
        <v>174</v>
      </c>
      <c r="H13" s="19" t="s">
        <v>173</v>
      </c>
      <c r="I13" s="21">
        <v>45355</v>
      </c>
      <c r="J13" s="21">
        <v>45355</v>
      </c>
      <c r="K13" s="19" t="s">
        <v>85</v>
      </c>
      <c r="L13" s="19" t="s">
        <v>88</v>
      </c>
      <c r="M13" s="19" t="s">
        <v>108</v>
      </c>
      <c r="N13" s="19">
        <v>6</v>
      </c>
      <c r="O13" s="19" t="s">
        <v>97</v>
      </c>
      <c r="P13" s="19">
        <v>1</v>
      </c>
      <c r="Q13" s="19">
        <v>2</v>
      </c>
      <c r="R13" s="19">
        <v>1.5</v>
      </c>
      <c r="S13" s="19">
        <v>1.5</v>
      </c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</row>
    <row r="14" spans="1:31" ht="15.75" customHeight="1" x14ac:dyDescent="0.4">
      <c r="A14" s="19"/>
      <c r="B14" s="19"/>
      <c r="C14" s="19"/>
      <c r="D14" s="19"/>
      <c r="E14" s="19" t="s">
        <v>22</v>
      </c>
      <c r="F14" s="19" t="s">
        <v>75</v>
      </c>
      <c r="G14" s="19" t="s">
        <v>175</v>
      </c>
      <c r="H14" s="19" t="s">
        <v>173</v>
      </c>
      <c r="I14" s="21">
        <v>45356</v>
      </c>
      <c r="J14" s="21"/>
      <c r="K14" s="19" t="s">
        <v>85</v>
      </c>
      <c r="L14" s="19" t="s">
        <v>79</v>
      </c>
      <c r="M14" s="19" t="s">
        <v>108</v>
      </c>
      <c r="N14" s="19">
        <v>7</v>
      </c>
      <c r="O14" s="19" t="s">
        <v>97</v>
      </c>
      <c r="P14" s="19">
        <v>1</v>
      </c>
      <c r="Q14" s="19">
        <v>2.5</v>
      </c>
      <c r="R14" s="19">
        <v>2</v>
      </c>
      <c r="S14" s="19">
        <v>1.5</v>
      </c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</row>
    <row r="15" spans="1:31" ht="15.75" customHeight="1" x14ac:dyDescent="0.4">
      <c r="A15" s="19"/>
      <c r="B15" s="19"/>
      <c r="C15" s="19"/>
      <c r="D15" s="19"/>
      <c r="E15" s="19" t="s">
        <v>22</v>
      </c>
      <c r="F15" s="19" t="s">
        <v>92</v>
      </c>
      <c r="G15" s="19" t="s">
        <v>176</v>
      </c>
      <c r="H15" s="19" t="s">
        <v>173</v>
      </c>
      <c r="I15" s="21">
        <v>45357</v>
      </c>
      <c r="J15" s="21">
        <v>45358</v>
      </c>
      <c r="K15" s="19" t="s">
        <v>85</v>
      </c>
      <c r="L15" s="19" t="s">
        <v>94</v>
      </c>
      <c r="M15" s="19" t="s">
        <v>80</v>
      </c>
      <c r="N15" s="19">
        <v>6</v>
      </c>
      <c r="O15" s="19" t="s">
        <v>97</v>
      </c>
      <c r="P15" s="19">
        <v>2</v>
      </c>
      <c r="Q15" s="19">
        <v>2</v>
      </c>
      <c r="R15" s="19">
        <v>2</v>
      </c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</row>
    <row r="16" spans="1:31" ht="15.75" customHeight="1" x14ac:dyDescent="0.4">
      <c r="A16" s="19"/>
      <c r="B16" s="19"/>
      <c r="C16" s="19"/>
      <c r="D16" s="19"/>
      <c r="E16" s="19" t="s">
        <v>22</v>
      </c>
      <c r="F16" s="19" t="s">
        <v>75</v>
      </c>
      <c r="G16" s="19" t="s">
        <v>177</v>
      </c>
      <c r="H16" s="19" t="s">
        <v>173</v>
      </c>
      <c r="I16" s="21">
        <v>45357</v>
      </c>
      <c r="J16" s="21">
        <v>45357</v>
      </c>
      <c r="K16" s="19" t="s">
        <v>85</v>
      </c>
      <c r="L16" s="19" t="s">
        <v>88</v>
      </c>
      <c r="M16" s="19" t="s">
        <v>95</v>
      </c>
      <c r="N16" s="19">
        <v>7.5</v>
      </c>
      <c r="O16" s="19" t="s">
        <v>97</v>
      </c>
      <c r="P16" s="19">
        <v>1</v>
      </c>
      <c r="Q16" s="19">
        <v>2.5</v>
      </c>
      <c r="R16" s="19">
        <v>2.5</v>
      </c>
      <c r="S16" s="19">
        <v>1.5</v>
      </c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</row>
    <row r="17" spans="1:31" ht="15.75" customHeight="1" x14ac:dyDescent="0.4">
      <c r="A17" s="19"/>
      <c r="B17" s="19"/>
      <c r="C17" s="19"/>
      <c r="D17" s="19"/>
      <c r="E17" s="19" t="s">
        <v>22</v>
      </c>
      <c r="F17" s="19" t="s">
        <v>92</v>
      </c>
      <c r="G17" s="19" t="s">
        <v>178</v>
      </c>
      <c r="H17" s="19" t="s">
        <v>173</v>
      </c>
      <c r="I17" s="21">
        <v>45358</v>
      </c>
      <c r="J17" s="21">
        <v>45358</v>
      </c>
      <c r="K17" s="19" t="s">
        <v>78</v>
      </c>
      <c r="L17" s="19" t="s">
        <v>99</v>
      </c>
      <c r="M17" s="19" t="s">
        <v>95</v>
      </c>
      <c r="N17" s="19">
        <v>5.5</v>
      </c>
      <c r="O17" s="19" t="s">
        <v>81</v>
      </c>
      <c r="P17" s="19">
        <v>2</v>
      </c>
      <c r="Q17" s="19">
        <v>2</v>
      </c>
      <c r="R17" s="19">
        <v>1.5</v>
      </c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</row>
    <row r="18" spans="1:31" ht="15.75" customHeight="1" x14ac:dyDescent="0.4">
      <c r="A18" s="19"/>
      <c r="B18" s="19"/>
      <c r="C18" s="19"/>
      <c r="D18" s="19"/>
      <c r="E18" s="19" t="s">
        <v>22</v>
      </c>
      <c r="F18" s="19" t="s">
        <v>92</v>
      </c>
      <c r="G18" s="19" t="s">
        <v>179</v>
      </c>
      <c r="H18" s="19" t="s">
        <v>173</v>
      </c>
      <c r="I18" s="21">
        <v>45358</v>
      </c>
      <c r="J18" s="21">
        <v>45358</v>
      </c>
      <c r="K18" s="19" t="s">
        <v>78</v>
      </c>
      <c r="L18" s="19" t="s">
        <v>115</v>
      </c>
      <c r="M18" s="19" t="s">
        <v>117</v>
      </c>
      <c r="N18" s="19">
        <v>7</v>
      </c>
      <c r="O18" s="19" t="s">
        <v>97</v>
      </c>
      <c r="P18" s="19">
        <v>2</v>
      </c>
      <c r="Q18" s="19">
        <v>2</v>
      </c>
      <c r="R18" s="19">
        <v>3</v>
      </c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</row>
    <row r="19" spans="1:31" ht="15.75" customHeight="1" x14ac:dyDescent="0.4">
      <c r="A19" s="19"/>
      <c r="B19" s="19"/>
      <c r="C19" s="19"/>
      <c r="D19" s="19"/>
      <c r="E19" s="19" t="s">
        <v>22</v>
      </c>
      <c r="F19" s="19" t="s">
        <v>75</v>
      </c>
      <c r="G19" s="19" t="s">
        <v>180</v>
      </c>
      <c r="H19" s="19" t="s">
        <v>173</v>
      </c>
      <c r="I19" s="21">
        <v>45358</v>
      </c>
      <c r="J19" s="21">
        <v>45358</v>
      </c>
      <c r="K19" s="19" t="s">
        <v>85</v>
      </c>
      <c r="L19" s="19" t="s">
        <v>115</v>
      </c>
      <c r="M19" s="19" t="s">
        <v>80</v>
      </c>
      <c r="N19" s="19">
        <v>6</v>
      </c>
      <c r="O19" s="19" t="s">
        <v>97</v>
      </c>
      <c r="P19" s="19">
        <v>1</v>
      </c>
      <c r="Q19" s="19">
        <v>1.5</v>
      </c>
      <c r="R19" s="19">
        <v>2</v>
      </c>
      <c r="S19" s="19">
        <v>1.5</v>
      </c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</row>
    <row r="20" spans="1:31" ht="15.75" customHeight="1" x14ac:dyDescent="0.4">
      <c r="A20" s="19"/>
      <c r="B20" s="19"/>
      <c r="C20" s="19"/>
      <c r="D20" s="19"/>
      <c r="E20" s="19" t="s">
        <v>22</v>
      </c>
      <c r="F20" s="19" t="s">
        <v>83</v>
      </c>
      <c r="G20" s="19" t="s">
        <v>181</v>
      </c>
      <c r="H20" s="19" t="s">
        <v>173</v>
      </c>
      <c r="I20" s="21">
        <v>45358</v>
      </c>
      <c r="J20" s="21">
        <v>45358</v>
      </c>
      <c r="K20" s="19" t="s">
        <v>85</v>
      </c>
      <c r="L20" s="19" t="s">
        <v>138</v>
      </c>
      <c r="M20" s="19" t="s">
        <v>95</v>
      </c>
      <c r="N20" s="19">
        <v>7</v>
      </c>
      <c r="O20" s="19" t="s">
        <v>97</v>
      </c>
      <c r="P20" s="19">
        <v>1</v>
      </c>
      <c r="Q20" s="19">
        <v>2.5</v>
      </c>
      <c r="R20" s="19">
        <v>2</v>
      </c>
      <c r="S20" s="19">
        <v>1.5</v>
      </c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</row>
    <row r="21" spans="1:31" ht="15.75" customHeight="1" x14ac:dyDescent="0.4">
      <c r="A21" s="19"/>
      <c r="B21" s="19"/>
      <c r="C21" s="19"/>
      <c r="D21" s="19"/>
      <c r="E21" s="19" t="s">
        <v>22</v>
      </c>
      <c r="F21" s="19" t="s">
        <v>83</v>
      </c>
      <c r="G21" s="19" t="s">
        <v>182</v>
      </c>
      <c r="H21" s="19" t="s">
        <v>173</v>
      </c>
      <c r="I21" s="21">
        <v>45358</v>
      </c>
      <c r="J21" s="21">
        <v>45358</v>
      </c>
      <c r="K21" s="19" t="s">
        <v>85</v>
      </c>
      <c r="L21" s="19" t="s">
        <v>138</v>
      </c>
      <c r="M21" s="19" t="s">
        <v>95</v>
      </c>
      <c r="N21" s="19">
        <v>5.5</v>
      </c>
      <c r="O21" s="19" t="s">
        <v>81</v>
      </c>
      <c r="P21" s="19">
        <v>1</v>
      </c>
      <c r="Q21" s="19">
        <v>2</v>
      </c>
      <c r="R21" s="19">
        <v>1.5</v>
      </c>
      <c r="S21" s="19">
        <v>1</v>
      </c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</row>
    <row r="22" spans="1:31" ht="15.75" customHeight="1" x14ac:dyDescent="0.4">
      <c r="A22" s="19"/>
      <c r="B22" s="19"/>
      <c r="C22" s="19"/>
      <c r="D22" s="19"/>
      <c r="E22" s="19" t="s">
        <v>22</v>
      </c>
      <c r="F22" s="19" t="s">
        <v>83</v>
      </c>
      <c r="G22" s="19" t="s">
        <v>183</v>
      </c>
      <c r="H22" s="19" t="s">
        <v>173</v>
      </c>
      <c r="I22" s="21">
        <v>45358</v>
      </c>
      <c r="J22" s="21">
        <v>45359</v>
      </c>
      <c r="K22" s="19" t="s">
        <v>85</v>
      </c>
      <c r="L22" s="19" t="s">
        <v>86</v>
      </c>
      <c r="M22" s="19" t="s">
        <v>95</v>
      </c>
      <c r="N22" s="19">
        <v>5.5</v>
      </c>
      <c r="O22" s="19" t="s">
        <v>81</v>
      </c>
      <c r="P22" s="19">
        <v>1</v>
      </c>
      <c r="Q22" s="19">
        <v>2</v>
      </c>
      <c r="R22" s="19">
        <v>1.5</v>
      </c>
      <c r="S22" s="19">
        <v>1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</row>
    <row r="23" spans="1:31" ht="15.75" customHeight="1" x14ac:dyDescent="0.4">
      <c r="A23" s="19"/>
      <c r="B23" s="19"/>
      <c r="C23" s="19"/>
      <c r="D23" s="19"/>
      <c r="E23" s="19" t="s">
        <v>22</v>
      </c>
      <c r="F23" s="19" t="s">
        <v>83</v>
      </c>
      <c r="G23" s="19" t="s">
        <v>184</v>
      </c>
      <c r="H23" s="19" t="s">
        <v>173</v>
      </c>
      <c r="I23" s="21">
        <v>45358</v>
      </c>
      <c r="J23" s="21"/>
      <c r="K23" s="19" t="s">
        <v>85</v>
      </c>
      <c r="L23" s="19" t="s">
        <v>86</v>
      </c>
      <c r="M23" s="19" t="s">
        <v>95</v>
      </c>
      <c r="N23" s="19">
        <v>6.5</v>
      </c>
      <c r="O23" s="19" t="s">
        <v>97</v>
      </c>
      <c r="P23" s="19">
        <v>1</v>
      </c>
      <c r="Q23" s="19">
        <v>2</v>
      </c>
      <c r="R23" s="19">
        <v>2</v>
      </c>
      <c r="S23" s="19">
        <v>1.5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</row>
    <row r="24" spans="1:31" ht="15.75" customHeight="1" x14ac:dyDescent="0.4">
      <c r="A24" s="19"/>
      <c r="B24" s="19"/>
      <c r="C24" s="19"/>
      <c r="D24" s="19"/>
      <c r="E24" s="19"/>
      <c r="F24" s="19"/>
      <c r="G24" s="19"/>
      <c r="H24" s="19"/>
      <c r="I24" s="21"/>
      <c r="J24" s="21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</row>
    <row r="25" spans="1:31" ht="15.75" customHeight="1" x14ac:dyDescent="0.4">
      <c r="A25" s="19"/>
      <c r="B25" s="19"/>
      <c r="C25" s="19"/>
      <c r="D25" s="19"/>
      <c r="E25" s="19"/>
      <c r="F25" s="19"/>
      <c r="G25" s="19"/>
      <c r="H25" s="19"/>
      <c r="I25" s="21"/>
      <c r="J25" s="21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</row>
    <row r="26" spans="1:31" ht="15.75" customHeight="1" x14ac:dyDescent="0.4">
      <c r="A26" s="19"/>
      <c r="B26" s="19"/>
      <c r="C26" s="19"/>
      <c r="D26" s="19"/>
      <c r="E26" s="19"/>
      <c r="F26" s="19"/>
      <c r="G26" s="19"/>
      <c r="H26" s="19"/>
      <c r="I26" s="21"/>
      <c r="J26" s="21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</row>
    <row r="27" spans="1:31" ht="15.75" customHeight="1" x14ac:dyDescent="0.4">
      <c r="A27" s="19"/>
      <c r="B27" s="19"/>
      <c r="C27" s="19"/>
      <c r="D27" s="19"/>
      <c r="E27" s="19"/>
      <c r="F27" s="19"/>
      <c r="G27" s="19"/>
      <c r="H27" s="19"/>
      <c r="I27" s="21"/>
      <c r="J27" s="21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</row>
    <row r="28" spans="1:31" ht="15.75" customHeight="1" x14ac:dyDescent="0.4">
      <c r="A28" s="19"/>
      <c r="B28" s="19"/>
      <c r="C28" s="19"/>
      <c r="D28" s="19"/>
      <c r="E28" s="19"/>
      <c r="F28" s="19"/>
      <c r="G28" s="19"/>
      <c r="H28" s="19"/>
      <c r="I28" s="21"/>
      <c r="J28" s="21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</row>
    <row r="29" spans="1:31" ht="15.75" customHeight="1" x14ac:dyDescent="0.4">
      <c r="A29" s="19"/>
      <c r="B29" s="19"/>
      <c r="C29" s="19"/>
      <c r="D29" s="19"/>
      <c r="E29" s="19"/>
      <c r="F29" s="19"/>
      <c r="G29" s="19"/>
      <c r="H29" s="19"/>
      <c r="I29" s="21"/>
      <c r="J29" s="21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</row>
    <row r="30" spans="1:31" ht="15.75" customHeight="1" x14ac:dyDescent="0.4">
      <c r="A30" s="19"/>
      <c r="B30" s="19"/>
      <c r="C30" s="19"/>
      <c r="D30" s="19"/>
      <c r="E30" s="19"/>
      <c r="F30" s="19"/>
      <c r="G30" s="19"/>
      <c r="H30" s="19"/>
      <c r="I30" s="21"/>
      <c r="J30" s="21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</row>
    <row r="31" spans="1:31" ht="15.75" customHeight="1" x14ac:dyDescent="0.4">
      <c r="A31" s="19"/>
      <c r="B31" s="19"/>
      <c r="C31" s="19"/>
      <c r="D31" s="19"/>
      <c r="E31" s="19"/>
      <c r="F31" s="19"/>
      <c r="G31" s="19"/>
      <c r="H31" s="19"/>
      <c r="I31" s="21"/>
      <c r="J31" s="21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</row>
    <row r="32" spans="1:31" ht="15.75" customHeight="1" x14ac:dyDescent="0.4">
      <c r="A32" s="19"/>
      <c r="B32" s="19"/>
      <c r="C32" s="19"/>
      <c r="D32" s="19"/>
      <c r="E32" s="19"/>
      <c r="F32" s="19"/>
      <c r="G32" s="19"/>
      <c r="H32" s="19"/>
      <c r="I32" s="21"/>
      <c r="J32" s="21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</row>
    <row r="33" spans="1:31" ht="15.75" customHeight="1" x14ac:dyDescent="0.4">
      <c r="A33" s="19"/>
      <c r="B33" s="19"/>
      <c r="C33" s="19"/>
      <c r="D33" s="19"/>
      <c r="E33" s="19"/>
      <c r="F33" s="19"/>
      <c r="G33" s="19"/>
      <c r="H33" s="19"/>
      <c r="I33" s="21"/>
      <c r="J33" s="21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</row>
    <row r="34" spans="1:31" ht="15.75" customHeight="1" x14ac:dyDescent="0.4">
      <c r="A34" s="19"/>
      <c r="B34" s="19"/>
      <c r="C34" s="19"/>
      <c r="D34" s="19"/>
      <c r="E34" s="19"/>
      <c r="F34" s="19"/>
      <c r="G34" s="19"/>
      <c r="H34" s="19"/>
      <c r="I34" s="21"/>
      <c r="J34" s="21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</row>
    <row r="35" spans="1:31" ht="13.15" x14ac:dyDescent="0.4">
      <c r="A35" s="19"/>
      <c r="B35" s="19"/>
      <c r="C35" s="19"/>
      <c r="D35" s="19"/>
      <c r="E35" s="19"/>
      <c r="F35" s="19"/>
      <c r="G35" s="19"/>
      <c r="H35" s="19"/>
      <c r="I35" s="21"/>
      <c r="J35" s="21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</row>
    <row r="36" spans="1:31" ht="13.15" x14ac:dyDescent="0.4">
      <c r="A36" s="19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</row>
    <row r="37" spans="1:31" ht="13.15" x14ac:dyDescent="0.4">
      <c r="A37" s="19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</row>
    <row r="38" spans="1:31" ht="13.15" x14ac:dyDescent="0.4">
      <c r="A38" s="19"/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</row>
    <row r="39" spans="1:31" ht="13.15" x14ac:dyDescent="0.4">
      <c r="A39" s="19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</row>
    <row r="40" spans="1:31" ht="13.15" x14ac:dyDescent="0.4">
      <c r="A40" s="19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</row>
    <row r="41" spans="1:31" ht="13.15" x14ac:dyDescent="0.4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</row>
    <row r="42" spans="1:31" ht="13.15" x14ac:dyDescent="0.4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</row>
    <row r="43" spans="1:31" ht="13.15" x14ac:dyDescent="0.4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</row>
    <row r="44" spans="1:31" ht="13.15" x14ac:dyDescent="0.4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</row>
    <row r="45" spans="1:31" ht="13.15" x14ac:dyDescent="0.4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</row>
    <row r="46" spans="1:31" ht="13.15" x14ac:dyDescent="0.4">
      <c r="A46" s="19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</row>
    <row r="47" spans="1:31" ht="13.15" x14ac:dyDescent="0.4">
      <c r="A47" s="19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</row>
    <row r="48" spans="1:31" ht="13.15" x14ac:dyDescent="0.4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</row>
    <row r="49" spans="1:31" ht="13.15" x14ac:dyDescent="0.4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</row>
    <row r="50" spans="1:31" ht="13.15" x14ac:dyDescent="0.4">
      <c r="A50" s="19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</row>
    <row r="51" spans="1:31" ht="13.15" x14ac:dyDescent="0.4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</row>
    <row r="52" spans="1:31" ht="13.15" x14ac:dyDescent="0.4">
      <c r="A52" s="19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</row>
    <row r="53" spans="1:31" ht="13.15" x14ac:dyDescent="0.4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</row>
    <row r="54" spans="1:31" ht="13.15" x14ac:dyDescent="0.4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</row>
    <row r="55" spans="1:31" ht="13.15" x14ac:dyDescent="0.4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</row>
    <row r="56" spans="1:31" ht="13.15" x14ac:dyDescent="0.4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</row>
    <row r="57" spans="1:31" ht="13.15" x14ac:dyDescent="0.4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</row>
    <row r="58" spans="1:31" ht="13.15" x14ac:dyDescent="0.4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</row>
    <row r="59" spans="1:31" ht="13.15" x14ac:dyDescent="0.4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</row>
    <row r="60" spans="1:31" ht="13.15" x14ac:dyDescent="0.4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</row>
    <row r="61" spans="1:31" ht="13.15" x14ac:dyDescent="0.4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</row>
    <row r="62" spans="1:31" ht="13.15" x14ac:dyDescent="0.4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</row>
    <row r="63" spans="1:31" ht="13.15" x14ac:dyDescent="0.4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</row>
    <row r="64" spans="1:31" ht="13.15" x14ac:dyDescent="0.4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</row>
    <row r="65" spans="1:31" ht="13.15" x14ac:dyDescent="0.4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</row>
    <row r="66" spans="1:31" ht="13.15" x14ac:dyDescent="0.4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</row>
    <row r="67" spans="1:31" ht="13.15" x14ac:dyDescent="0.4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</row>
    <row r="68" spans="1:31" ht="13.15" x14ac:dyDescent="0.4">
      <c r="A68" s="19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</row>
    <row r="69" spans="1:31" ht="13.15" x14ac:dyDescent="0.4">
      <c r="A69" s="19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</row>
    <row r="70" spans="1:31" ht="13.15" x14ac:dyDescent="0.4">
      <c r="A70" s="19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</row>
    <row r="71" spans="1:31" ht="13.15" x14ac:dyDescent="0.4">
      <c r="A71" s="19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</row>
    <row r="72" spans="1:31" ht="13.15" x14ac:dyDescent="0.4">
      <c r="A72" s="19"/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</row>
    <row r="73" spans="1:31" ht="13.15" x14ac:dyDescent="0.4">
      <c r="A73" s="19"/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</row>
    <row r="74" spans="1:31" ht="13.15" x14ac:dyDescent="0.4">
      <c r="A74" s="19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</row>
    <row r="75" spans="1:31" ht="13.15" x14ac:dyDescent="0.4">
      <c r="A75" s="19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</row>
    <row r="76" spans="1:31" ht="13.15" x14ac:dyDescent="0.4">
      <c r="A76" s="19"/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</row>
    <row r="77" spans="1:31" ht="13.15" x14ac:dyDescent="0.4">
      <c r="A77" s="19"/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</row>
    <row r="78" spans="1:31" ht="13.15" x14ac:dyDescent="0.4">
      <c r="A78" s="19"/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</row>
    <row r="79" spans="1:31" ht="13.15" x14ac:dyDescent="0.4">
      <c r="A79" s="19"/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</row>
    <row r="80" spans="1:31" ht="13.15" x14ac:dyDescent="0.4">
      <c r="A80" s="19"/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</row>
    <row r="81" spans="1:31" ht="13.15" x14ac:dyDescent="0.4">
      <c r="A81" s="19"/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</row>
    <row r="82" spans="1:31" ht="13.15" x14ac:dyDescent="0.4">
      <c r="A82" s="19"/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</row>
    <row r="83" spans="1:31" ht="13.15" x14ac:dyDescent="0.4">
      <c r="A83" s="19"/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</row>
    <row r="84" spans="1:31" ht="13.15" x14ac:dyDescent="0.4">
      <c r="A84" s="19"/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</row>
    <row r="85" spans="1:31" ht="13.15" x14ac:dyDescent="0.4">
      <c r="A85" s="19"/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</row>
    <row r="86" spans="1:31" ht="13.15" x14ac:dyDescent="0.4">
      <c r="A86" s="19"/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</row>
    <row r="87" spans="1:31" ht="13.15" x14ac:dyDescent="0.4">
      <c r="A87" s="19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</row>
    <row r="88" spans="1:31" ht="13.15" x14ac:dyDescent="0.4">
      <c r="A88" s="19"/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</row>
    <row r="89" spans="1:31" ht="13.15" x14ac:dyDescent="0.4">
      <c r="A89" s="19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</row>
    <row r="90" spans="1:31" ht="13.15" x14ac:dyDescent="0.4">
      <c r="A90" s="19"/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</row>
    <row r="91" spans="1:31" ht="13.15" x14ac:dyDescent="0.4">
      <c r="A91" s="19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</row>
    <row r="92" spans="1:31" ht="13.15" x14ac:dyDescent="0.4">
      <c r="A92" s="19"/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</row>
    <row r="93" spans="1:31" ht="13.15" x14ac:dyDescent="0.4">
      <c r="A93" s="19"/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</row>
    <row r="94" spans="1:31" ht="13.15" x14ac:dyDescent="0.4">
      <c r="A94" s="19"/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</row>
    <row r="95" spans="1:31" ht="13.15" x14ac:dyDescent="0.4">
      <c r="A95" s="19"/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</row>
    <row r="96" spans="1:31" ht="13.15" x14ac:dyDescent="0.4">
      <c r="A96" s="19"/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</row>
    <row r="97" spans="1:31" ht="13.15" x14ac:dyDescent="0.4">
      <c r="A97" s="19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</row>
    <row r="98" spans="1:31" ht="13.15" x14ac:dyDescent="0.4">
      <c r="A98" s="19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</row>
    <row r="99" spans="1:31" ht="13.15" x14ac:dyDescent="0.4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</row>
    <row r="100" spans="1:31" ht="13.15" x14ac:dyDescent="0.4">
      <c r="A100" s="19"/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</row>
    <row r="101" spans="1:31" ht="13.15" x14ac:dyDescent="0.4">
      <c r="A101" s="19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</row>
    <row r="102" spans="1:31" ht="13.15" x14ac:dyDescent="0.4">
      <c r="A102" s="19"/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</row>
    <row r="103" spans="1:31" ht="13.15" x14ac:dyDescent="0.4">
      <c r="A103" s="19"/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</row>
    <row r="104" spans="1:31" ht="13.15" x14ac:dyDescent="0.4">
      <c r="A104" s="19"/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</row>
    <row r="105" spans="1:31" ht="13.15" x14ac:dyDescent="0.4">
      <c r="A105" s="19"/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</row>
    <row r="106" spans="1:31" ht="13.15" x14ac:dyDescent="0.4">
      <c r="A106" s="19"/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</row>
    <row r="107" spans="1:31" ht="13.15" x14ac:dyDescent="0.4">
      <c r="A107" s="19"/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</row>
    <row r="108" spans="1:31" ht="13.15" x14ac:dyDescent="0.4">
      <c r="A108" s="19"/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</row>
    <row r="109" spans="1:31" ht="13.15" x14ac:dyDescent="0.4">
      <c r="A109" s="19"/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</row>
    <row r="110" spans="1:31" ht="13.15" x14ac:dyDescent="0.4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</row>
    <row r="111" spans="1:31" ht="13.15" x14ac:dyDescent="0.4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</row>
    <row r="112" spans="1:31" ht="13.15" x14ac:dyDescent="0.4">
      <c r="A112" s="19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</row>
    <row r="113" spans="1:31" ht="13.15" x14ac:dyDescent="0.4">
      <c r="A113" s="19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</row>
    <row r="114" spans="1:31" ht="13.15" x14ac:dyDescent="0.4">
      <c r="A114" s="19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</row>
    <row r="115" spans="1:31" ht="13.15" x14ac:dyDescent="0.4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</row>
    <row r="116" spans="1:31" ht="13.15" x14ac:dyDescent="0.4">
      <c r="A116" s="19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</row>
    <row r="117" spans="1:31" ht="13.15" x14ac:dyDescent="0.4">
      <c r="A117" s="19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</row>
    <row r="118" spans="1:31" ht="13.15" x14ac:dyDescent="0.4">
      <c r="A118" s="19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</row>
    <row r="119" spans="1:31" ht="13.15" x14ac:dyDescent="0.4">
      <c r="A119" s="19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</row>
    <row r="120" spans="1:31" ht="13.15" x14ac:dyDescent="0.4">
      <c r="A120" s="19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</row>
    <row r="121" spans="1:31" ht="13.15" x14ac:dyDescent="0.4">
      <c r="A121" s="19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</row>
    <row r="122" spans="1:31" ht="13.15" x14ac:dyDescent="0.4">
      <c r="A122" s="19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</row>
    <row r="123" spans="1:31" ht="13.15" x14ac:dyDescent="0.4">
      <c r="A123" s="19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</row>
    <row r="124" spans="1:31" ht="13.15" x14ac:dyDescent="0.4">
      <c r="A124" s="19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</row>
    <row r="125" spans="1:31" ht="13.15" x14ac:dyDescent="0.4">
      <c r="A125" s="19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</row>
    <row r="126" spans="1:31" ht="13.15" x14ac:dyDescent="0.4">
      <c r="A126" s="19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</row>
    <row r="127" spans="1:31" ht="13.15" x14ac:dyDescent="0.4">
      <c r="A127" s="19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</row>
    <row r="128" spans="1:31" ht="13.15" x14ac:dyDescent="0.4">
      <c r="A128" s="19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</row>
    <row r="129" spans="1:31" ht="13.15" x14ac:dyDescent="0.4">
      <c r="A129" s="19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</row>
    <row r="130" spans="1:31" ht="13.15" x14ac:dyDescent="0.4">
      <c r="A130" s="19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</row>
    <row r="131" spans="1:31" ht="13.15" x14ac:dyDescent="0.4">
      <c r="A131" s="19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</row>
    <row r="132" spans="1:31" ht="13.15" x14ac:dyDescent="0.4">
      <c r="A132" s="19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</row>
    <row r="133" spans="1:31" ht="13.15" x14ac:dyDescent="0.4">
      <c r="A133" s="19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</row>
    <row r="134" spans="1:31" ht="13.15" x14ac:dyDescent="0.4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</row>
    <row r="135" spans="1:31" ht="13.15" x14ac:dyDescent="0.4">
      <c r="A135" s="19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</row>
    <row r="136" spans="1:31" ht="13.15" x14ac:dyDescent="0.4">
      <c r="A136" s="19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</row>
    <row r="137" spans="1:31" ht="13.15" x14ac:dyDescent="0.4">
      <c r="A137" s="19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</row>
    <row r="138" spans="1:31" ht="13.15" x14ac:dyDescent="0.4">
      <c r="A138" s="19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</row>
    <row r="139" spans="1:31" ht="13.15" x14ac:dyDescent="0.4">
      <c r="A139" s="19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</row>
    <row r="140" spans="1:31" ht="13.15" x14ac:dyDescent="0.4">
      <c r="A140" s="19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</row>
    <row r="141" spans="1:31" ht="13.15" x14ac:dyDescent="0.4">
      <c r="A141" s="19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</row>
    <row r="142" spans="1:31" ht="13.15" x14ac:dyDescent="0.4">
      <c r="A142" s="19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</row>
    <row r="143" spans="1:31" ht="13.15" x14ac:dyDescent="0.4">
      <c r="A143" s="19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</row>
    <row r="144" spans="1:31" ht="13.15" x14ac:dyDescent="0.4">
      <c r="A144" s="19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</row>
    <row r="145" spans="1:31" ht="13.15" x14ac:dyDescent="0.4">
      <c r="A145" s="19"/>
      <c r="B145" s="19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19"/>
    </row>
    <row r="146" spans="1:31" ht="13.15" x14ac:dyDescent="0.4">
      <c r="A146" s="19"/>
      <c r="B146" s="19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  <c r="AE146" s="19"/>
    </row>
    <row r="147" spans="1:31" ht="13.15" x14ac:dyDescent="0.4">
      <c r="A147" s="19"/>
      <c r="B147" s="19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</row>
    <row r="148" spans="1:31" ht="13.15" x14ac:dyDescent="0.4">
      <c r="A148" s="19"/>
      <c r="B148" s="19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</row>
    <row r="149" spans="1:31" ht="13.15" x14ac:dyDescent="0.4">
      <c r="A149" s="19"/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19"/>
    </row>
    <row r="150" spans="1:31" ht="13.15" x14ac:dyDescent="0.4">
      <c r="A150" s="19"/>
      <c r="B150" s="19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  <c r="AE150" s="19"/>
    </row>
    <row r="151" spans="1:31" ht="13.15" x14ac:dyDescent="0.4">
      <c r="A151" s="19"/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  <c r="AE151" s="19"/>
    </row>
    <row r="152" spans="1:31" ht="13.15" x14ac:dyDescent="0.4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19"/>
    </row>
    <row r="153" spans="1:31" ht="13.15" x14ac:dyDescent="0.4">
      <c r="A153" s="19"/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  <c r="AE153" s="19"/>
    </row>
    <row r="154" spans="1:31" ht="13.15" x14ac:dyDescent="0.4">
      <c r="A154" s="19"/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/>
      <c r="AD154" s="19"/>
      <c r="AE154" s="19"/>
    </row>
    <row r="155" spans="1:31" ht="13.15" x14ac:dyDescent="0.4">
      <c r="A155" s="19"/>
      <c r="B155" s="19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</row>
    <row r="156" spans="1:31" ht="13.15" x14ac:dyDescent="0.4">
      <c r="A156" s="19"/>
      <c r="B156" s="19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  <c r="AD156" s="19"/>
      <c r="AE156" s="19"/>
    </row>
    <row r="157" spans="1:31" ht="13.15" x14ac:dyDescent="0.4">
      <c r="A157" s="19"/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  <c r="AE157" s="19"/>
    </row>
    <row r="158" spans="1:31" ht="13.15" x14ac:dyDescent="0.4">
      <c r="A158" s="19"/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19"/>
    </row>
    <row r="159" spans="1:31" ht="13.15" x14ac:dyDescent="0.4">
      <c r="A159" s="19"/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</row>
    <row r="160" spans="1:31" ht="13.15" x14ac:dyDescent="0.4">
      <c r="A160" s="19"/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  <c r="AC160" s="19"/>
      <c r="AD160" s="19"/>
      <c r="AE160" s="19"/>
    </row>
    <row r="161" spans="1:31" ht="13.15" x14ac:dyDescent="0.4">
      <c r="A161" s="19"/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  <c r="AC161" s="19"/>
      <c r="AD161" s="19"/>
      <c r="AE161" s="19"/>
    </row>
    <row r="162" spans="1:31" ht="13.15" x14ac:dyDescent="0.4">
      <c r="A162" s="19"/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  <c r="AC162" s="19"/>
      <c r="AD162" s="19"/>
      <c r="AE162" s="19"/>
    </row>
    <row r="163" spans="1:31" ht="13.15" x14ac:dyDescent="0.4">
      <c r="A163" s="19"/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  <c r="AC163" s="19"/>
      <c r="AD163" s="19"/>
      <c r="AE163" s="19"/>
    </row>
    <row r="164" spans="1:31" ht="13.15" x14ac:dyDescent="0.4">
      <c r="A164" s="19"/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  <c r="AC164" s="19"/>
      <c r="AD164" s="19"/>
      <c r="AE164" s="19"/>
    </row>
    <row r="165" spans="1:31" ht="13.15" x14ac:dyDescent="0.4">
      <c r="A165" s="19"/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19"/>
      <c r="AD165" s="19"/>
      <c r="AE165" s="19"/>
    </row>
    <row r="166" spans="1:31" ht="13.15" x14ac:dyDescent="0.4">
      <c r="A166" s="19"/>
      <c r="B166" s="19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  <c r="AC166" s="19"/>
      <c r="AD166" s="19"/>
      <c r="AE166" s="19"/>
    </row>
    <row r="167" spans="1:31" ht="13.15" x14ac:dyDescent="0.4">
      <c r="A167" s="19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</row>
    <row r="168" spans="1:31" ht="13.15" x14ac:dyDescent="0.4">
      <c r="A168" s="19"/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</row>
    <row r="169" spans="1:31" ht="13.15" x14ac:dyDescent="0.4">
      <c r="A169" s="19"/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  <c r="AE169" s="19"/>
    </row>
    <row r="170" spans="1:31" ht="13.15" x14ac:dyDescent="0.4">
      <c r="A170" s="19"/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</row>
    <row r="171" spans="1:31" ht="13.15" x14ac:dyDescent="0.4">
      <c r="A171" s="19"/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</row>
    <row r="172" spans="1:31" ht="13.15" x14ac:dyDescent="0.4">
      <c r="A172" s="19"/>
      <c r="B172" s="19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19"/>
    </row>
    <row r="173" spans="1:31" ht="13.15" x14ac:dyDescent="0.4">
      <c r="A173" s="19"/>
      <c r="B173" s="19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</row>
    <row r="174" spans="1:31" ht="13.15" x14ac:dyDescent="0.4">
      <c r="A174" s="19"/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</row>
    <row r="175" spans="1:31" ht="13.15" x14ac:dyDescent="0.4">
      <c r="A175" s="19"/>
      <c r="B175" s="19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</row>
    <row r="176" spans="1:31" ht="13.15" x14ac:dyDescent="0.4">
      <c r="A176" s="19"/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</row>
    <row r="177" spans="1:31" ht="13.15" x14ac:dyDescent="0.4">
      <c r="A177" s="19"/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  <c r="AE177" s="19"/>
    </row>
    <row r="178" spans="1:31" ht="13.15" x14ac:dyDescent="0.4">
      <c r="A178" s="19"/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</row>
    <row r="179" spans="1:31" ht="13.15" x14ac:dyDescent="0.4">
      <c r="A179" s="19"/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</row>
    <row r="180" spans="1:31" ht="13.15" x14ac:dyDescent="0.4">
      <c r="A180" s="19"/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  <c r="AE180" s="19"/>
    </row>
    <row r="181" spans="1:31" ht="13.15" x14ac:dyDescent="0.4">
      <c r="A181" s="19"/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</row>
    <row r="182" spans="1:31" ht="13.15" x14ac:dyDescent="0.4">
      <c r="A182" s="19"/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</row>
    <row r="183" spans="1:31" ht="13.15" x14ac:dyDescent="0.4">
      <c r="A183" s="19"/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</row>
    <row r="184" spans="1:31" ht="13.15" x14ac:dyDescent="0.4">
      <c r="A184" s="19"/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</row>
    <row r="185" spans="1:31" ht="13.15" x14ac:dyDescent="0.4">
      <c r="A185" s="19"/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</row>
    <row r="186" spans="1:31" ht="13.15" x14ac:dyDescent="0.4">
      <c r="A186" s="19"/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</row>
    <row r="187" spans="1:31" ht="13.15" x14ac:dyDescent="0.4">
      <c r="A187" s="19"/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</row>
    <row r="188" spans="1:31" ht="13.15" x14ac:dyDescent="0.4">
      <c r="A188" s="19"/>
      <c r="B188" s="19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</row>
    <row r="189" spans="1:31" ht="13.15" x14ac:dyDescent="0.4">
      <c r="A189" s="19"/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</row>
    <row r="190" spans="1:31" ht="13.15" x14ac:dyDescent="0.4">
      <c r="A190" s="19"/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</row>
    <row r="191" spans="1:31" ht="13.15" x14ac:dyDescent="0.4">
      <c r="A191" s="19"/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</row>
    <row r="192" spans="1:31" ht="13.15" x14ac:dyDescent="0.4">
      <c r="A192" s="19"/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</row>
    <row r="193" spans="1:31" ht="13.15" x14ac:dyDescent="0.4">
      <c r="A193" s="19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</row>
    <row r="194" spans="1:31" ht="13.15" x14ac:dyDescent="0.4">
      <c r="A194" s="19"/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</row>
    <row r="195" spans="1:31" ht="13.15" x14ac:dyDescent="0.4">
      <c r="A195" s="19"/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</row>
    <row r="196" spans="1:31" ht="13.15" x14ac:dyDescent="0.4">
      <c r="A196" s="19"/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</row>
    <row r="197" spans="1:31" ht="13.15" x14ac:dyDescent="0.4">
      <c r="A197" s="19"/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</row>
    <row r="198" spans="1:31" ht="13.15" x14ac:dyDescent="0.4">
      <c r="A198" s="19"/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</row>
    <row r="199" spans="1:31" ht="13.15" x14ac:dyDescent="0.4">
      <c r="A199" s="19"/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</row>
    <row r="200" spans="1:31" ht="13.15" x14ac:dyDescent="0.4">
      <c r="A200" s="19"/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</row>
    <row r="201" spans="1:31" ht="13.15" x14ac:dyDescent="0.4">
      <c r="A201" s="19"/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</row>
    <row r="202" spans="1:31" ht="13.15" x14ac:dyDescent="0.4">
      <c r="A202" s="19"/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</row>
    <row r="203" spans="1:31" ht="13.15" x14ac:dyDescent="0.4">
      <c r="A203" s="19"/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</row>
    <row r="204" spans="1:31" ht="13.15" x14ac:dyDescent="0.4">
      <c r="A204" s="19"/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</row>
    <row r="205" spans="1:31" ht="13.15" x14ac:dyDescent="0.4">
      <c r="A205" s="19"/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</row>
    <row r="206" spans="1:31" ht="13.15" x14ac:dyDescent="0.4">
      <c r="A206" s="19"/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</row>
    <row r="207" spans="1:31" ht="13.15" x14ac:dyDescent="0.4">
      <c r="A207" s="19"/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</row>
    <row r="208" spans="1:31" ht="13.15" x14ac:dyDescent="0.4">
      <c r="A208" s="19"/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</row>
    <row r="209" spans="1:31" ht="13.15" x14ac:dyDescent="0.4">
      <c r="A209" s="19"/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</row>
    <row r="210" spans="1:31" ht="13.15" x14ac:dyDescent="0.4">
      <c r="A210" s="19"/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</row>
    <row r="211" spans="1:31" ht="13.15" x14ac:dyDescent="0.4">
      <c r="A211" s="19"/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</row>
    <row r="212" spans="1:31" ht="13.15" x14ac:dyDescent="0.4">
      <c r="A212" s="19"/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</row>
    <row r="213" spans="1:31" ht="13.15" x14ac:dyDescent="0.4">
      <c r="A213" s="19"/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</row>
    <row r="214" spans="1:31" ht="13.15" x14ac:dyDescent="0.4">
      <c r="A214" s="19"/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</row>
    <row r="215" spans="1:31" ht="13.15" x14ac:dyDescent="0.4">
      <c r="A215" s="19"/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</row>
    <row r="216" spans="1:31" ht="13.15" x14ac:dyDescent="0.4">
      <c r="A216" s="19"/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</row>
    <row r="217" spans="1:31" ht="13.15" x14ac:dyDescent="0.4">
      <c r="A217" s="19"/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</row>
    <row r="218" spans="1:31" ht="13.15" x14ac:dyDescent="0.4">
      <c r="A218" s="19"/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</row>
    <row r="219" spans="1:31" ht="13.15" x14ac:dyDescent="0.4">
      <c r="A219" s="19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</row>
    <row r="220" spans="1:31" ht="13.15" x14ac:dyDescent="0.4">
      <c r="A220" s="19"/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</row>
    <row r="221" spans="1:31" ht="13.15" x14ac:dyDescent="0.4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</row>
    <row r="222" spans="1:31" ht="13.15" x14ac:dyDescent="0.4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</row>
    <row r="223" spans="1:31" ht="13.15" x14ac:dyDescent="0.4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</row>
    <row r="224" spans="1:31" ht="13.15" x14ac:dyDescent="0.4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</row>
    <row r="225" spans="1:31" ht="13.15" x14ac:dyDescent="0.4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</row>
    <row r="226" spans="1:31" ht="13.15" x14ac:dyDescent="0.4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</row>
    <row r="227" spans="1:31" ht="13.15" x14ac:dyDescent="0.4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</row>
    <row r="228" spans="1:31" ht="13.15" x14ac:dyDescent="0.4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</row>
    <row r="229" spans="1:31" ht="13.15" x14ac:dyDescent="0.4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  <c r="AE229" s="19"/>
    </row>
    <row r="230" spans="1:31" ht="13.15" x14ac:dyDescent="0.4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</row>
    <row r="231" spans="1:31" ht="13.15" x14ac:dyDescent="0.4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</row>
    <row r="232" spans="1:31" ht="13.15" x14ac:dyDescent="0.4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</row>
    <row r="233" spans="1:31" ht="13.15" x14ac:dyDescent="0.4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</row>
    <row r="234" spans="1:31" ht="13.15" x14ac:dyDescent="0.4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</row>
    <row r="235" spans="1:31" ht="13.15" x14ac:dyDescent="0.4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</row>
    <row r="236" spans="1:31" ht="13.15" x14ac:dyDescent="0.4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</row>
    <row r="237" spans="1:31" ht="13.15" x14ac:dyDescent="0.4">
      <c r="A237" s="19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</row>
    <row r="238" spans="1:31" ht="13.15" x14ac:dyDescent="0.4">
      <c r="A238" s="19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</row>
    <row r="239" spans="1:31" ht="13.15" x14ac:dyDescent="0.4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</row>
    <row r="240" spans="1:31" ht="13.15" x14ac:dyDescent="0.4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</row>
    <row r="241" spans="1:31" ht="13.15" x14ac:dyDescent="0.4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</row>
    <row r="242" spans="1:31" ht="13.15" x14ac:dyDescent="0.4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</row>
    <row r="243" spans="1:31" ht="13.15" x14ac:dyDescent="0.4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</row>
    <row r="244" spans="1:31" ht="13.15" x14ac:dyDescent="0.4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</row>
    <row r="245" spans="1:31" ht="13.15" x14ac:dyDescent="0.4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</row>
    <row r="246" spans="1:31" ht="13.15" x14ac:dyDescent="0.4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</row>
    <row r="247" spans="1:31" ht="13.15" x14ac:dyDescent="0.4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</row>
    <row r="248" spans="1:31" ht="13.15" x14ac:dyDescent="0.4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</row>
    <row r="249" spans="1:31" ht="13.15" x14ac:dyDescent="0.4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</row>
    <row r="250" spans="1:31" ht="13.15" x14ac:dyDescent="0.4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</row>
    <row r="251" spans="1:31" ht="13.15" x14ac:dyDescent="0.4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</row>
    <row r="252" spans="1:31" ht="13.15" x14ac:dyDescent="0.4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</row>
    <row r="253" spans="1:31" ht="13.15" x14ac:dyDescent="0.4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</row>
    <row r="254" spans="1:31" ht="13.15" x14ac:dyDescent="0.4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</row>
    <row r="255" spans="1:31" ht="13.15" x14ac:dyDescent="0.4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</row>
    <row r="256" spans="1:31" ht="13.15" x14ac:dyDescent="0.4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  <c r="AC256" s="19"/>
      <c r="AD256" s="19"/>
      <c r="AE256" s="19"/>
    </row>
    <row r="257" spans="1:31" ht="13.15" x14ac:dyDescent="0.4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9"/>
      <c r="AE257" s="19"/>
    </row>
    <row r="258" spans="1:31" ht="13.15" x14ac:dyDescent="0.4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</row>
    <row r="259" spans="1:31" ht="13.15" x14ac:dyDescent="0.4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  <c r="AC259" s="19"/>
      <c r="AD259" s="19"/>
      <c r="AE259" s="19"/>
    </row>
    <row r="260" spans="1:31" ht="13.15" x14ac:dyDescent="0.4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</row>
    <row r="261" spans="1:31" ht="13.15" x14ac:dyDescent="0.4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</row>
    <row r="262" spans="1:31" ht="13.15" x14ac:dyDescent="0.4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</row>
    <row r="263" spans="1:31" ht="13.15" x14ac:dyDescent="0.4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</row>
    <row r="264" spans="1:31" ht="13.15" x14ac:dyDescent="0.4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</row>
    <row r="265" spans="1:31" ht="13.15" x14ac:dyDescent="0.4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</row>
    <row r="266" spans="1:31" ht="13.15" x14ac:dyDescent="0.4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</row>
    <row r="267" spans="1:31" ht="13.15" x14ac:dyDescent="0.4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</row>
    <row r="268" spans="1:31" ht="13.15" x14ac:dyDescent="0.4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</row>
    <row r="269" spans="1:31" ht="13.15" x14ac:dyDescent="0.4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</row>
    <row r="270" spans="1:31" ht="13.15" x14ac:dyDescent="0.4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</row>
    <row r="271" spans="1:31" ht="13.15" x14ac:dyDescent="0.4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</row>
    <row r="272" spans="1:31" ht="13.15" x14ac:dyDescent="0.4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</row>
    <row r="273" spans="1:31" ht="13.15" x14ac:dyDescent="0.4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</row>
    <row r="274" spans="1:31" ht="13.15" x14ac:dyDescent="0.4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</row>
    <row r="275" spans="1:31" ht="13.15" x14ac:dyDescent="0.4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</row>
    <row r="276" spans="1:31" ht="13.15" x14ac:dyDescent="0.4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</row>
    <row r="277" spans="1:31" ht="13.15" x14ac:dyDescent="0.4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</row>
    <row r="278" spans="1:31" ht="13.15" x14ac:dyDescent="0.4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  <c r="AD278" s="19"/>
      <c r="AE278" s="19"/>
    </row>
    <row r="279" spans="1:31" ht="13.15" x14ac:dyDescent="0.4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</row>
    <row r="280" spans="1:31" ht="13.15" x14ac:dyDescent="0.4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</row>
    <row r="281" spans="1:31" ht="13.15" x14ac:dyDescent="0.4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</row>
    <row r="282" spans="1:31" ht="13.15" x14ac:dyDescent="0.4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</row>
    <row r="283" spans="1:31" ht="13.15" x14ac:dyDescent="0.4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</row>
    <row r="284" spans="1:31" ht="13.15" x14ac:dyDescent="0.4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E284" s="19"/>
    </row>
    <row r="285" spans="1:31" ht="13.15" x14ac:dyDescent="0.4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  <c r="AE285" s="19"/>
    </row>
    <row r="286" spans="1:31" ht="13.15" x14ac:dyDescent="0.4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</row>
    <row r="287" spans="1:31" ht="13.15" x14ac:dyDescent="0.4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  <c r="AD287" s="19"/>
      <c r="AE287" s="19"/>
    </row>
    <row r="288" spans="1:31" ht="13.15" x14ac:dyDescent="0.4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  <c r="AD288" s="19"/>
      <c r="AE288" s="19"/>
    </row>
    <row r="289" spans="1:31" ht="13.15" x14ac:dyDescent="0.4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</row>
    <row r="290" spans="1:31" ht="13.15" x14ac:dyDescent="0.4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</row>
    <row r="291" spans="1:31" ht="13.15" x14ac:dyDescent="0.4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  <c r="AD291" s="19"/>
      <c r="AE291" s="19"/>
    </row>
    <row r="292" spans="1:31" ht="13.15" x14ac:dyDescent="0.4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</row>
    <row r="293" spans="1:31" ht="13.15" x14ac:dyDescent="0.4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/>
      <c r="AE293" s="19"/>
    </row>
    <row r="294" spans="1:31" ht="13.15" x14ac:dyDescent="0.4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9"/>
      <c r="AE294" s="19"/>
    </row>
    <row r="295" spans="1:31" ht="13.15" x14ac:dyDescent="0.4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/>
      <c r="AE295" s="19"/>
    </row>
    <row r="296" spans="1:31" ht="13.15" x14ac:dyDescent="0.4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19"/>
      <c r="AE296" s="19"/>
    </row>
    <row r="297" spans="1:31" ht="13.15" x14ac:dyDescent="0.4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</row>
    <row r="298" spans="1:31" ht="13.15" x14ac:dyDescent="0.4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19"/>
      <c r="AD298" s="19"/>
      <c r="AE298" s="19"/>
    </row>
    <row r="299" spans="1:31" ht="13.15" x14ac:dyDescent="0.4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19"/>
      <c r="AE299" s="19"/>
    </row>
    <row r="300" spans="1:31" ht="13.15" x14ac:dyDescent="0.4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19"/>
      <c r="AD300" s="19"/>
      <c r="AE300" s="19"/>
    </row>
    <row r="301" spans="1:31" ht="13.15" x14ac:dyDescent="0.4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/>
      <c r="AE301" s="19"/>
    </row>
    <row r="302" spans="1:31" ht="13.15" x14ac:dyDescent="0.4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E302" s="19"/>
    </row>
    <row r="303" spans="1:31" ht="13.15" x14ac:dyDescent="0.4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  <c r="AC303" s="19"/>
      <c r="AD303" s="19"/>
      <c r="AE303" s="19"/>
    </row>
    <row r="304" spans="1:31" ht="13.15" x14ac:dyDescent="0.4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  <c r="AC304" s="19"/>
      <c r="AD304" s="19"/>
      <c r="AE304" s="19"/>
    </row>
    <row r="305" spans="1:31" ht="13.15" x14ac:dyDescent="0.4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  <c r="AC305" s="19"/>
      <c r="AD305" s="19"/>
      <c r="AE305" s="19"/>
    </row>
    <row r="306" spans="1:31" ht="13.15" x14ac:dyDescent="0.4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  <c r="AC306" s="19"/>
      <c r="AD306" s="19"/>
      <c r="AE306" s="19"/>
    </row>
    <row r="307" spans="1:31" ht="13.15" x14ac:dyDescent="0.4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  <c r="AC307" s="19"/>
      <c r="AD307" s="19"/>
      <c r="AE307" s="19"/>
    </row>
    <row r="308" spans="1:31" ht="13.15" x14ac:dyDescent="0.4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  <c r="AC308" s="19"/>
      <c r="AD308" s="19"/>
      <c r="AE308" s="19"/>
    </row>
    <row r="309" spans="1:31" ht="13.15" x14ac:dyDescent="0.4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  <c r="AC309" s="19"/>
      <c r="AD309" s="19"/>
      <c r="AE309" s="19"/>
    </row>
    <row r="310" spans="1:31" ht="13.15" x14ac:dyDescent="0.4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  <c r="AC310" s="19"/>
      <c r="AD310" s="19"/>
      <c r="AE310" s="19"/>
    </row>
    <row r="311" spans="1:31" ht="13.15" x14ac:dyDescent="0.4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  <c r="AC311" s="19"/>
      <c r="AD311" s="19"/>
      <c r="AE311" s="19"/>
    </row>
    <row r="312" spans="1:31" ht="13.15" x14ac:dyDescent="0.4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  <c r="AC312" s="19"/>
      <c r="AD312" s="19"/>
      <c r="AE312" s="19"/>
    </row>
    <row r="313" spans="1:31" ht="13.15" x14ac:dyDescent="0.4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  <c r="AC313" s="19"/>
      <c r="AD313" s="19"/>
      <c r="AE313" s="19"/>
    </row>
    <row r="314" spans="1:31" ht="13.15" x14ac:dyDescent="0.4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  <c r="AC314" s="19"/>
      <c r="AD314" s="19"/>
      <c r="AE314" s="19"/>
    </row>
    <row r="315" spans="1:31" ht="13.15" x14ac:dyDescent="0.4">
      <c r="A315" s="19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  <c r="AD315" s="19"/>
      <c r="AE315" s="19"/>
    </row>
    <row r="316" spans="1:31" ht="13.15" x14ac:dyDescent="0.4">
      <c r="A316" s="19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  <c r="AC316" s="19"/>
      <c r="AD316" s="19"/>
      <c r="AE316" s="19"/>
    </row>
    <row r="317" spans="1:31" ht="13.15" x14ac:dyDescent="0.4">
      <c r="A317" s="19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</row>
    <row r="318" spans="1:31" ht="13.15" x14ac:dyDescent="0.4">
      <c r="A318" s="19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  <c r="AC318" s="19"/>
      <c r="AD318" s="19"/>
      <c r="AE318" s="19"/>
    </row>
    <row r="319" spans="1:31" ht="13.15" x14ac:dyDescent="0.4">
      <c r="A319" s="19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  <c r="AC319" s="19"/>
      <c r="AD319" s="19"/>
      <c r="AE319" s="19"/>
    </row>
    <row r="320" spans="1:31" ht="13.15" x14ac:dyDescent="0.4">
      <c r="A320" s="19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  <c r="AC320" s="19"/>
      <c r="AD320" s="19"/>
      <c r="AE320" s="19"/>
    </row>
    <row r="321" spans="1:31" ht="13.15" x14ac:dyDescent="0.4">
      <c r="A321" s="19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  <c r="AC321" s="19"/>
      <c r="AD321" s="19"/>
      <c r="AE321" s="19"/>
    </row>
    <row r="322" spans="1:31" ht="13.15" x14ac:dyDescent="0.4">
      <c r="A322" s="19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  <c r="AC322" s="19"/>
      <c r="AD322" s="19"/>
      <c r="AE322" s="19"/>
    </row>
    <row r="323" spans="1:31" ht="13.15" x14ac:dyDescent="0.4">
      <c r="A323" s="19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  <c r="AC323" s="19"/>
      <c r="AD323" s="19"/>
      <c r="AE323" s="19"/>
    </row>
    <row r="324" spans="1:31" ht="13.15" x14ac:dyDescent="0.4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  <c r="AC324" s="19"/>
      <c r="AD324" s="19"/>
      <c r="AE324" s="19"/>
    </row>
    <row r="325" spans="1:31" ht="13.15" x14ac:dyDescent="0.4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  <c r="AC325" s="19"/>
      <c r="AD325" s="19"/>
      <c r="AE325" s="19"/>
    </row>
    <row r="326" spans="1:31" ht="13.15" x14ac:dyDescent="0.4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  <c r="AD326" s="19"/>
      <c r="AE326" s="19"/>
    </row>
    <row r="327" spans="1:31" ht="13.15" x14ac:dyDescent="0.4">
      <c r="A327" s="19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  <c r="AC327" s="19"/>
      <c r="AD327" s="19"/>
      <c r="AE327" s="19"/>
    </row>
    <row r="328" spans="1:31" ht="13.15" x14ac:dyDescent="0.4">
      <c r="A328" s="19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  <c r="AC328" s="19"/>
      <c r="AD328" s="19"/>
      <c r="AE328" s="19"/>
    </row>
    <row r="329" spans="1:31" ht="13.15" x14ac:dyDescent="0.4">
      <c r="A329" s="19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  <c r="AC329" s="19"/>
      <c r="AD329" s="19"/>
      <c r="AE329" s="19"/>
    </row>
    <row r="330" spans="1:31" ht="13.15" x14ac:dyDescent="0.4">
      <c r="A330" s="19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  <c r="AC330" s="19"/>
      <c r="AD330" s="19"/>
      <c r="AE330" s="19"/>
    </row>
    <row r="331" spans="1:31" ht="13.15" x14ac:dyDescent="0.4">
      <c r="A331" s="19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  <c r="AC331" s="19"/>
      <c r="AD331" s="19"/>
      <c r="AE331" s="19"/>
    </row>
    <row r="332" spans="1:31" ht="13.15" x14ac:dyDescent="0.4">
      <c r="A332" s="19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  <c r="AC332" s="19"/>
      <c r="AD332" s="19"/>
      <c r="AE332" s="19"/>
    </row>
    <row r="333" spans="1:31" ht="13.15" x14ac:dyDescent="0.4">
      <c r="A333" s="19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  <c r="AC333" s="19"/>
      <c r="AD333" s="19"/>
      <c r="AE333" s="19"/>
    </row>
    <row r="334" spans="1:31" ht="13.15" x14ac:dyDescent="0.4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  <c r="AC334" s="19"/>
      <c r="AD334" s="19"/>
      <c r="AE334" s="19"/>
    </row>
    <row r="335" spans="1:31" ht="13.15" x14ac:dyDescent="0.4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  <c r="AC335" s="19"/>
      <c r="AD335" s="19"/>
      <c r="AE335" s="19"/>
    </row>
    <row r="336" spans="1:31" ht="13.15" x14ac:dyDescent="0.4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  <c r="AC336" s="19"/>
      <c r="AD336" s="19"/>
      <c r="AE336" s="19"/>
    </row>
    <row r="337" spans="1:31" ht="13.15" x14ac:dyDescent="0.4">
      <c r="A337" s="19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  <c r="AC337" s="19"/>
      <c r="AD337" s="19"/>
      <c r="AE337" s="19"/>
    </row>
    <row r="338" spans="1:31" ht="13.15" x14ac:dyDescent="0.4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  <c r="AC338" s="19"/>
      <c r="AD338" s="19"/>
      <c r="AE338" s="19"/>
    </row>
    <row r="339" spans="1:31" ht="13.15" x14ac:dyDescent="0.4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  <c r="AC339" s="19"/>
      <c r="AD339" s="19"/>
      <c r="AE339" s="19"/>
    </row>
    <row r="340" spans="1:31" ht="13.15" x14ac:dyDescent="0.4">
      <c r="A340" s="19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  <c r="AC340" s="19"/>
      <c r="AD340" s="19"/>
      <c r="AE340" s="19"/>
    </row>
    <row r="341" spans="1:31" ht="13.15" x14ac:dyDescent="0.4">
      <c r="A341" s="19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  <c r="AC341" s="19"/>
      <c r="AD341" s="19"/>
      <c r="AE341" s="19"/>
    </row>
    <row r="342" spans="1:31" ht="13.15" x14ac:dyDescent="0.4">
      <c r="A342" s="19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  <c r="AC342" s="19"/>
      <c r="AD342" s="19"/>
      <c r="AE342" s="19"/>
    </row>
    <row r="343" spans="1:31" ht="13.15" x14ac:dyDescent="0.4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  <c r="AC343" s="19"/>
      <c r="AD343" s="19"/>
      <c r="AE343" s="19"/>
    </row>
    <row r="344" spans="1:31" ht="13.15" x14ac:dyDescent="0.4">
      <c r="A344" s="19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  <c r="AC344" s="19"/>
      <c r="AD344" s="19"/>
      <c r="AE344" s="19"/>
    </row>
    <row r="345" spans="1:31" ht="13.15" x14ac:dyDescent="0.4">
      <c r="A345" s="19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  <c r="AC345" s="19"/>
      <c r="AD345" s="19"/>
      <c r="AE345" s="19"/>
    </row>
    <row r="346" spans="1:31" ht="13.15" x14ac:dyDescent="0.4">
      <c r="A346" s="19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  <c r="AC346" s="19"/>
      <c r="AD346" s="19"/>
      <c r="AE346" s="19"/>
    </row>
    <row r="347" spans="1:31" ht="13.15" x14ac:dyDescent="0.4">
      <c r="A347" s="19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  <c r="AC347" s="19"/>
      <c r="AD347" s="19"/>
      <c r="AE347" s="19"/>
    </row>
    <row r="348" spans="1:31" ht="13.15" x14ac:dyDescent="0.4">
      <c r="A348" s="19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  <c r="AC348" s="19"/>
      <c r="AD348" s="19"/>
      <c r="AE348" s="19"/>
    </row>
    <row r="349" spans="1:31" ht="13.15" x14ac:dyDescent="0.4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  <c r="AC349" s="19"/>
      <c r="AD349" s="19"/>
      <c r="AE349" s="19"/>
    </row>
    <row r="350" spans="1:31" ht="13.15" x14ac:dyDescent="0.4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  <c r="AC350" s="19"/>
      <c r="AD350" s="19"/>
      <c r="AE350" s="19"/>
    </row>
    <row r="351" spans="1:31" ht="13.15" x14ac:dyDescent="0.4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  <c r="AC351" s="19"/>
      <c r="AD351" s="19"/>
      <c r="AE351" s="19"/>
    </row>
    <row r="352" spans="1:31" ht="13.15" x14ac:dyDescent="0.4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  <c r="AC352" s="19"/>
      <c r="AD352" s="19"/>
      <c r="AE352" s="19"/>
    </row>
    <row r="353" spans="1:31" ht="13.15" x14ac:dyDescent="0.4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  <c r="AC353" s="19"/>
      <c r="AD353" s="19"/>
      <c r="AE353" s="19"/>
    </row>
    <row r="354" spans="1:31" ht="13.15" x14ac:dyDescent="0.4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  <c r="AC354" s="19"/>
      <c r="AD354" s="19"/>
      <c r="AE354" s="19"/>
    </row>
    <row r="355" spans="1:31" ht="13.15" x14ac:dyDescent="0.4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  <c r="AC355" s="19"/>
      <c r="AD355" s="19"/>
      <c r="AE355" s="19"/>
    </row>
    <row r="356" spans="1:31" ht="13.15" x14ac:dyDescent="0.4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  <c r="AC356" s="19"/>
      <c r="AD356" s="19"/>
      <c r="AE356" s="19"/>
    </row>
    <row r="357" spans="1:31" ht="13.15" x14ac:dyDescent="0.4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  <c r="AC357" s="19"/>
      <c r="AD357" s="19"/>
      <c r="AE357" s="19"/>
    </row>
    <row r="358" spans="1:31" ht="13.15" x14ac:dyDescent="0.4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</row>
    <row r="359" spans="1:31" ht="13.15" x14ac:dyDescent="0.4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</row>
    <row r="360" spans="1:31" ht="13.15" x14ac:dyDescent="0.4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</row>
    <row r="361" spans="1:31" ht="13.15" x14ac:dyDescent="0.4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  <c r="AC361" s="19"/>
      <c r="AD361" s="19"/>
      <c r="AE361" s="19"/>
    </row>
    <row r="362" spans="1:31" ht="13.15" x14ac:dyDescent="0.4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  <c r="AC362" s="19"/>
      <c r="AD362" s="19"/>
      <c r="AE362" s="19"/>
    </row>
    <row r="363" spans="1:31" ht="13.15" x14ac:dyDescent="0.4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</row>
    <row r="364" spans="1:31" ht="13.15" x14ac:dyDescent="0.4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  <c r="AC364" s="19"/>
      <c r="AD364" s="19"/>
      <c r="AE364" s="19"/>
    </row>
    <row r="365" spans="1:31" ht="13.15" x14ac:dyDescent="0.4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  <c r="AC365" s="19"/>
      <c r="AD365" s="19"/>
      <c r="AE365" s="19"/>
    </row>
    <row r="366" spans="1:31" ht="13.15" x14ac:dyDescent="0.4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  <c r="AC366" s="19"/>
      <c r="AD366" s="19"/>
      <c r="AE366" s="19"/>
    </row>
    <row r="367" spans="1:31" ht="13.15" x14ac:dyDescent="0.4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  <c r="AC367" s="19"/>
      <c r="AD367" s="19"/>
      <c r="AE367" s="19"/>
    </row>
    <row r="368" spans="1:31" ht="13.15" x14ac:dyDescent="0.4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  <c r="AC368" s="19"/>
      <c r="AD368" s="19"/>
      <c r="AE368" s="19"/>
    </row>
    <row r="369" spans="1:31" ht="13.15" x14ac:dyDescent="0.4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  <c r="AC369" s="19"/>
      <c r="AD369" s="19"/>
      <c r="AE369" s="19"/>
    </row>
    <row r="370" spans="1:31" ht="13.15" x14ac:dyDescent="0.4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  <c r="AC370" s="19"/>
      <c r="AD370" s="19"/>
      <c r="AE370" s="19"/>
    </row>
    <row r="371" spans="1:31" ht="13.15" x14ac:dyDescent="0.4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</row>
    <row r="372" spans="1:31" ht="13.15" x14ac:dyDescent="0.4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  <c r="AC372" s="19"/>
      <c r="AD372" s="19"/>
      <c r="AE372" s="19"/>
    </row>
    <row r="373" spans="1:31" ht="13.15" x14ac:dyDescent="0.4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  <c r="AC373" s="19"/>
      <c r="AD373" s="19"/>
      <c r="AE373" s="19"/>
    </row>
    <row r="374" spans="1:31" ht="13.15" x14ac:dyDescent="0.4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  <c r="AC374" s="19"/>
      <c r="AD374" s="19"/>
      <c r="AE374" s="19"/>
    </row>
    <row r="375" spans="1:31" ht="13.15" x14ac:dyDescent="0.4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  <c r="AC375" s="19"/>
      <c r="AD375" s="19"/>
      <c r="AE375" s="19"/>
    </row>
    <row r="376" spans="1:31" ht="13.15" x14ac:dyDescent="0.4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  <c r="AC376" s="19"/>
      <c r="AD376" s="19"/>
      <c r="AE376" s="19"/>
    </row>
    <row r="377" spans="1:31" ht="13.15" x14ac:dyDescent="0.4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  <c r="AC377" s="19"/>
      <c r="AD377" s="19"/>
      <c r="AE377" s="19"/>
    </row>
    <row r="378" spans="1:31" ht="13.15" x14ac:dyDescent="0.4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  <c r="AC378" s="19"/>
      <c r="AD378" s="19"/>
      <c r="AE378" s="19"/>
    </row>
    <row r="379" spans="1:31" ht="13.15" x14ac:dyDescent="0.4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  <c r="AC379" s="19"/>
      <c r="AD379" s="19"/>
      <c r="AE379" s="19"/>
    </row>
    <row r="380" spans="1:31" ht="13.15" x14ac:dyDescent="0.4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  <c r="AC380" s="19"/>
      <c r="AD380" s="19"/>
      <c r="AE380" s="19"/>
    </row>
    <row r="381" spans="1:31" ht="13.15" x14ac:dyDescent="0.4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E381" s="19"/>
    </row>
    <row r="382" spans="1:31" ht="13.15" x14ac:dyDescent="0.4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  <c r="AC382" s="19"/>
      <c r="AD382" s="19"/>
      <c r="AE382" s="19"/>
    </row>
    <row r="383" spans="1:31" ht="13.15" x14ac:dyDescent="0.4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  <c r="AC383" s="19"/>
      <c r="AD383" s="19"/>
      <c r="AE383" s="19"/>
    </row>
    <row r="384" spans="1:31" ht="13.15" x14ac:dyDescent="0.4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  <c r="AC384" s="19"/>
      <c r="AD384" s="19"/>
      <c r="AE384" s="19"/>
    </row>
    <row r="385" spans="1:31" ht="13.15" x14ac:dyDescent="0.4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  <c r="AE385" s="19"/>
    </row>
    <row r="386" spans="1:31" ht="13.15" x14ac:dyDescent="0.4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9"/>
      <c r="AE386" s="19"/>
    </row>
    <row r="387" spans="1:31" ht="13.15" x14ac:dyDescent="0.4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  <c r="AE387" s="19"/>
    </row>
    <row r="388" spans="1:31" ht="13.15" x14ac:dyDescent="0.4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  <c r="AC388" s="19"/>
      <c r="AD388" s="19"/>
      <c r="AE388" s="19"/>
    </row>
    <row r="389" spans="1:31" ht="13.15" x14ac:dyDescent="0.4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  <c r="AC389" s="19"/>
      <c r="AD389" s="19"/>
      <c r="AE389" s="19"/>
    </row>
    <row r="390" spans="1:31" ht="13.15" x14ac:dyDescent="0.4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  <c r="AC390" s="19"/>
      <c r="AD390" s="19"/>
      <c r="AE390" s="19"/>
    </row>
    <row r="391" spans="1:31" ht="13.15" x14ac:dyDescent="0.4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  <c r="AC391" s="19"/>
      <c r="AD391" s="19"/>
      <c r="AE391" s="19"/>
    </row>
    <row r="392" spans="1:31" ht="13.15" x14ac:dyDescent="0.4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E392" s="19"/>
    </row>
    <row r="393" spans="1:31" ht="13.15" x14ac:dyDescent="0.4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/>
      <c r="AE393" s="19"/>
    </row>
    <row r="394" spans="1:31" ht="13.15" x14ac:dyDescent="0.4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</row>
    <row r="395" spans="1:31" ht="13.15" x14ac:dyDescent="0.4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19"/>
      <c r="AD395" s="19"/>
      <c r="AE395" s="19"/>
    </row>
    <row r="396" spans="1:31" ht="13.15" x14ac:dyDescent="0.4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/>
      <c r="AD396" s="19"/>
      <c r="AE396" s="19"/>
    </row>
    <row r="397" spans="1:31" ht="13.15" x14ac:dyDescent="0.4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  <c r="AC397" s="19"/>
      <c r="AD397" s="19"/>
      <c r="AE397" s="19"/>
    </row>
    <row r="398" spans="1:31" ht="13.15" x14ac:dyDescent="0.4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  <c r="AC398" s="19"/>
      <c r="AD398" s="19"/>
      <c r="AE398" s="19"/>
    </row>
    <row r="399" spans="1:31" ht="13.15" x14ac:dyDescent="0.4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  <c r="AC399" s="19"/>
      <c r="AD399" s="19"/>
      <c r="AE399" s="19"/>
    </row>
    <row r="400" spans="1:31" ht="13.15" x14ac:dyDescent="0.4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  <c r="AC400" s="19"/>
      <c r="AD400" s="19"/>
      <c r="AE400" s="19"/>
    </row>
    <row r="401" spans="1:31" ht="13.15" x14ac:dyDescent="0.4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  <c r="AC401" s="19"/>
      <c r="AD401" s="19"/>
      <c r="AE401" s="19"/>
    </row>
    <row r="402" spans="1:31" ht="13.15" x14ac:dyDescent="0.4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  <c r="AC402" s="19"/>
      <c r="AD402" s="19"/>
      <c r="AE402" s="19"/>
    </row>
    <row r="403" spans="1:31" ht="13.15" x14ac:dyDescent="0.4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/>
      <c r="AD403" s="19"/>
      <c r="AE403" s="19"/>
    </row>
    <row r="404" spans="1:31" ht="13.15" x14ac:dyDescent="0.4">
      <c r="A404" s="19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  <c r="AC404" s="19"/>
      <c r="AD404" s="19"/>
      <c r="AE404" s="19"/>
    </row>
    <row r="405" spans="1:31" ht="13.15" x14ac:dyDescent="0.4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  <c r="AC405" s="19"/>
      <c r="AD405" s="19"/>
      <c r="AE405" s="19"/>
    </row>
    <row r="406" spans="1:31" ht="13.15" x14ac:dyDescent="0.4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  <c r="AC406" s="19"/>
      <c r="AD406" s="19"/>
      <c r="AE406" s="19"/>
    </row>
    <row r="407" spans="1:31" ht="13.15" x14ac:dyDescent="0.4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  <c r="AC407" s="19"/>
      <c r="AD407" s="19"/>
      <c r="AE407" s="19"/>
    </row>
    <row r="408" spans="1:31" ht="13.15" x14ac:dyDescent="0.4">
      <c r="A408" s="19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  <c r="AC408" s="19"/>
      <c r="AD408" s="19"/>
      <c r="AE408" s="19"/>
    </row>
    <row r="409" spans="1:31" ht="13.15" x14ac:dyDescent="0.4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  <c r="AC409" s="19"/>
      <c r="AD409" s="19"/>
      <c r="AE409" s="19"/>
    </row>
    <row r="410" spans="1:31" ht="13.15" x14ac:dyDescent="0.4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  <c r="AC410" s="19"/>
      <c r="AD410" s="19"/>
      <c r="AE410" s="19"/>
    </row>
    <row r="411" spans="1:31" ht="13.15" x14ac:dyDescent="0.4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  <c r="AC411" s="19"/>
      <c r="AD411" s="19"/>
      <c r="AE411" s="19"/>
    </row>
    <row r="412" spans="1:31" ht="13.15" x14ac:dyDescent="0.4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  <c r="AC412" s="19"/>
      <c r="AD412" s="19"/>
      <c r="AE412" s="19"/>
    </row>
    <row r="413" spans="1:31" ht="13.15" x14ac:dyDescent="0.4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  <c r="AC413" s="19"/>
      <c r="AD413" s="19"/>
      <c r="AE413" s="19"/>
    </row>
    <row r="414" spans="1:31" ht="13.15" x14ac:dyDescent="0.4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  <c r="AC414" s="19"/>
      <c r="AD414" s="19"/>
      <c r="AE414" s="19"/>
    </row>
    <row r="415" spans="1:31" ht="13.15" x14ac:dyDescent="0.4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  <c r="AC415" s="19"/>
      <c r="AD415" s="19"/>
      <c r="AE415" s="19"/>
    </row>
    <row r="416" spans="1:31" ht="13.15" x14ac:dyDescent="0.4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  <c r="AC416" s="19"/>
      <c r="AD416" s="19"/>
      <c r="AE416" s="19"/>
    </row>
    <row r="417" spans="1:31" ht="13.15" x14ac:dyDescent="0.4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  <c r="AC417" s="19"/>
      <c r="AD417" s="19"/>
      <c r="AE417" s="19"/>
    </row>
    <row r="418" spans="1:31" ht="13.15" x14ac:dyDescent="0.4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  <c r="AC418" s="19"/>
      <c r="AD418" s="19"/>
      <c r="AE418" s="19"/>
    </row>
    <row r="419" spans="1:31" ht="13.15" x14ac:dyDescent="0.4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  <c r="AC419" s="19"/>
      <c r="AD419" s="19"/>
      <c r="AE419" s="19"/>
    </row>
    <row r="420" spans="1:31" ht="13.15" x14ac:dyDescent="0.4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  <c r="AC420" s="19"/>
      <c r="AD420" s="19"/>
      <c r="AE420" s="19"/>
    </row>
    <row r="421" spans="1:31" ht="13.15" x14ac:dyDescent="0.4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  <c r="AC421" s="19"/>
      <c r="AD421" s="19"/>
      <c r="AE421" s="19"/>
    </row>
    <row r="422" spans="1:31" ht="13.15" x14ac:dyDescent="0.4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  <c r="AC422" s="19"/>
      <c r="AD422" s="19"/>
      <c r="AE422" s="19"/>
    </row>
    <row r="423" spans="1:31" ht="13.15" x14ac:dyDescent="0.4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  <c r="AC423" s="19"/>
      <c r="AD423" s="19"/>
      <c r="AE423" s="19"/>
    </row>
    <row r="424" spans="1:31" ht="13.15" x14ac:dyDescent="0.4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  <c r="AC424" s="19"/>
      <c r="AD424" s="19"/>
      <c r="AE424" s="19"/>
    </row>
    <row r="425" spans="1:31" ht="13.15" x14ac:dyDescent="0.4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  <c r="AB425" s="19"/>
      <c r="AC425" s="19"/>
      <c r="AD425" s="19"/>
      <c r="AE425" s="19"/>
    </row>
    <row r="426" spans="1:31" ht="13.15" x14ac:dyDescent="0.4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  <c r="AB426" s="19"/>
      <c r="AC426" s="19"/>
      <c r="AD426" s="19"/>
      <c r="AE426" s="19"/>
    </row>
    <row r="427" spans="1:31" ht="13.15" x14ac:dyDescent="0.4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/>
      <c r="AC427" s="19"/>
      <c r="AD427" s="19"/>
      <c r="AE427" s="19"/>
    </row>
    <row r="428" spans="1:31" ht="13.15" x14ac:dyDescent="0.4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  <c r="AC428" s="19"/>
      <c r="AD428" s="19"/>
      <c r="AE428" s="19"/>
    </row>
    <row r="429" spans="1:31" ht="13.15" x14ac:dyDescent="0.4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  <c r="AC429" s="19"/>
      <c r="AD429" s="19"/>
      <c r="AE429" s="19"/>
    </row>
    <row r="430" spans="1:31" ht="13.15" x14ac:dyDescent="0.4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  <c r="AC430" s="19"/>
      <c r="AD430" s="19"/>
      <c r="AE430" s="19"/>
    </row>
    <row r="431" spans="1:31" ht="13.15" x14ac:dyDescent="0.4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  <c r="AC431" s="19"/>
      <c r="AD431" s="19"/>
      <c r="AE431" s="19"/>
    </row>
    <row r="432" spans="1:31" ht="13.15" x14ac:dyDescent="0.4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  <c r="AB432" s="19"/>
      <c r="AC432" s="19"/>
      <c r="AD432" s="19"/>
      <c r="AE432" s="19"/>
    </row>
    <row r="433" spans="1:31" ht="13.15" x14ac:dyDescent="0.4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  <c r="AC433" s="19"/>
      <c r="AD433" s="19"/>
      <c r="AE433" s="19"/>
    </row>
    <row r="434" spans="1:31" ht="13.15" x14ac:dyDescent="0.4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/>
      <c r="AC434" s="19"/>
      <c r="AD434" s="19"/>
      <c r="AE434" s="19"/>
    </row>
    <row r="435" spans="1:31" ht="13.15" x14ac:dyDescent="0.4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  <c r="AC435" s="19"/>
      <c r="AD435" s="19"/>
      <c r="AE435" s="19"/>
    </row>
    <row r="436" spans="1:31" ht="13.15" x14ac:dyDescent="0.4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  <c r="AC436" s="19"/>
      <c r="AD436" s="19"/>
      <c r="AE436" s="19"/>
    </row>
    <row r="437" spans="1:31" ht="13.15" x14ac:dyDescent="0.4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  <c r="AC437" s="19"/>
      <c r="AD437" s="19"/>
      <c r="AE437" s="19"/>
    </row>
    <row r="438" spans="1:31" ht="13.15" x14ac:dyDescent="0.4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  <c r="AC438" s="19"/>
      <c r="AD438" s="19"/>
      <c r="AE438" s="19"/>
    </row>
    <row r="439" spans="1:31" ht="13.15" x14ac:dyDescent="0.4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  <c r="AC439" s="19"/>
      <c r="AD439" s="19"/>
      <c r="AE439" s="19"/>
    </row>
    <row r="440" spans="1:31" ht="13.15" x14ac:dyDescent="0.4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  <c r="AC440" s="19"/>
      <c r="AD440" s="19"/>
      <c r="AE440" s="19"/>
    </row>
    <row r="441" spans="1:31" ht="13.15" x14ac:dyDescent="0.4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  <c r="AC441" s="19"/>
      <c r="AD441" s="19"/>
      <c r="AE441" s="19"/>
    </row>
    <row r="442" spans="1:31" ht="13.15" x14ac:dyDescent="0.4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  <c r="AC442" s="19"/>
      <c r="AD442" s="19"/>
      <c r="AE442" s="19"/>
    </row>
    <row r="443" spans="1:31" ht="13.15" x14ac:dyDescent="0.4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  <c r="AC443" s="19"/>
      <c r="AD443" s="19"/>
      <c r="AE443" s="19"/>
    </row>
    <row r="444" spans="1:31" ht="13.15" x14ac:dyDescent="0.4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  <c r="AC444" s="19"/>
      <c r="AD444" s="19"/>
      <c r="AE444" s="19"/>
    </row>
    <row r="445" spans="1:31" ht="13.15" x14ac:dyDescent="0.4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  <c r="AC445" s="19"/>
      <c r="AD445" s="19"/>
      <c r="AE445" s="19"/>
    </row>
    <row r="446" spans="1:31" ht="13.15" x14ac:dyDescent="0.4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  <c r="AB446" s="19"/>
      <c r="AC446" s="19"/>
      <c r="AD446" s="19"/>
      <c r="AE446" s="19"/>
    </row>
    <row r="447" spans="1:31" ht="13.15" x14ac:dyDescent="0.4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  <c r="AC447" s="19"/>
      <c r="AD447" s="19"/>
      <c r="AE447" s="19"/>
    </row>
    <row r="448" spans="1:31" ht="13.15" x14ac:dyDescent="0.4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  <c r="AC448" s="19"/>
      <c r="AD448" s="19"/>
      <c r="AE448" s="19"/>
    </row>
    <row r="449" spans="1:31" ht="13.15" x14ac:dyDescent="0.4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  <c r="AC449" s="19"/>
      <c r="AD449" s="19"/>
      <c r="AE449" s="19"/>
    </row>
    <row r="450" spans="1:31" ht="13.15" x14ac:dyDescent="0.4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/>
      <c r="AC450" s="19"/>
      <c r="AD450" s="19"/>
      <c r="AE450" s="19"/>
    </row>
    <row r="451" spans="1:31" ht="13.15" x14ac:dyDescent="0.4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  <c r="AB451" s="19"/>
      <c r="AC451" s="19"/>
      <c r="AD451" s="19"/>
      <c r="AE451" s="19"/>
    </row>
    <row r="452" spans="1:31" ht="13.15" x14ac:dyDescent="0.4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  <c r="AB452" s="19"/>
      <c r="AC452" s="19"/>
      <c r="AD452" s="19"/>
      <c r="AE452" s="19"/>
    </row>
    <row r="453" spans="1:31" ht="13.15" x14ac:dyDescent="0.4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  <c r="AB453" s="19"/>
      <c r="AC453" s="19"/>
      <c r="AD453" s="19"/>
      <c r="AE453" s="19"/>
    </row>
    <row r="454" spans="1:31" ht="13.15" x14ac:dyDescent="0.4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  <c r="AB454" s="19"/>
      <c r="AC454" s="19"/>
      <c r="AD454" s="19"/>
      <c r="AE454" s="19"/>
    </row>
    <row r="455" spans="1:31" ht="13.15" x14ac:dyDescent="0.4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  <c r="AB455" s="19"/>
      <c r="AC455" s="19"/>
      <c r="AD455" s="19"/>
      <c r="AE455" s="19"/>
    </row>
    <row r="456" spans="1:31" ht="13.15" x14ac:dyDescent="0.4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  <c r="AC456" s="19"/>
      <c r="AD456" s="19"/>
      <c r="AE456" s="19"/>
    </row>
    <row r="457" spans="1:31" ht="13.15" x14ac:dyDescent="0.4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  <c r="AA457" s="19"/>
      <c r="AB457" s="19"/>
      <c r="AC457" s="19"/>
      <c r="AD457" s="19"/>
      <c r="AE457" s="19"/>
    </row>
    <row r="458" spans="1:31" ht="13.15" x14ac:dyDescent="0.4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  <c r="AA458" s="19"/>
      <c r="AB458" s="19"/>
      <c r="AC458" s="19"/>
      <c r="AD458" s="19"/>
      <c r="AE458" s="19"/>
    </row>
    <row r="459" spans="1:31" ht="13.15" x14ac:dyDescent="0.4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  <c r="AB459" s="19"/>
      <c r="AC459" s="19"/>
      <c r="AD459" s="19"/>
      <c r="AE459" s="19"/>
    </row>
    <row r="460" spans="1:31" ht="13.15" x14ac:dyDescent="0.4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  <c r="AB460" s="19"/>
      <c r="AC460" s="19"/>
      <c r="AD460" s="19"/>
      <c r="AE460" s="19"/>
    </row>
    <row r="461" spans="1:31" ht="13.15" x14ac:dyDescent="0.4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  <c r="AB461" s="19"/>
      <c r="AC461" s="19"/>
      <c r="AD461" s="19"/>
      <c r="AE461" s="19"/>
    </row>
    <row r="462" spans="1:31" ht="13.15" x14ac:dyDescent="0.4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  <c r="AC462" s="19"/>
      <c r="AD462" s="19"/>
      <c r="AE462" s="19"/>
    </row>
    <row r="463" spans="1:31" ht="13.15" x14ac:dyDescent="0.4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  <c r="AB463" s="19"/>
      <c r="AC463" s="19"/>
      <c r="AD463" s="19"/>
      <c r="AE463" s="19"/>
    </row>
    <row r="464" spans="1:31" ht="13.15" x14ac:dyDescent="0.4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  <c r="AC464" s="19"/>
      <c r="AD464" s="19"/>
      <c r="AE464" s="19"/>
    </row>
    <row r="465" spans="1:31" ht="13.15" x14ac:dyDescent="0.4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/>
      <c r="AC465" s="19"/>
      <c r="AD465" s="19"/>
      <c r="AE465" s="19"/>
    </row>
    <row r="466" spans="1:31" ht="13.15" x14ac:dyDescent="0.4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  <c r="AB466" s="19"/>
      <c r="AC466" s="19"/>
      <c r="AD466" s="19"/>
      <c r="AE466" s="19"/>
    </row>
    <row r="467" spans="1:31" ht="13.15" x14ac:dyDescent="0.4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  <c r="AC467" s="19"/>
      <c r="AD467" s="19"/>
      <c r="AE467" s="19"/>
    </row>
    <row r="468" spans="1:31" ht="13.15" x14ac:dyDescent="0.4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  <c r="AB468" s="19"/>
      <c r="AC468" s="19"/>
      <c r="AD468" s="19"/>
      <c r="AE468" s="19"/>
    </row>
    <row r="469" spans="1:31" ht="13.15" x14ac:dyDescent="0.4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  <c r="AB469" s="19"/>
      <c r="AC469" s="19"/>
      <c r="AD469" s="19"/>
      <c r="AE469" s="19"/>
    </row>
    <row r="470" spans="1:31" ht="13.15" x14ac:dyDescent="0.4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  <c r="AB470" s="19"/>
      <c r="AC470" s="19"/>
      <c r="AD470" s="19"/>
      <c r="AE470" s="19"/>
    </row>
    <row r="471" spans="1:31" ht="13.15" x14ac:dyDescent="0.4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  <c r="AC471" s="19"/>
      <c r="AD471" s="19"/>
      <c r="AE471" s="19"/>
    </row>
    <row r="472" spans="1:31" ht="13.15" x14ac:dyDescent="0.4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  <c r="AB472" s="19"/>
      <c r="AC472" s="19"/>
      <c r="AD472" s="19"/>
      <c r="AE472" s="19"/>
    </row>
    <row r="473" spans="1:31" ht="13.15" x14ac:dyDescent="0.4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  <c r="AC473" s="19"/>
      <c r="AD473" s="19"/>
      <c r="AE473" s="19"/>
    </row>
    <row r="474" spans="1:31" ht="13.15" x14ac:dyDescent="0.4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/>
      <c r="AC474" s="19"/>
      <c r="AD474" s="19"/>
      <c r="AE474" s="19"/>
    </row>
    <row r="475" spans="1:31" ht="13.15" x14ac:dyDescent="0.4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  <c r="AC475" s="19"/>
      <c r="AD475" s="19"/>
      <c r="AE475" s="19"/>
    </row>
    <row r="476" spans="1:31" ht="13.15" x14ac:dyDescent="0.4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/>
      <c r="AC476" s="19"/>
      <c r="AD476" s="19"/>
      <c r="AE476" s="19"/>
    </row>
    <row r="477" spans="1:31" ht="13.15" x14ac:dyDescent="0.4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  <c r="AC477" s="19"/>
      <c r="AD477" s="19"/>
      <c r="AE477" s="19"/>
    </row>
    <row r="478" spans="1:31" ht="13.15" x14ac:dyDescent="0.4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  <c r="AC478" s="19"/>
      <c r="AD478" s="19"/>
      <c r="AE478" s="19"/>
    </row>
    <row r="479" spans="1:31" ht="13.15" x14ac:dyDescent="0.4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  <c r="AC479" s="19"/>
      <c r="AD479" s="19"/>
      <c r="AE479" s="19"/>
    </row>
    <row r="480" spans="1:31" ht="13.15" x14ac:dyDescent="0.4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  <c r="AC480" s="19"/>
      <c r="AD480" s="19"/>
      <c r="AE480" s="19"/>
    </row>
    <row r="481" spans="1:31" ht="13.15" x14ac:dyDescent="0.4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  <c r="AB481" s="19"/>
      <c r="AC481" s="19"/>
      <c r="AD481" s="19"/>
      <c r="AE481" s="19"/>
    </row>
    <row r="482" spans="1:31" ht="13.15" x14ac:dyDescent="0.4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  <c r="AC482" s="19"/>
      <c r="AD482" s="19"/>
      <c r="AE482" s="19"/>
    </row>
    <row r="483" spans="1:31" ht="13.15" x14ac:dyDescent="0.4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19"/>
      <c r="AC483" s="19"/>
      <c r="AD483" s="19"/>
      <c r="AE483" s="19"/>
    </row>
    <row r="484" spans="1:31" ht="13.15" x14ac:dyDescent="0.4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  <c r="AB484" s="19"/>
      <c r="AC484" s="19"/>
      <c r="AD484" s="19"/>
      <c r="AE484" s="19"/>
    </row>
    <row r="485" spans="1:31" ht="13.15" x14ac:dyDescent="0.4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  <c r="AA485" s="19"/>
      <c r="AB485" s="19"/>
      <c r="AC485" s="19"/>
      <c r="AD485" s="19"/>
      <c r="AE485" s="19"/>
    </row>
    <row r="486" spans="1:31" ht="13.15" x14ac:dyDescent="0.4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  <c r="AB486" s="19"/>
      <c r="AC486" s="19"/>
      <c r="AD486" s="19"/>
      <c r="AE486" s="19"/>
    </row>
    <row r="487" spans="1:31" ht="13.15" x14ac:dyDescent="0.4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  <c r="AA487" s="19"/>
      <c r="AB487" s="19"/>
      <c r="AC487" s="19"/>
      <c r="AD487" s="19"/>
      <c r="AE487" s="19"/>
    </row>
    <row r="488" spans="1:31" ht="13.15" x14ac:dyDescent="0.4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  <c r="AC488" s="19"/>
      <c r="AD488" s="19"/>
      <c r="AE488" s="19"/>
    </row>
    <row r="489" spans="1:31" ht="13.15" x14ac:dyDescent="0.4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  <c r="AB489" s="19"/>
      <c r="AC489" s="19"/>
      <c r="AD489" s="19"/>
      <c r="AE489" s="19"/>
    </row>
    <row r="490" spans="1:31" ht="13.15" x14ac:dyDescent="0.4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  <c r="AC490" s="19"/>
      <c r="AD490" s="19"/>
      <c r="AE490" s="19"/>
    </row>
    <row r="491" spans="1:31" ht="13.15" x14ac:dyDescent="0.4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  <c r="AB491" s="19"/>
      <c r="AC491" s="19"/>
      <c r="AD491" s="19"/>
      <c r="AE491" s="19"/>
    </row>
    <row r="492" spans="1:31" ht="13.15" x14ac:dyDescent="0.4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  <c r="AB492" s="19"/>
      <c r="AC492" s="19"/>
      <c r="AD492" s="19"/>
      <c r="AE492" s="19"/>
    </row>
    <row r="493" spans="1:31" ht="13.15" x14ac:dyDescent="0.4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  <c r="AB493" s="19"/>
      <c r="AC493" s="19"/>
      <c r="AD493" s="19"/>
      <c r="AE493" s="19"/>
    </row>
    <row r="494" spans="1:31" ht="13.15" x14ac:dyDescent="0.4">
      <c r="A494" s="19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  <c r="AA494" s="19"/>
      <c r="AB494" s="19"/>
      <c r="AC494" s="19"/>
      <c r="AD494" s="19"/>
      <c r="AE494" s="19"/>
    </row>
    <row r="495" spans="1:31" ht="13.15" x14ac:dyDescent="0.4">
      <c r="A495" s="19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  <c r="AA495" s="19"/>
      <c r="AB495" s="19"/>
      <c r="AC495" s="19"/>
      <c r="AD495" s="19"/>
      <c r="AE495" s="19"/>
    </row>
    <row r="496" spans="1:31" ht="13.15" x14ac:dyDescent="0.4">
      <c r="A496" s="19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  <c r="AA496" s="19"/>
      <c r="AB496" s="19"/>
      <c r="AC496" s="19"/>
      <c r="AD496" s="19"/>
      <c r="AE496" s="19"/>
    </row>
    <row r="497" spans="1:31" ht="13.15" x14ac:dyDescent="0.4">
      <c r="A497" s="19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  <c r="AA497" s="19"/>
      <c r="AB497" s="19"/>
      <c r="AC497" s="19"/>
      <c r="AD497" s="19"/>
      <c r="AE497" s="19"/>
    </row>
    <row r="498" spans="1:31" ht="13.15" x14ac:dyDescent="0.4">
      <c r="A498" s="19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  <c r="AA498" s="19"/>
      <c r="AB498" s="19"/>
      <c r="AC498" s="19"/>
      <c r="AD498" s="19"/>
      <c r="AE498" s="19"/>
    </row>
    <row r="499" spans="1:31" ht="13.15" x14ac:dyDescent="0.4">
      <c r="A499" s="19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  <c r="AB499" s="19"/>
      <c r="AC499" s="19"/>
      <c r="AD499" s="19"/>
      <c r="AE499" s="19"/>
    </row>
    <row r="500" spans="1:31" ht="13.15" x14ac:dyDescent="0.4">
      <c r="A500" s="19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  <c r="AA500" s="19"/>
      <c r="AB500" s="19"/>
      <c r="AC500" s="19"/>
      <c r="AD500" s="19"/>
      <c r="AE500" s="19"/>
    </row>
    <row r="501" spans="1:31" ht="13.15" x14ac:dyDescent="0.4">
      <c r="A501" s="19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  <c r="AA501" s="19"/>
      <c r="AB501" s="19"/>
      <c r="AC501" s="19"/>
      <c r="AD501" s="19"/>
      <c r="AE501" s="19"/>
    </row>
    <row r="502" spans="1:31" ht="13.15" x14ac:dyDescent="0.4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  <c r="AA502" s="19"/>
      <c r="AB502" s="19"/>
      <c r="AC502" s="19"/>
      <c r="AD502" s="19"/>
      <c r="AE502" s="19"/>
    </row>
    <row r="503" spans="1:31" ht="13.15" x14ac:dyDescent="0.4">
      <c r="A503" s="19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  <c r="AB503" s="19"/>
      <c r="AC503" s="19"/>
      <c r="AD503" s="19"/>
      <c r="AE503" s="19"/>
    </row>
    <row r="504" spans="1:31" ht="13.15" x14ac:dyDescent="0.4">
      <c r="A504" s="19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  <c r="AB504" s="19"/>
      <c r="AC504" s="19"/>
      <c r="AD504" s="19"/>
      <c r="AE504" s="19"/>
    </row>
    <row r="505" spans="1:31" ht="13.15" x14ac:dyDescent="0.4">
      <c r="A505" s="19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  <c r="AB505" s="19"/>
      <c r="AC505" s="19"/>
      <c r="AD505" s="19"/>
      <c r="AE505" s="19"/>
    </row>
    <row r="506" spans="1:31" ht="13.15" x14ac:dyDescent="0.4">
      <c r="A506" s="19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  <c r="AB506" s="19"/>
      <c r="AC506" s="19"/>
      <c r="AD506" s="19"/>
      <c r="AE506" s="19"/>
    </row>
    <row r="507" spans="1:31" ht="13.15" x14ac:dyDescent="0.4">
      <c r="A507" s="19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  <c r="AB507" s="19"/>
      <c r="AC507" s="19"/>
      <c r="AD507" s="19"/>
      <c r="AE507" s="19"/>
    </row>
    <row r="508" spans="1:31" ht="13.15" x14ac:dyDescent="0.4">
      <c r="A508" s="19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  <c r="AC508" s="19"/>
      <c r="AD508" s="19"/>
      <c r="AE508" s="19"/>
    </row>
    <row r="509" spans="1:31" ht="13.15" x14ac:dyDescent="0.4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AB509" s="19"/>
      <c r="AC509" s="19"/>
      <c r="AD509" s="19"/>
      <c r="AE509" s="19"/>
    </row>
    <row r="510" spans="1:31" ht="13.15" x14ac:dyDescent="0.4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  <c r="AC510" s="19"/>
      <c r="AD510" s="19"/>
      <c r="AE510" s="19"/>
    </row>
    <row r="511" spans="1:31" ht="13.15" x14ac:dyDescent="0.4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  <c r="AC511" s="19"/>
      <c r="AD511" s="19"/>
      <c r="AE511" s="19"/>
    </row>
    <row r="512" spans="1:31" ht="13.15" x14ac:dyDescent="0.4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  <c r="AC512" s="19"/>
      <c r="AD512" s="19"/>
      <c r="AE512" s="19"/>
    </row>
    <row r="513" spans="1:31" ht="13.15" x14ac:dyDescent="0.4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AB513" s="19"/>
      <c r="AC513" s="19"/>
      <c r="AD513" s="19"/>
      <c r="AE513" s="19"/>
    </row>
    <row r="514" spans="1:31" ht="13.15" x14ac:dyDescent="0.4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  <c r="AB514" s="19"/>
      <c r="AC514" s="19"/>
      <c r="AD514" s="19"/>
      <c r="AE514" s="19"/>
    </row>
    <row r="515" spans="1:31" ht="13.15" x14ac:dyDescent="0.4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/>
      <c r="AC515" s="19"/>
      <c r="AD515" s="19"/>
      <c r="AE515" s="19"/>
    </row>
    <row r="516" spans="1:31" ht="13.15" x14ac:dyDescent="0.4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  <c r="AC516" s="19"/>
      <c r="AD516" s="19"/>
      <c r="AE516" s="19"/>
    </row>
    <row r="517" spans="1:31" ht="13.15" x14ac:dyDescent="0.4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  <c r="AB517" s="19"/>
      <c r="AC517" s="19"/>
      <c r="AD517" s="19"/>
      <c r="AE517" s="19"/>
    </row>
    <row r="518" spans="1:31" ht="13.15" x14ac:dyDescent="0.4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  <c r="AB518" s="19"/>
      <c r="AC518" s="19"/>
      <c r="AD518" s="19"/>
      <c r="AE518" s="19"/>
    </row>
    <row r="519" spans="1:31" ht="13.15" x14ac:dyDescent="0.4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  <c r="AA519" s="19"/>
      <c r="AB519" s="19"/>
      <c r="AC519" s="19"/>
      <c r="AD519" s="19"/>
      <c r="AE519" s="19"/>
    </row>
    <row r="520" spans="1:31" ht="13.15" x14ac:dyDescent="0.4">
      <c r="A520" s="19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  <c r="AB520" s="19"/>
      <c r="AC520" s="19"/>
      <c r="AD520" s="19"/>
      <c r="AE520" s="19"/>
    </row>
    <row r="521" spans="1:31" ht="13.15" x14ac:dyDescent="0.4">
      <c r="A521" s="19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  <c r="AB521" s="19"/>
      <c r="AC521" s="19"/>
      <c r="AD521" s="19"/>
      <c r="AE521" s="19"/>
    </row>
    <row r="522" spans="1:31" ht="13.15" x14ac:dyDescent="0.4">
      <c r="A522" s="19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  <c r="AA522" s="19"/>
      <c r="AB522" s="19"/>
      <c r="AC522" s="19"/>
      <c r="AD522" s="19"/>
      <c r="AE522" s="19"/>
    </row>
    <row r="523" spans="1:31" ht="13.15" x14ac:dyDescent="0.4">
      <c r="A523" s="19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  <c r="AB523" s="19"/>
      <c r="AC523" s="19"/>
      <c r="AD523" s="19"/>
      <c r="AE523" s="19"/>
    </row>
    <row r="524" spans="1:31" ht="13.15" x14ac:dyDescent="0.4">
      <c r="A524" s="19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  <c r="AA524" s="19"/>
      <c r="AB524" s="19"/>
      <c r="AC524" s="19"/>
      <c r="AD524" s="19"/>
      <c r="AE524" s="19"/>
    </row>
    <row r="525" spans="1:31" ht="13.15" x14ac:dyDescent="0.4">
      <c r="A525" s="19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  <c r="AC525" s="19"/>
      <c r="AD525" s="19"/>
      <c r="AE525" s="19"/>
    </row>
    <row r="526" spans="1:31" ht="13.15" x14ac:dyDescent="0.4">
      <c r="A526" s="19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  <c r="AC526" s="19"/>
      <c r="AD526" s="19"/>
      <c r="AE526" s="19"/>
    </row>
    <row r="527" spans="1:31" ht="13.15" x14ac:dyDescent="0.4">
      <c r="A527" s="19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  <c r="AC527" s="19"/>
      <c r="AD527" s="19"/>
      <c r="AE527" s="19"/>
    </row>
    <row r="528" spans="1:31" ht="13.15" x14ac:dyDescent="0.4">
      <c r="A528" s="19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  <c r="AC528" s="19"/>
      <c r="AD528" s="19"/>
      <c r="AE528" s="19"/>
    </row>
    <row r="529" spans="1:31" ht="13.15" x14ac:dyDescent="0.4">
      <c r="A529" s="19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  <c r="AB529" s="19"/>
      <c r="AC529" s="19"/>
      <c r="AD529" s="19"/>
      <c r="AE529" s="19"/>
    </row>
    <row r="530" spans="1:31" ht="13.15" x14ac:dyDescent="0.4">
      <c r="A530" s="19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  <c r="AC530" s="19"/>
      <c r="AD530" s="19"/>
      <c r="AE530" s="19"/>
    </row>
    <row r="531" spans="1:31" ht="13.15" x14ac:dyDescent="0.4">
      <c r="A531" s="19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  <c r="AC531" s="19"/>
      <c r="AD531" s="19"/>
      <c r="AE531" s="19"/>
    </row>
    <row r="532" spans="1:31" ht="13.15" x14ac:dyDescent="0.4">
      <c r="A532" s="19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  <c r="AC532" s="19"/>
      <c r="AD532" s="19"/>
      <c r="AE532" s="19"/>
    </row>
    <row r="533" spans="1:31" ht="13.15" x14ac:dyDescent="0.4">
      <c r="A533" s="19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  <c r="AC533" s="19"/>
      <c r="AD533" s="19"/>
      <c r="AE533" s="19"/>
    </row>
    <row r="534" spans="1:31" ht="13.15" x14ac:dyDescent="0.4">
      <c r="A534" s="19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  <c r="AC534" s="19"/>
      <c r="AD534" s="19"/>
      <c r="AE534" s="19"/>
    </row>
    <row r="535" spans="1:31" ht="13.15" x14ac:dyDescent="0.4">
      <c r="A535" s="19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  <c r="AB535" s="19"/>
      <c r="AC535" s="19"/>
      <c r="AD535" s="19"/>
      <c r="AE535" s="19"/>
    </row>
    <row r="536" spans="1:31" ht="13.15" x14ac:dyDescent="0.4">
      <c r="A536" s="19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  <c r="AC536" s="19"/>
      <c r="AD536" s="19"/>
      <c r="AE536" s="19"/>
    </row>
    <row r="537" spans="1:31" ht="13.15" x14ac:dyDescent="0.4">
      <c r="A537" s="19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  <c r="AC537" s="19"/>
      <c r="AD537" s="19"/>
      <c r="AE537" s="19"/>
    </row>
    <row r="538" spans="1:31" ht="13.15" x14ac:dyDescent="0.4">
      <c r="A538" s="19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  <c r="AC538" s="19"/>
      <c r="AD538" s="19"/>
      <c r="AE538" s="19"/>
    </row>
    <row r="539" spans="1:31" ht="13.15" x14ac:dyDescent="0.4">
      <c r="A539" s="19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  <c r="AC539" s="19"/>
      <c r="AD539" s="19"/>
      <c r="AE539" s="19"/>
    </row>
    <row r="540" spans="1:31" ht="13.15" x14ac:dyDescent="0.4">
      <c r="A540" s="19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  <c r="AA540" s="19"/>
      <c r="AB540" s="19"/>
      <c r="AC540" s="19"/>
      <c r="AD540" s="19"/>
      <c r="AE540" s="19"/>
    </row>
    <row r="541" spans="1:31" ht="13.15" x14ac:dyDescent="0.4">
      <c r="A541" s="19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  <c r="AC541" s="19"/>
      <c r="AD541" s="19"/>
      <c r="AE541" s="19"/>
    </row>
    <row r="542" spans="1:31" ht="13.15" x14ac:dyDescent="0.4">
      <c r="A542" s="19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</row>
    <row r="543" spans="1:31" ht="13.15" x14ac:dyDescent="0.4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  <c r="AB543" s="19"/>
      <c r="AC543" s="19"/>
      <c r="AD543" s="19"/>
      <c r="AE543" s="19"/>
    </row>
    <row r="544" spans="1:31" ht="13.15" x14ac:dyDescent="0.4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  <c r="AA544" s="19"/>
      <c r="AB544" s="19"/>
      <c r="AC544" s="19"/>
      <c r="AD544" s="19"/>
      <c r="AE544" s="19"/>
    </row>
    <row r="545" spans="1:31" ht="13.15" x14ac:dyDescent="0.4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  <c r="AA545" s="19"/>
      <c r="AB545" s="19"/>
      <c r="AC545" s="19"/>
      <c r="AD545" s="19"/>
      <c r="AE545" s="19"/>
    </row>
    <row r="546" spans="1:31" ht="13.15" x14ac:dyDescent="0.4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  <c r="AA546" s="19"/>
      <c r="AB546" s="19"/>
      <c r="AC546" s="19"/>
      <c r="AD546" s="19"/>
      <c r="AE546" s="19"/>
    </row>
    <row r="547" spans="1:31" ht="13.15" x14ac:dyDescent="0.4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  <c r="AC547" s="19"/>
      <c r="AD547" s="19"/>
      <c r="AE547" s="19"/>
    </row>
    <row r="548" spans="1:31" ht="13.15" x14ac:dyDescent="0.4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  <c r="AA548" s="19"/>
      <c r="AB548" s="19"/>
      <c r="AC548" s="19"/>
      <c r="AD548" s="19"/>
      <c r="AE548" s="19"/>
    </row>
    <row r="549" spans="1:31" ht="13.15" x14ac:dyDescent="0.4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  <c r="AA549" s="19"/>
      <c r="AB549" s="19"/>
      <c r="AC549" s="19"/>
      <c r="AD549" s="19"/>
      <c r="AE549" s="19"/>
    </row>
    <row r="550" spans="1:31" ht="13.15" x14ac:dyDescent="0.4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  <c r="AA550" s="19"/>
      <c r="AB550" s="19"/>
      <c r="AC550" s="19"/>
      <c r="AD550" s="19"/>
      <c r="AE550" s="19"/>
    </row>
    <row r="551" spans="1:31" ht="13.15" x14ac:dyDescent="0.4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  <c r="AA551" s="19"/>
      <c r="AB551" s="19"/>
      <c r="AC551" s="19"/>
      <c r="AD551" s="19"/>
      <c r="AE551" s="19"/>
    </row>
    <row r="552" spans="1:31" ht="13.15" x14ac:dyDescent="0.4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  <c r="AA552" s="19"/>
      <c r="AB552" s="19"/>
      <c r="AC552" s="19"/>
      <c r="AD552" s="19"/>
      <c r="AE552" s="19"/>
    </row>
    <row r="553" spans="1:31" ht="13.15" x14ac:dyDescent="0.4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  <c r="AA553" s="19"/>
      <c r="AB553" s="19"/>
      <c r="AC553" s="19"/>
      <c r="AD553" s="19"/>
      <c r="AE553" s="19"/>
    </row>
    <row r="554" spans="1:31" ht="13.15" x14ac:dyDescent="0.4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  <c r="AA554" s="19"/>
      <c r="AB554" s="19"/>
      <c r="AC554" s="19"/>
      <c r="AD554" s="19"/>
      <c r="AE554" s="19"/>
    </row>
    <row r="555" spans="1:31" ht="13.15" x14ac:dyDescent="0.4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  <c r="AA555" s="19"/>
      <c r="AB555" s="19"/>
      <c r="AC555" s="19"/>
      <c r="AD555" s="19"/>
      <c r="AE555" s="19"/>
    </row>
    <row r="556" spans="1:31" ht="13.15" x14ac:dyDescent="0.4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  <c r="AB556" s="19"/>
      <c r="AC556" s="19"/>
      <c r="AD556" s="19"/>
      <c r="AE556" s="19"/>
    </row>
    <row r="557" spans="1:31" ht="13.15" x14ac:dyDescent="0.4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  <c r="AA557" s="19"/>
      <c r="AB557" s="19"/>
      <c r="AC557" s="19"/>
      <c r="AD557" s="19"/>
      <c r="AE557" s="19"/>
    </row>
    <row r="558" spans="1:31" ht="13.15" x14ac:dyDescent="0.4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  <c r="AA558" s="19"/>
      <c r="AB558" s="19"/>
      <c r="AC558" s="19"/>
      <c r="AD558" s="19"/>
      <c r="AE558" s="19"/>
    </row>
    <row r="559" spans="1:31" ht="13.15" x14ac:dyDescent="0.4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  <c r="AA559" s="19"/>
      <c r="AB559" s="19"/>
      <c r="AC559" s="19"/>
      <c r="AD559" s="19"/>
      <c r="AE559" s="19"/>
    </row>
    <row r="560" spans="1:31" ht="13.15" x14ac:dyDescent="0.4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  <c r="AA560" s="19"/>
      <c r="AB560" s="19"/>
      <c r="AC560" s="19"/>
      <c r="AD560" s="19"/>
      <c r="AE560" s="19"/>
    </row>
    <row r="561" spans="1:31" ht="13.15" x14ac:dyDescent="0.4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  <c r="AA561" s="19"/>
      <c r="AB561" s="19"/>
      <c r="AC561" s="19"/>
      <c r="AD561" s="19"/>
      <c r="AE561" s="19"/>
    </row>
    <row r="562" spans="1:31" ht="13.15" x14ac:dyDescent="0.4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  <c r="AA562" s="19"/>
      <c r="AB562" s="19"/>
      <c r="AC562" s="19"/>
      <c r="AD562" s="19"/>
      <c r="AE562" s="19"/>
    </row>
    <row r="563" spans="1:31" ht="13.15" x14ac:dyDescent="0.4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  <c r="AB563" s="19"/>
      <c r="AC563" s="19"/>
      <c r="AD563" s="19"/>
      <c r="AE563" s="19"/>
    </row>
    <row r="564" spans="1:31" ht="13.15" x14ac:dyDescent="0.4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  <c r="AA564" s="19"/>
      <c r="AB564" s="19"/>
      <c r="AC564" s="19"/>
      <c r="AD564" s="19"/>
      <c r="AE564" s="19"/>
    </row>
    <row r="565" spans="1:31" ht="13.15" x14ac:dyDescent="0.4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  <c r="AA565" s="19"/>
      <c r="AB565" s="19"/>
      <c r="AC565" s="19"/>
      <c r="AD565" s="19"/>
      <c r="AE565" s="19"/>
    </row>
    <row r="566" spans="1:31" ht="13.15" x14ac:dyDescent="0.4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  <c r="AA566" s="19"/>
      <c r="AB566" s="19"/>
      <c r="AC566" s="19"/>
      <c r="AD566" s="19"/>
      <c r="AE566" s="19"/>
    </row>
    <row r="567" spans="1:31" ht="13.15" x14ac:dyDescent="0.4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  <c r="AA567" s="19"/>
      <c r="AB567" s="19"/>
      <c r="AC567" s="19"/>
      <c r="AD567" s="19"/>
      <c r="AE567" s="19"/>
    </row>
    <row r="568" spans="1:31" ht="13.15" x14ac:dyDescent="0.4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  <c r="AA568" s="19"/>
      <c r="AB568" s="19"/>
      <c r="AC568" s="19"/>
      <c r="AD568" s="19"/>
      <c r="AE568" s="19"/>
    </row>
    <row r="569" spans="1:31" ht="13.15" x14ac:dyDescent="0.4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  <c r="AC569" s="19"/>
      <c r="AD569" s="19"/>
      <c r="AE569" s="19"/>
    </row>
    <row r="570" spans="1:31" ht="13.15" x14ac:dyDescent="0.4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  <c r="AA570" s="19"/>
      <c r="AB570" s="19"/>
      <c r="AC570" s="19"/>
      <c r="AD570" s="19"/>
      <c r="AE570" s="19"/>
    </row>
    <row r="571" spans="1:31" ht="13.15" x14ac:dyDescent="0.4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  <c r="AA571" s="19"/>
      <c r="AB571" s="19"/>
      <c r="AC571" s="19"/>
      <c r="AD571" s="19"/>
      <c r="AE571" s="19"/>
    </row>
    <row r="572" spans="1:31" ht="13.15" x14ac:dyDescent="0.4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  <c r="AA572" s="19"/>
      <c r="AB572" s="19"/>
      <c r="AC572" s="19"/>
      <c r="AD572" s="19"/>
      <c r="AE572" s="19"/>
    </row>
    <row r="573" spans="1:31" ht="13.15" x14ac:dyDescent="0.4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  <c r="AA573" s="19"/>
      <c r="AB573" s="19"/>
      <c r="AC573" s="19"/>
      <c r="AD573" s="19"/>
      <c r="AE573" s="19"/>
    </row>
    <row r="574" spans="1:31" ht="13.15" x14ac:dyDescent="0.4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  <c r="AC574" s="19"/>
      <c r="AD574" s="19"/>
      <c r="AE574" s="19"/>
    </row>
    <row r="575" spans="1:31" ht="13.15" x14ac:dyDescent="0.4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  <c r="AA575" s="19"/>
      <c r="AB575" s="19"/>
      <c r="AC575" s="19"/>
      <c r="AD575" s="19"/>
      <c r="AE575" s="19"/>
    </row>
    <row r="576" spans="1:31" ht="13.15" x14ac:dyDescent="0.4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  <c r="AA576" s="19"/>
      <c r="AB576" s="19"/>
      <c r="AC576" s="19"/>
      <c r="AD576" s="19"/>
      <c r="AE576" s="19"/>
    </row>
    <row r="577" spans="1:31" ht="13.15" x14ac:dyDescent="0.4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  <c r="AA577" s="19"/>
      <c r="AB577" s="19"/>
      <c r="AC577" s="19"/>
      <c r="AD577" s="19"/>
      <c r="AE577" s="19"/>
    </row>
    <row r="578" spans="1:31" ht="13.15" x14ac:dyDescent="0.4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  <c r="AA578" s="19"/>
      <c r="AB578" s="19"/>
      <c r="AC578" s="19"/>
      <c r="AD578" s="19"/>
      <c r="AE578" s="19"/>
    </row>
    <row r="579" spans="1:31" ht="13.15" x14ac:dyDescent="0.4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  <c r="AA579" s="19"/>
      <c r="AB579" s="19"/>
      <c r="AC579" s="19"/>
      <c r="AD579" s="19"/>
      <c r="AE579" s="19"/>
    </row>
    <row r="580" spans="1:31" ht="13.15" x14ac:dyDescent="0.4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  <c r="AA580" s="19"/>
      <c r="AB580" s="19"/>
      <c r="AC580" s="19"/>
      <c r="AD580" s="19"/>
      <c r="AE580" s="19"/>
    </row>
    <row r="581" spans="1:31" ht="13.15" x14ac:dyDescent="0.4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  <c r="AA581" s="19"/>
      <c r="AB581" s="19"/>
      <c r="AC581" s="19"/>
      <c r="AD581" s="19"/>
      <c r="AE581" s="19"/>
    </row>
    <row r="582" spans="1:31" ht="13.15" x14ac:dyDescent="0.4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  <c r="AA582" s="19"/>
      <c r="AB582" s="19"/>
      <c r="AC582" s="19"/>
      <c r="AD582" s="19"/>
      <c r="AE582" s="19"/>
    </row>
    <row r="583" spans="1:31" ht="13.15" x14ac:dyDescent="0.4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  <c r="AB583" s="19"/>
      <c r="AC583" s="19"/>
      <c r="AD583" s="19"/>
      <c r="AE583" s="19"/>
    </row>
    <row r="584" spans="1:31" ht="13.15" x14ac:dyDescent="0.4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  <c r="AA584" s="19"/>
      <c r="AB584" s="19"/>
      <c r="AC584" s="19"/>
      <c r="AD584" s="19"/>
      <c r="AE584" s="19"/>
    </row>
    <row r="585" spans="1:31" ht="13.15" x14ac:dyDescent="0.4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  <c r="AA585" s="19"/>
      <c r="AB585" s="19"/>
      <c r="AC585" s="19"/>
      <c r="AD585" s="19"/>
      <c r="AE585" s="19"/>
    </row>
    <row r="586" spans="1:31" ht="13.15" x14ac:dyDescent="0.4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  <c r="AA586" s="19"/>
      <c r="AB586" s="19"/>
      <c r="AC586" s="19"/>
      <c r="AD586" s="19"/>
      <c r="AE586" s="19"/>
    </row>
    <row r="587" spans="1:31" ht="13.15" x14ac:dyDescent="0.4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  <c r="AA587" s="19"/>
      <c r="AB587" s="19"/>
      <c r="AC587" s="19"/>
      <c r="AD587" s="19"/>
      <c r="AE587" s="19"/>
    </row>
    <row r="588" spans="1:31" ht="13.15" x14ac:dyDescent="0.4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  <c r="AA588" s="19"/>
      <c r="AB588" s="19"/>
      <c r="AC588" s="19"/>
      <c r="AD588" s="19"/>
      <c r="AE588" s="19"/>
    </row>
    <row r="589" spans="1:31" ht="13.15" x14ac:dyDescent="0.4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  <c r="AA589" s="19"/>
      <c r="AB589" s="19"/>
      <c r="AC589" s="19"/>
      <c r="AD589" s="19"/>
      <c r="AE589" s="19"/>
    </row>
    <row r="590" spans="1:31" ht="13.15" x14ac:dyDescent="0.4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  <c r="AA590" s="19"/>
      <c r="AB590" s="19"/>
      <c r="AC590" s="19"/>
      <c r="AD590" s="19"/>
      <c r="AE590" s="19"/>
    </row>
    <row r="591" spans="1:31" ht="13.15" x14ac:dyDescent="0.4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  <c r="AA591" s="19"/>
      <c r="AB591" s="19"/>
      <c r="AC591" s="19"/>
      <c r="AD591" s="19"/>
      <c r="AE591" s="19"/>
    </row>
    <row r="592" spans="1:31" ht="13.15" x14ac:dyDescent="0.4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  <c r="AA592" s="19"/>
      <c r="AB592" s="19"/>
      <c r="AC592" s="19"/>
      <c r="AD592" s="19"/>
      <c r="AE592" s="19"/>
    </row>
    <row r="593" spans="1:31" ht="13.15" x14ac:dyDescent="0.4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  <c r="AA593" s="19"/>
      <c r="AB593" s="19"/>
      <c r="AC593" s="19"/>
      <c r="AD593" s="19"/>
      <c r="AE593" s="19"/>
    </row>
    <row r="594" spans="1:31" ht="13.15" x14ac:dyDescent="0.4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  <c r="AA594" s="19"/>
      <c r="AB594" s="19"/>
      <c r="AC594" s="19"/>
      <c r="AD594" s="19"/>
      <c r="AE594" s="19"/>
    </row>
    <row r="595" spans="1:31" ht="13.15" x14ac:dyDescent="0.4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  <c r="AA595" s="19"/>
      <c r="AB595" s="19"/>
      <c r="AC595" s="19"/>
      <c r="AD595" s="19"/>
      <c r="AE595" s="19"/>
    </row>
    <row r="596" spans="1:31" ht="13.15" x14ac:dyDescent="0.4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  <c r="AA596" s="19"/>
      <c r="AB596" s="19"/>
      <c r="AC596" s="19"/>
      <c r="AD596" s="19"/>
      <c r="AE596" s="19"/>
    </row>
    <row r="597" spans="1:31" ht="13.15" x14ac:dyDescent="0.4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  <c r="AA597" s="19"/>
      <c r="AB597" s="19"/>
      <c r="AC597" s="19"/>
      <c r="AD597" s="19"/>
      <c r="AE597" s="19"/>
    </row>
    <row r="598" spans="1:31" ht="13.15" x14ac:dyDescent="0.4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  <c r="AA598" s="19"/>
      <c r="AB598" s="19"/>
      <c r="AC598" s="19"/>
      <c r="AD598" s="19"/>
      <c r="AE598" s="19"/>
    </row>
    <row r="599" spans="1:31" ht="13.15" x14ac:dyDescent="0.4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  <c r="AA599" s="19"/>
      <c r="AB599" s="19"/>
      <c r="AC599" s="19"/>
      <c r="AD599" s="19"/>
      <c r="AE599" s="19"/>
    </row>
    <row r="600" spans="1:31" ht="13.15" x14ac:dyDescent="0.4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  <c r="AA600" s="19"/>
      <c r="AB600" s="19"/>
      <c r="AC600" s="19"/>
      <c r="AD600" s="19"/>
      <c r="AE600" s="19"/>
    </row>
    <row r="601" spans="1:31" ht="13.15" x14ac:dyDescent="0.4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  <c r="AB601" s="19"/>
      <c r="AC601" s="19"/>
      <c r="AD601" s="19"/>
      <c r="AE601" s="19"/>
    </row>
    <row r="602" spans="1:31" ht="13.15" x14ac:dyDescent="0.4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  <c r="AA602" s="19"/>
      <c r="AB602" s="19"/>
      <c r="AC602" s="19"/>
      <c r="AD602" s="19"/>
      <c r="AE602" s="19"/>
    </row>
    <row r="603" spans="1:31" ht="13.15" x14ac:dyDescent="0.4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  <c r="AA603" s="19"/>
      <c r="AB603" s="19"/>
      <c r="AC603" s="19"/>
      <c r="AD603" s="19"/>
      <c r="AE603" s="19"/>
    </row>
    <row r="604" spans="1:31" ht="13.15" x14ac:dyDescent="0.4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  <c r="AA604" s="19"/>
      <c r="AB604" s="19"/>
      <c r="AC604" s="19"/>
      <c r="AD604" s="19"/>
      <c r="AE604" s="19"/>
    </row>
    <row r="605" spans="1:31" ht="13.15" x14ac:dyDescent="0.4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  <c r="AA605" s="19"/>
      <c r="AB605" s="19"/>
      <c r="AC605" s="19"/>
      <c r="AD605" s="19"/>
      <c r="AE605" s="19"/>
    </row>
    <row r="606" spans="1:31" ht="13.15" x14ac:dyDescent="0.4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  <c r="AA606" s="19"/>
      <c r="AB606" s="19"/>
      <c r="AC606" s="19"/>
      <c r="AD606" s="19"/>
      <c r="AE606" s="19"/>
    </row>
    <row r="607" spans="1:31" ht="13.15" x14ac:dyDescent="0.4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  <c r="AA607" s="19"/>
      <c r="AB607" s="19"/>
      <c r="AC607" s="19"/>
      <c r="AD607" s="19"/>
      <c r="AE607" s="19"/>
    </row>
    <row r="608" spans="1:31" ht="13.15" x14ac:dyDescent="0.4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  <c r="AB608" s="19"/>
      <c r="AC608" s="19"/>
      <c r="AD608" s="19"/>
      <c r="AE608" s="19"/>
    </row>
    <row r="609" spans="1:31" ht="13.15" x14ac:dyDescent="0.4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  <c r="AA609" s="19"/>
      <c r="AB609" s="19"/>
      <c r="AC609" s="19"/>
      <c r="AD609" s="19"/>
      <c r="AE609" s="19"/>
    </row>
    <row r="610" spans="1:31" ht="13.15" x14ac:dyDescent="0.4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  <c r="AA610" s="19"/>
      <c r="AB610" s="19"/>
      <c r="AC610" s="19"/>
      <c r="AD610" s="19"/>
      <c r="AE610" s="19"/>
    </row>
    <row r="611" spans="1:31" ht="13.15" x14ac:dyDescent="0.4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  <c r="AA611" s="19"/>
      <c r="AB611" s="19"/>
      <c r="AC611" s="19"/>
      <c r="AD611" s="19"/>
      <c r="AE611" s="19"/>
    </row>
    <row r="612" spans="1:31" ht="13.15" x14ac:dyDescent="0.4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  <c r="AA612" s="19"/>
      <c r="AB612" s="19"/>
      <c r="AC612" s="19"/>
      <c r="AD612" s="19"/>
      <c r="AE612" s="19"/>
    </row>
    <row r="613" spans="1:31" ht="13.15" x14ac:dyDescent="0.4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  <c r="AC613" s="19"/>
      <c r="AD613" s="19"/>
      <c r="AE613" s="19"/>
    </row>
    <row r="614" spans="1:31" ht="13.15" x14ac:dyDescent="0.4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  <c r="AC614" s="19"/>
      <c r="AD614" s="19"/>
      <c r="AE614" s="19"/>
    </row>
    <row r="615" spans="1:31" ht="13.15" x14ac:dyDescent="0.4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  <c r="AC615" s="19"/>
      <c r="AD615" s="19"/>
      <c r="AE615" s="19"/>
    </row>
    <row r="616" spans="1:31" ht="13.15" x14ac:dyDescent="0.4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  <c r="AC616" s="19"/>
      <c r="AD616" s="19"/>
      <c r="AE616" s="19"/>
    </row>
    <row r="617" spans="1:31" ht="13.15" x14ac:dyDescent="0.4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  <c r="AA617" s="19"/>
      <c r="AB617" s="19"/>
      <c r="AC617" s="19"/>
      <c r="AD617" s="19"/>
      <c r="AE617" s="19"/>
    </row>
    <row r="618" spans="1:31" ht="13.15" x14ac:dyDescent="0.4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  <c r="AA618" s="19"/>
      <c r="AB618" s="19"/>
      <c r="AC618" s="19"/>
      <c r="AD618" s="19"/>
      <c r="AE618" s="19"/>
    </row>
    <row r="619" spans="1:31" ht="13.15" x14ac:dyDescent="0.4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  <c r="AA619" s="19"/>
      <c r="AB619" s="19"/>
      <c r="AC619" s="19"/>
      <c r="AD619" s="19"/>
      <c r="AE619" s="19"/>
    </row>
    <row r="620" spans="1:31" ht="13.15" x14ac:dyDescent="0.4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  <c r="AB620" s="19"/>
      <c r="AC620" s="19"/>
      <c r="AD620" s="19"/>
      <c r="AE620" s="19"/>
    </row>
    <row r="621" spans="1:31" ht="13.15" x14ac:dyDescent="0.4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  <c r="AA621" s="19"/>
      <c r="AB621" s="19"/>
      <c r="AC621" s="19"/>
      <c r="AD621" s="19"/>
      <c r="AE621" s="19"/>
    </row>
    <row r="622" spans="1:31" ht="13.15" x14ac:dyDescent="0.4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  <c r="AA622" s="19"/>
      <c r="AB622" s="19"/>
      <c r="AC622" s="19"/>
      <c r="AD622" s="19"/>
      <c r="AE622" s="19"/>
    </row>
    <row r="623" spans="1:31" ht="13.15" x14ac:dyDescent="0.4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  <c r="AA623" s="19"/>
      <c r="AB623" s="19"/>
      <c r="AC623" s="19"/>
      <c r="AD623" s="19"/>
      <c r="AE623" s="19"/>
    </row>
    <row r="624" spans="1:31" ht="13.15" x14ac:dyDescent="0.4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  <c r="AA624" s="19"/>
      <c r="AB624" s="19"/>
      <c r="AC624" s="19"/>
      <c r="AD624" s="19"/>
      <c r="AE624" s="19"/>
    </row>
    <row r="625" spans="1:31" ht="13.15" x14ac:dyDescent="0.4">
      <c r="A625" s="19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  <c r="AA625" s="19"/>
      <c r="AB625" s="19"/>
      <c r="AC625" s="19"/>
      <c r="AD625" s="19"/>
      <c r="AE625" s="19"/>
    </row>
    <row r="626" spans="1:31" ht="13.15" x14ac:dyDescent="0.4">
      <c r="A626" s="19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  <c r="AA626" s="19"/>
      <c r="AB626" s="19"/>
      <c r="AC626" s="19"/>
      <c r="AD626" s="19"/>
      <c r="AE626" s="19"/>
    </row>
    <row r="627" spans="1:31" ht="13.15" x14ac:dyDescent="0.4">
      <c r="A627" s="19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  <c r="AA627" s="19"/>
      <c r="AB627" s="19"/>
      <c r="AC627" s="19"/>
      <c r="AD627" s="19"/>
      <c r="AE627" s="19"/>
    </row>
    <row r="628" spans="1:31" ht="13.15" x14ac:dyDescent="0.4">
      <c r="A628" s="19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  <c r="AA628" s="19"/>
      <c r="AB628" s="19"/>
      <c r="AC628" s="19"/>
      <c r="AD628" s="19"/>
      <c r="AE628" s="19"/>
    </row>
    <row r="629" spans="1:31" ht="13.15" x14ac:dyDescent="0.4">
      <c r="A629" s="19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  <c r="AA629" s="19"/>
      <c r="AB629" s="19"/>
      <c r="AC629" s="19"/>
      <c r="AD629" s="19"/>
      <c r="AE629" s="19"/>
    </row>
    <row r="630" spans="1:31" ht="13.15" x14ac:dyDescent="0.4">
      <c r="A630" s="19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  <c r="AA630" s="19"/>
      <c r="AB630" s="19"/>
      <c r="AC630" s="19"/>
      <c r="AD630" s="19"/>
      <c r="AE630" s="19"/>
    </row>
    <row r="631" spans="1:31" ht="13.15" x14ac:dyDescent="0.4">
      <c r="A631" s="19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  <c r="AC631" s="19"/>
      <c r="AD631" s="19"/>
      <c r="AE631" s="19"/>
    </row>
    <row r="632" spans="1:31" ht="13.15" x14ac:dyDescent="0.4">
      <c r="A632" s="19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  <c r="AA632" s="19"/>
      <c r="AB632" s="19"/>
      <c r="AC632" s="19"/>
      <c r="AD632" s="19"/>
      <c r="AE632" s="19"/>
    </row>
    <row r="633" spans="1:31" ht="13.15" x14ac:dyDescent="0.4">
      <c r="A633" s="19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  <c r="AA633" s="19"/>
      <c r="AB633" s="19"/>
      <c r="AC633" s="19"/>
      <c r="AD633" s="19"/>
      <c r="AE633" s="19"/>
    </row>
    <row r="634" spans="1:31" ht="13.15" x14ac:dyDescent="0.4">
      <c r="A634" s="19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  <c r="AA634" s="19"/>
      <c r="AB634" s="19"/>
      <c r="AC634" s="19"/>
      <c r="AD634" s="19"/>
      <c r="AE634" s="19"/>
    </row>
    <row r="635" spans="1:31" ht="13.15" x14ac:dyDescent="0.4">
      <c r="A635" s="19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  <c r="AA635" s="19"/>
      <c r="AB635" s="19"/>
      <c r="AC635" s="19"/>
      <c r="AD635" s="19"/>
      <c r="AE635" s="19"/>
    </row>
    <row r="636" spans="1:31" ht="13.15" x14ac:dyDescent="0.4">
      <c r="A636" s="19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  <c r="AA636" s="19"/>
      <c r="AB636" s="19"/>
      <c r="AC636" s="19"/>
      <c r="AD636" s="19"/>
      <c r="AE636" s="19"/>
    </row>
    <row r="637" spans="1:31" ht="13.15" x14ac:dyDescent="0.4">
      <c r="A637" s="19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  <c r="AA637" s="19"/>
      <c r="AB637" s="19"/>
      <c r="AC637" s="19"/>
      <c r="AD637" s="19"/>
      <c r="AE637" s="19"/>
    </row>
    <row r="638" spans="1:31" ht="13.15" x14ac:dyDescent="0.4">
      <c r="A638" s="19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  <c r="AA638" s="19"/>
      <c r="AB638" s="19"/>
      <c r="AC638" s="19"/>
      <c r="AD638" s="19"/>
      <c r="AE638" s="19"/>
    </row>
    <row r="639" spans="1:31" ht="13.15" x14ac:dyDescent="0.4">
      <c r="A639" s="19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  <c r="AA639" s="19"/>
      <c r="AB639" s="19"/>
      <c r="AC639" s="19"/>
      <c r="AD639" s="19"/>
      <c r="AE639" s="19"/>
    </row>
    <row r="640" spans="1:31" ht="13.15" x14ac:dyDescent="0.4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  <c r="AA640" s="19"/>
      <c r="AB640" s="19"/>
      <c r="AC640" s="19"/>
      <c r="AD640" s="19"/>
      <c r="AE640" s="19"/>
    </row>
    <row r="641" spans="1:31" ht="13.15" x14ac:dyDescent="0.4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  <c r="AA641" s="19"/>
      <c r="AB641" s="19"/>
      <c r="AC641" s="19"/>
      <c r="AD641" s="19"/>
      <c r="AE641" s="19"/>
    </row>
    <row r="642" spans="1:31" ht="13.15" x14ac:dyDescent="0.4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  <c r="AA642" s="19"/>
      <c r="AB642" s="19"/>
      <c r="AC642" s="19"/>
      <c r="AD642" s="19"/>
      <c r="AE642" s="19"/>
    </row>
    <row r="643" spans="1:31" ht="13.15" x14ac:dyDescent="0.4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  <c r="AA643" s="19"/>
      <c r="AB643" s="19"/>
      <c r="AC643" s="19"/>
      <c r="AD643" s="19"/>
      <c r="AE643" s="19"/>
    </row>
    <row r="644" spans="1:31" ht="13.15" x14ac:dyDescent="0.4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  <c r="AA644" s="19"/>
      <c r="AB644" s="19"/>
      <c r="AC644" s="19"/>
      <c r="AD644" s="19"/>
      <c r="AE644" s="19"/>
    </row>
    <row r="645" spans="1:31" ht="13.15" x14ac:dyDescent="0.4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  <c r="AA645" s="19"/>
      <c r="AB645" s="19"/>
      <c r="AC645" s="19"/>
      <c r="AD645" s="19"/>
      <c r="AE645" s="19"/>
    </row>
    <row r="646" spans="1:31" ht="13.15" x14ac:dyDescent="0.4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  <c r="AB646" s="19"/>
      <c r="AC646" s="19"/>
      <c r="AD646" s="19"/>
      <c r="AE646" s="19"/>
    </row>
    <row r="647" spans="1:31" ht="13.15" x14ac:dyDescent="0.4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  <c r="AA647" s="19"/>
      <c r="AB647" s="19"/>
      <c r="AC647" s="19"/>
      <c r="AD647" s="19"/>
      <c r="AE647" s="19"/>
    </row>
    <row r="648" spans="1:31" ht="13.15" x14ac:dyDescent="0.4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  <c r="AA648" s="19"/>
      <c r="AB648" s="19"/>
      <c r="AC648" s="19"/>
      <c r="AD648" s="19"/>
      <c r="AE648" s="19"/>
    </row>
    <row r="649" spans="1:31" ht="13.15" x14ac:dyDescent="0.4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  <c r="AA649" s="19"/>
      <c r="AB649" s="19"/>
      <c r="AC649" s="19"/>
      <c r="AD649" s="19"/>
      <c r="AE649" s="19"/>
    </row>
    <row r="650" spans="1:31" ht="13.15" x14ac:dyDescent="0.4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  <c r="AA650" s="19"/>
      <c r="AB650" s="19"/>
      <c r="AC650" s="19"/>
      <c r="AD650" s="19"/>
      <c r="AE650" s="19"/>
    </row>
    <row r="651" spans="1:31" ht="13.15" x14ac:dyDescent="0.4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  <c r="AA651" s="19"/>
      <c r="AB651" s="19"/>
      <c r="AC651" s="19"/>
      <c r="AD651" s="19"/>
      <c r="AE651" s="19"/>
    </row>
    <row r="652" spans="1:31" ht="13.15" x14ac:dyDescent="0.4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  <c r="AA652" s="19"/>
      <c r="AB652" s="19"/>
      <c r="AC652" s="19"/>
      <c r="AD652" s="19"/>
      <c r="AE652" s="19"/>
    </row>
    <row r="653" spans="1:31" ht="13.15" x14ac:dyDescent="0.4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  <c r="AA653" s="19"/>
      <c r="AB653" s="19"/>
      <c r="AC653" s="19"/>
      <c r="AD653" s="19"/>
      <c r="AE653" s="19"/>
    </row>
    <row r="654" spans="1:31" ht="13.15" x14ac:dyDescent="0.4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  <c r="AA654" s="19"/>
      <c r="AB654" s="19"/>
      <c r="AC654" s="19"/>
      <c r="AD654" s="19"/>
      <c r="AE654" s="19"/>
    </row>
    <row r="655" spans="1:31" ht="13.15" x14ac:dyDescent="0.4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  <c r="AA655" s="19"/>
      <c r="AB655" s="19"/>
      <c r="AC655" s="19"/>
      <c r="AD655" s="19"/>
      <c r="AE655" s="19"/>
    </row>
    <row r="656" spans="1:31" ht="13.15" x14ac:dyDescent="0.4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  <c r="AA656" s="19"/>
      <c r="AB656" s="19"/>
      <c r="AC656" s="19"/>
      <c r="AD656" s="19"/>
      <c r="AE656" s="19"/>
    </row>
    <row r="657" spans="1:31" ht="13.15" x14ac:dyDescent="0.4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  <c r="AA657" s="19"/>
      <c r="AB657" s="19"/>
      <c r="AC657" s="19"/>
      <c r="AD657" s="19"/>
      <c r="AE657" s="19"/>
    </row>
    <row r="658" spans="1:31" ht="13.15" x14ac:dyDescent="0.4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  <c r="AA658" s="19"/>
      <c r="AB658" s="19"/>
      <c r="AC658" s="19"/>
      <c r="AD658" s="19"/>
      <c r="AE658" s="19"/>
    </row>
    <row r="659" spans="1:31" ht="13.15" x14ac:dyDescent="0.4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  <c r="AA659" s="19"/>
      <c r="AB659" s="19"/>
      <c r="AC659" s="19"/>
      <c r="AD659" s="19"/>
      <c r="AE659" s="19"/>
    </row>
    <row r="660" spans="1:31" ht="13.15" x14ac:dyDescent="0.4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  <c r="AA660" s="19"/>
      <c r="AB660" s="19"/>
      <c r="AC660" s="19"/>
      <c r="AD660" s="19"/>
      <c r="AE660" s="19"/>
    </row>
    <row r="661" spans="1:31" ht="13.15" x14ac:dyDescent="0.4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  <c r="AA661" s="19"/>
      <c r="AB661" s="19"/>
      <c r="AC661" s="19"/>
      <c r="AD661" s="19"/>
      <c r="AE661" s="19"/>
    </row>
    <row r="662" spans="1:31" ht="13.15" x14ac:dyDescent="0.4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  <c r="AA662" s="19"/>
      <c r="AB662" s="19"/>
      <c r="AC662" s="19"/>
      <c r="AD662" s="19"/>
      <c r="AE662" s="19"/>
    </row>
    <row r="663" spans="1:31" ht="13.15" x14ac:dyDescent="0.4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  <c r="AA663" s="19"/>
      <c r="AB663" s="19"/>
      <c r="AC663" s="19"/>
      <c r="AD663" s="19"/>
      <c r="AE663" s="19"/>
    </row>
    <row r="664" spans="1:31" ht="13.15" x14ac:dyDescent="0.4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  <c r="AA664" s="19"/>
      <c r="AB664" s="19"/>
      <c r="AC664" s="19"/>
      <c r="AD664" s="19"/>
      <c r="AE664" s="19"/>
    </row>
    <row r="665" spans="1:31" ht="13.15" x14ac:dyDescent="0.4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  <c r="AA665" s="19"/>
      <c r="AB665" s="19"/>
      <c r="AC665" s="19"/>
      <c r="AD665" s="19"/>
      <c r="AE665" s="19"/>
    </row>
    <row r="666" spans="1:31" ht="13.15" x14ac:dyDescent="0.4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  <c r="AA666" s="19"/>
      <c r="AB666" s="19"/>
      <c r="AC666" s="19"/>
      <c r="AD666" s="19"/>
      <c r="AE666" s="19"/>
    </row>
    <row r="667" spans="1:31" ht="13.15" x14ac:dyDescent="0.4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  <c r="AA667" s="19"/>
      <c r="AB667" s="19"/>
      <c r="AC667" s="19"/>
      <c r="AD667" s="19"/>
      <c r="AE667" s="19"/>
    </row>
    <row r="668" spans="1:31" ht="13.15" x14ac:dyDescent="0.4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  <c r="AA668" s="19"/>
      <c r="AB668" s="19"/>
      <c r="AC668" s="19"/>
      <c r="AD668" s="19"/>
      <c r="AE668" s="19"/>
    </row>
    <row r="669" spans="1:31" ht="13.15" x14ac:dyDescent="0.4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  <c r="AA669" s="19"/>
      <c r="AB669" s="19"/>
      <c r="AC669" s="19"/>
      <c r="AD669" s="19"/>
      <c r="AE669" s="19"/>
    </row>
    <row r="670" spans="1:31" ht="13.15" x14ac:dyDescent="0.4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  <c r="AA670" s="19"/>
      <c r="AB670" s="19"/>
      <c r="AC670" s="19"/>
      <c r="AD670" s="19"/>
      <c r="AE670" s="19"/>
    </row>
    <row r="671" spans="1:31" ht="13.15" x14ac:dyDescent="0.4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  <c r="AA671" s="19"/>
      <c r="AB671" s="19"/>
      <c r="AC671" s="19"/>
      <c r="AD671" s="19"/>
      <c r="AE671" s="19"/>
    </row>
    <row r="672" spans="1:31" ht="13.15" x14ac:dyDescent="0.4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  <c r="AA672" s="19"/>
      <c r="AB672" s="19"/>
      <c r="AC672" s="19"/>
      <c r="AD672" s="19"/>
      <c r="AE672" s="19"/>
    </row>
    <row r="673" spans="1:31" ht="13.15" x14ac:dyDescent="0.4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  <c r="AA673" s="19"/>
      <c r="AB673" s="19"/>
      <c r="AC673" s="19"/>
      <c r="AD673" s="19"/>
      <c r="AE673" s="19"/>
    </row>
    <row r="674" spans="1:31" ht="13.15" x14ac:dyDescent="0.4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  <c r="AA674" s="19"/>
      <c r="AB674" s="19"/>
      <c r="AC674" s="19"/>
      <c r="AD674" s="19"/>
      <c r="AE674" s="19"/>
    </row>
    <row r="675" spans="1:31" ht="13.15" x14ac:dyDescent="0.4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  <c r="AA675" s="19"/>
      <c r="AB675" s="19"/>
      <c r="AC675" s="19"/>
      <c r="AD675" s="19"/>
      <c r="AE675" s="19"/>
    </row>
    <row r="676" spans="1:31" ht="13.15" x14ac:dyDescent="0.4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  <c r="AA676" s="19"/>
      <c r="AB676" s="19"/>
      <c r="AC676" s="19"/>
      <c r="AD676" s="19"/>
      <c r="AE676" s="19"/>
    </row>
    <row r="677" spans="1:31" ht="13.15" x14ac:dyDescent="0.4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  <c r="AA677" s="19"/>
      <c r="AB677" s="19"/>
      <c r="AC677" s="19"/>
      <c r="AD677" s="19"/>
      <c r="AE677" s="19"/>
    </row>
    <row r="678" spans="1:31" ht="13.15" x14ac:dyDescent="0.4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  <c r="AA678" s="19"/>
      <c r="AB678" s="19"/>
      <c r="AC678" s="19"/>
      <c r="AD678" s="19"/>
      <c r="AE678" s="19"/>
    </row>
    <row r="679" spans="1:31" ht="13.15" x14ac:dyDescent="0.4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A679" s="19"/>
      <c r="AB679" s="19"/>
      <c r="AC679" s="19"/>
      <c r="AD679" s="19"/>
      <c r="AE679" s="19"/>
    </row>
    <row r="680" spans="1:31" ht="13.15" x14ac:dyDescent="0.4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  <c r="AA680" s="19"/>
      <c r="AB680" s="19"/>
      <c r="AC680" s="19"/>
      <c r="AD680" s="19"/>
      <c r="AE680" s="19"/>
    </row>
    <row r="681" spans="1:31" ht="13.15" x14ac:dyDescent="0.4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  <c r="AA681" s="19"/>
      <c r="AB681" s="19"/>
      <c r="AC681" s="19"/>
      <c r="AD681" s="19"/>
      <c r="AE681" s="19"/>
    </row>
    <row r="682" spans="1:31" ht="13.15" x14ac:dyDescent="0.4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  <c r="AA682" s="19"/>
      <c r="AB682" s="19"/>
      <c r="AC682" s="19"/>
      <c r="AD682" s="19"/>
      <c r="AE682" s="19"/>
    </row>
    <row r="683" spans="1:31" ht="13.15" x14ac:dyDescent="0.4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  <c r="AA683" s="19"/>
      <c r="AB683" s="19"/>
      <c r="AC683" s="19"/>
      <c r="AD683" s="19"/>
      <c r="AE683" s="19"/>
    </row>
    <row r="684" spans="1:31" ht="13.15" x14ac:dyDescent="0.4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  <c r="AA684" s="19"/>
      <c r="AB684" s="19"/>
      <c r="AC684" s="19"/>
      <c r="AD684" s="19"/>
      <c r="AE684" s="19"/>
    </row>
    <row r="685" spans="1:31" ht="13.15" x14ac:dyDescent="0.4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  <c r="AA685" s="19"/>
      <c r="AB685" s="19"/>
      <c r="AC685" s="19"/>
      <c r="AD685" s="19"/>
      <c r="AE685" s="19"/>
    </row>
    <row r="686" spans="1:31" ht="13.15" x14ac:dyDescent="0.4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  <c r="AA686" s="19"/>
      <c r="AB686" s="19"/>
      <c r="AC686" s="19"/>
      <c r="AD686" s="19"/>
      <c r="AE686" s="19"/>
    </row>
    <row r="687" spans="1:31" ht="13.15" x14ac:dyDescent="0.4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  <c r="AA687" s="19"/>
      <c r="AB687" s="19"/>
      <c r="AC687" s="19"/>
      <c r="AD687" s="19"/>
      <c r="AE687" s="19"/>
    </row>
    <row r="688" spans="1:31" ht="13.15" x14ac:dyDescent="0.4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  <c r="AA688" s="19"/>
      <c r="AB688" s="19"/>
      <c r="AC688" s="19"/>
      <c r="AD688" s="19"/>
      <c r="AE688" s="19"/>
    </row>
    <row r="689" spans="1:31" ht="13.15" x14ac:dyDescent="0.4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  <c r="AA689" s="19"/>
      <c r="AB689" s="19"/>
      <c r="AC689" s="19"/>
      <c r="AD689" s="19"/>
      <c r="AE689" s="19"/>
    </row>
    <row r="690" spans="1:31" ht="13.15" x14ac:dyDescent="0.4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  <c r="AA690" s="19"/>
      <c r="AB690" s="19"/>
      <c r="AC690" s="19"/>
      <c r="AD690" s="19"/>
      <c r="AE690" s="19"/>
    </row>
    <row r="691" spans="1:31" ht="13.15" x14ac:dyDescent="0.4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  <c r="AA691" s="19"/>
      <c r="AB691" s="19"/>
      <c r="AC691" s="19"/>
      <c r="AD691" s="19"/>
      <c r="AE691" s="19"/>
    </row>
    <row r="692" spans="1:31" ht="13.15" x14ac:dyDescent="0.4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  <c r="AA692" s="19"/>
      <c r="AB692" s="19"/>
      <c r="AC692" s="19"/>
      <c r="AD692" s="19"/>
      <c r="AE692" s="19"/>
    </row>
    <row r="693" spans="1:31" ht="13.15" x14ac:dyDescent="0.4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  <c r="AA693" s="19"/>
      <c r="AB693" s="19"/>
      <c r="AC693" s="19"/>
      <c r="AD693" s="19"/>
      <c r="AE693" s="19"/>
    </row>
    <row r="694" spans="1:31" ht="13.15" x14ac:dyDescent="0.4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  <c r="AA694" s="19"/>
      <c r="AB694" s="19"/>
      <c r="AC694" s="19"/>
      <c r="AD694" s="19"/>
      <c r="AE694" s="19"/>
    </row>
    <row r="695" spans="1:31" ht="13.15" x14ac:dyDescent="0.4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  <c r="AA695" s="19"/>
      <c r="AB695" s="19"/>
      <c r="AC695" s="19"/>
      <c r="AD695" s="19"/>
      <c r="AE695" s="19"/>
    </row>
    <row r="696" spans="1:31" ht="13.15" x14ac:dyDescent="0.4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  <c r="AA696" s="19"/>
      <c r="AB696" s="19"/>
      <c r="AC696" s="19"/>
      <c r="AD696" s="19"/>
      <c r="AE696" s="19"/>
    </row>
    <row r="697" spans="1:31" ht="13.15" x14ac:dyDescent="0.4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  <c r="AA697" s="19"/>
      <c r="AB697" s="19"/>
      <c r="AC697" s="19"/>
      <c r="AD697" s="19"/>
      <c r="AE697" s="19"/>
    </row>
    <row r="698" spans="1:31" ht="13.15" x14ac:dyDescent="0.4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  <c r="AA698" s="19"/>
      <c r="AB698" s="19"/>
      <c r="AC698" s="19"/>
      <c r="AD698" s="19"/>
      <c r="AE698" s="19"/>
    </row>
    <row r="699" spans="1:31" ht="13.15" x14ac:dyDescent="0.4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  <c r="AA699" s="19"/>
      <c r="AB699" s="19"/>
      <c r="AC699" s="19"/>
      <c r="AD699" s="19"/>
      <c r="AE699" s="19"/>
    </row>
    <row r="700" spans="1:31" ht="13.15" x14ac:dyDescent="0.4">
      <c r="A700" s="19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  <c r="AA700" s="19"/>
      <c r="AB700" s="19"/>
      <c r="AC700" s="19"/>
      <c r="AD700" s="19"/>
      <c r="AE700" s="19"/>
    </row>
    <row r="701" spans="1:31" ht="13.15" x14ac:dyDescent="0.4">
      <c r="A701" s="19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  <c r="AA701" s="19"/>
      <c r="AB701" s="19"/>
      <c r="AC701" s="19"/>
      <c r="AD701" s="19"/>
      <c r="AE701" s="19"/>
    </row>
    <row r="702" spans="1:31" ht="13.15" x14ac:dyDescent="0.4">
      <c r="A702" s="19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  <c r="AA702" s="19"/>
      <c r="AB702" s="19"/>
      <c r="AC702" s="19"/>
      <c r="AD702" s="19"/>
      <c r="AE702" s="19"/>
    </row>
    <row r="703" spans="1:31" ht="13.15" x14ac:dyDescent="0.4">
      <c r="A703" s="19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  <c r="AA703" s="19"/>
      <c r="AB703" s="19"/>
      <c r="AC703" s="19"/>
      <c r="AD703" s="19"/>
      <c r="AE703" s="19"/>
    </row>
    <row r="704" spans="1:31" ht="13.15" x14ac:dyDescent="0.4">
      <c r="A704" s="19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  <c r="AA704" s="19"/>
      <c r="AB704" s="19"/>
      <c r="AC704" s="19"/>
      <c r="AD704" s="19"/>
      <c r="AE704" s="19"/>
    </row>
    <row r="705" spans="1:31" ht="13.15" x14ac:dyDescent="0.4">
      <c r="A705" s="19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  <c r="AA705" s="19"/>
      <c r="AB705" s="19"/>
      <c r="AC705" s="19"/>
      <c r="AD705" s="19"/>
      <c r="AE705" s="19"/>
    </row>
    <row r="706" spans="1:31" ht="13.15" x14ac:dyDescent="0.4">
      <c r="A706" s="19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A706" s="19"/>
      <c r="AB706" s="19"/>
      <c r="AC706" s="19"/>
      <c r="AD706" s="19"/>
      <c r="AE706" s="19"/>
    </row>
    <row r="707" spans="1:31" ht="13.15" x14ac:dyDescent="0.4">
      <c r="A707" s="19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  <c r="AA707" s="19"/>
      <c r="AB707" s="19"/>
      <c r="AC707" s="19"/>
      <c r="AD707" s="19"/>
      <c r="AE707" s="19"/>
    </row>
    <row r="708" spans="1:31" ht="13.15" x14ac:dyDescent="0.4">
      <c r="A708" s="19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  <c r="AA708" s="19"/>
      <c r="AB708" s="19"/>
      <c r="AC708" s="19"/>
      <c r="AD708" s="19"/>
      <c r="AE708" s="19"/>
    </row>
    <row r="709" spans="1:31" ht="13.15" x14ac:dyDescent="0.4">
      <c r="A709" s="19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  <c r="AA709" s="19"/>
      <c r="AB709" s="19"/>
      <c r="AC709" s="19"/>
      <c r="AD709" s="19"/>
      <c r="AE709" s="19"/>
    </row>
    <row r="710" spans="1:31" ht="13.15" x14ac:dyDescent="0.4">
      <c r="A710" s="19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  <c r="AA710" s="19"/>
      <c r="AB710" s="19"/>
      <c r="AC710" s="19"/>
      <c r="AD710" s="19"/>
      <c r="AE710" s="19"/>
    </row>
    <row r="711" spans="1:31" ht="13.15" x14ac:dyDescent="0.4">
      <c r="A711" s="19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  <c r="AB711" s="19"/>
      <c r="AC711" s="19"/>
      <c r="AD711" s="19"/>
      <c r="AE711" s="19"/>
    </row>
    <row r="712" spans="1:31" ht="13.15" x14ac:dyDescent="0.4">
      <c r="A712" s="19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  <c r="AA712" s="19"/>
      <c r="AB712" s="19"/>
      <c r="AC712" s="19"/>
      <c r="AD712" s="19"/>
      <c r="AE712" s="19"/>
    </row>
    <row r="713" spans="1:31" ht="13.15" x14ac:dyDescent="0.4">
      <c r="A713" s="19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  <c r="AA713" s="19"/>
      <c r="AB713" s="19"/>
      <c r="AC713" s="19"/>
      <c r="AD713" s="19"/>
      <c r="AE713" s="19"/>
    </row>
    <row r="714" spans="1:31" ht="13.15" x14ac:dyDescent="0.4">
      <c r="A714" s="19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  <c r="AA714" s="19"/>
      <c r="AB714" s="19"/>
      <c r="AC714" s="19"/>
      <c r="AD714" s="19"/>
      <c r="AE714" s="19"/>
    </row>
    <row r="715" spans="1:31" ht="13.15" x14ac:dyDescent="0.4">
      <c r="A715" s="19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  <c r="AA715" s="19"/>
      <c r="AB715" s="19"/>
      <c r="AC715" s="19"/>
      <c r="AD715" s="19"/>
      <c r="AE715" s="19"/>
    </row>
    <row r="716" spans="1:31" ht="13.15" x14ac:dyDescent="0.4">
      <c r="A716" s="19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  <c r="AA716" s="19"/>
      <c r="AB716" s="19"/>
      <c r="AC716" s="19"/>
      <c r="AD716" s="19"/>
      <c r="AE716" s="19"/>
    </row>
    <row r="717" spans="1:31" ht="13.15" x14ac:dyDescent="0.4">
      <c r="A717" s="19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  <c r="AA717" s="19"/>
      <c r="AB717" s="19"/>
      <c r="AC717" s="19"/>
      <c r="AD717" s="19"/>
      <c r="AE717" s="19"/>
    </row>
    <row r="718" spans="1:31" ht="13.15" x14ac:dyDescent="0.4">
      <c r="A718" s="19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  <c r="AA718" s="19"/>
      <c r="AB718" s="19"/>
      <c r="AC718" s="19"/>
      <c r="AD718" s="19"/>
      <c r="AE718" s="19"/>
    </row>
    <row r="719" spans="1:31" ht="13.15" x14ac:dyDescent="0.4">
      <c r="A719" s="19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  <c r="AA719" s="19"/>
      <c r="AB719" s="19"/>
      <c r="AC719" s="19"/>
      <c r="AD719" s="19"/>
      <c r="AE719" s="19"/>
    </row>
    <row r="720" spans="1:31" ht="13.15" x14ac:dyDescent="0.4">
      <c r="A720" s="19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  <c r="AA720" s="19"/>
      <c r="AB720" s="19"/>
      <c r="AC720" s="19"/>
      <c r="AD720" s="19"/>
      <c r="AE720" s="19"/>
    </row>
    <row r="721" spans="1:31" ht="13.15" x14ac:dyDescent="0.4">
      <c r="A721" s="19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  <c r="AA721" s="19"/>
      <c r="AB721" s="19"/>
      <c r="AC721" s="19"/>
      <c r="AD721" s="19"/>
      <c r="AE721" s="19"/>
    </row>
    <row r="722" spans="1:31" ht="13.15" x14ac:dyDescent="0.4">
      <c r="A722" s="19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  <c r="AA722" s="19"/>
      <c r="AB722" s="19"/>
      <c r="AC722" s="19"/>
      <c r="AD722" s="19"/>
      <c r="AE722" s="19"/>
    </row>
    <row r="723" spans="1:31" ht="13.15" x14ac:dyDescent="0.4">
      <c r="A723" s="19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  <c r="AA723" s="19"/>
      <c r="AB723" s="19"/>
      <c r="AC723" s="19"/>
      <c r="AD723" s="19"/>
      <c r="AE723" s="19"/>
    </row>
    <row r="724" spans="1:31" ht="13.15" x14ac:dyDescent="0.4">
      <c r="A724" s="19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  <c r="AA724" s="19"/>
      <c r="AB724" s="19"/>
      <c r="AC724" s="19"/>
      <c r="AD724" s="19"/>
      <c r="AE724" s="19"/>
    </row>
    <row r="725" spans="1:31" ht="13.15" x14ac:dyDescent="0.4">
      <c r="A725" s="19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  <c r="AA725" s="19"/>
      <c r="AB725" s="19"/>
      <c r="AC725" s="19"/>
      <c r="AD725" s="19"/>
      <c r="AE725" s="19"/>
    </row>
    <row r="726" spans="1:31" ht="13.15" x14ac:dyDescent="0.4">
      <c r="A726" s="19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  <c r="AA726" s="19"/>
      <c r="AB726" s="19"/>
      <c r="AC726" s="19"/>
      <c r="AD726" s="19"/>
      <c r="AE726" s="19"/>
    </row>
    <row r="727" spans="1:31" ht="13.15" x14ac:dyDescent="0.4">
      <c r="A727" s="19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  <c r="AA727" s="19"/>
      <c r="AB727" s="19"/>
      <c r="AC727" s="19"/>
      <c r="AD727" s="19"/>
      <c r="AE727" s="19"/>
    </row>
    <row r="728" spans="1:31" ht="13.15" x14ac:dyDescent="0.4">
      <c r="A728" s="19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  <c r="AB728" s="19"/>
      <c r="AC728" s="19"/>
      <c r="AD728" s="19"/>
      <c r="AE728" s="19"/>
    </row>
    <row r="729" spans="1:31" ht="13.15" x14ac:dyDescent="0.4">
      <c r="A729" s="19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A729" s="19"/>
      <c r="AB729" s="19"/>
      <c r="AC729" s="19"/>
      <c r="AD729" s="19"/>
      <c r="AE729" s="19"/>
    </row>
    <row r="730" spans="1:31" ht="13.15" x14ac:dyDescent="0.4">
      <c r="A730" s="19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  <c r="AA730" s="19"/>
      <c r="AB730" s="19"/>
      <c r="AC730" s="19"/>
      <c r="AD730" s="19"/>
      <c r="AE730" s="19"/>
    </row>
    <row r="731" spans="1:31" ht="13.15" x14ac:dyDescent="0.4">
      <c r="A731" s="19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  <c r="AA731" s="19"/>
      <c r="AB731" s="19"/>
      <c r="AC731" s="19"/>
      <c r="AD731" s="19"/>
      <c r="AE731" s="19"/>
    </row>
    <row r="732" spans="1:31" ht="13.15" x14ac:dyDescent="0.4">
      <c r="A732" s="19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  <c r="AA732" s="19"/>
      <c r="AB732" s="19"/>
      <c r="AC732" s="19"/>
      <c r="AD732" s="19"/>
      <c r="AE732" s="19"/>
    </row>
    <row r="733" spans="1:31" ht="13.15" x14ac:dyDescent="0.4">
      <c r="A733" s="19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  <c r="AA733" s="19"/>
      <c r="AB733" s="19"/>
      <c r="AC733" s="19"/>
      <c r="AD733" s="19"/>
      <c r="AE733" s="19"/>
    </row>
    <row r="734" spans="1:31" ht="13.15" x14ac:dyDescent="0.4">
      <c r="A734" s="19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  <c r="AA734" s="19"/>
      <c r="AB734" s="19"/>
      <c r="AC734" s="19"/>
      <c r="AD734" s="19"/>
      <c r="AE734" s="19"/>
    </row>
    <row r="735" spans="1:31" ht="13.15" x14ac:dyDescent="0.4">
      <c r="A735" s="19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  <c r="AA735" s="19"/>
      <c r="AB735" s="19"/>
      <c r="AC735" s="19"/>
      <c r="AD735" s="19"/>
      <c r="AE735" s="19"/>
    </row>
    <row r="736" spans="1:31" ht="13.15" x14ac:dyDescent="0.4">
      <c r="A736" s="19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  <c r="AA736" s="19"/>
      <c r="AB736" s="19"/>
      <c r="AC736" s="19"/>
      <c r="AD736" s="19"/>
      <c r="AE736" s="19"/>
    </row>
    <row r="737" spans="1:31" ht="13.15" x14ac:dyDescent="0.4">
      <c r="A737" s="19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  <c r="AA737" s="19"/>
      <c r="AB737" s="19"/>
      <c r="AC737" s="19"/>
      <c r="AD737" s="19"/>
      <c r="AE737" s="19"/>
    </row>
    <row r="738" spans="1:31" ht="13.15" x14ac:dyDescent="0.4">
      <c r="A738" s="19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  <c r="AA738" s="19"/>
      <c r="AB738" s="19"/>
      <c r="AC738" s="19"/>
      <c r="AD738" s="19"/>
      <c r="AE738" s="19"/>
    </row>
    <row r="739" spans="1:31" ht="13.15" x14ac:dyDescent="0.4">
      <c r="A739" s="19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  <c r="AA739" s="19"/>
      <c r="AB739" s="19"/>
      <c r="AC739" s="19"/>
      <c r="AD739" s="19"/>
      <c r="AE739" s="19"/>
    </row>
    <row r="740" spans="1:31" ht="13.15" x14ac:dyDescent="0.4">
      <c r="A740" s="19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  <c r="AA740" s="19"/>
      <c r="AB740" s="19"/>
      <c r="AC740" s="19"/>
      <c r="AD740" s="19"/>
      <c r="AE740" s="19"/>
    </row>
    <row r="741" spans="1:31" ht="13.15" x14ac:dyDescent="0.4">
      <c r="A741" s="19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  <c r="AA741" s="19"/>
      <c r="AB741" s="19"/>
      <c r="AC741" s="19"/>
      <c r="AD741" s="19"/>
      <c r="AE741" s="19"/>
    </row>
    <row r="742" spans="1:31" ht="13.15" x14ac:dyDescent="0.4">
      <c r="A742" s="19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  <c r="AA742" s="19"/>
      <c r="AB742" s="19"/>
      <c r="AC742" s="19"/>
      <c r="AD742" s="19"/>
      <c r="AE742" s="19"/>
    </row>
    <row r="743" spans="1:31" ht="13.15" x14ac:dyDescent="0.4">
      <c r="A743" s="19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  <c r="AA743" s="19"/>
      <c r="AB743" s="19"/>
      <c r="AC743" s="19"/>
      <c r="AD743" s="19"/>
      <c r="AE743" s="19"/>
    </row>
    <row r="744" spans="1:31" ht="13.15" x14ac:dyDescent="0.4">
      <c r="A744" s="19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  <c r="AA744" s="19"/>
      <c r="AB744" s="19"/>
      <c r="AC744" s="19"/>
      <c r="AD744" s="19"/>
      <c r="AE744" s="19"/>
    </row>
    <row r="745" spans="1:31" ht="13.15" x14ac:dyDescent="0.4">
      <c r="A745" s="19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  <c r="AA745" s="19"/>
      <c r="AB745" s="19"/>
      <c r="AC745" s="19"/>
      <c r="AD745" s="19"/>
      <c r="AE745" s="19"/>
    </row>
    <row r="746" spans="1:31" ht="13.15" x14ac:dyDescent="0.4">
      <c r="A746" s="19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  <c r="AA746" s="19"/>
      <c r="AB746" s="19"/>
      <c r="AC746" s="19"/>
      <c r="AD746" s="19"/>
      <c r="AE746" s="19"/>
    </row>
    <row r="747" spans="1:31" ht="13.15" x14ac:dyDescent="0.4">
      <c r="A747" s="19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  <c r="AA747" s="19"/>
      <c r="AB747" s="19"/>
      <c r="AC747" s="19"/>
      <c r="AD747" s="19"/>
      <c r="AE747" s="19"/>
    </row>
    <row r="748" spans="1:31" ht="13.15" x14ac:dyDescent="0.4">
      <c r="A748" s="19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  <c r="AA748" s="19"/>
      <c r="AB748" s="19"/>
      <c r="AC748" s="19"/>
      <c r="AD748" s="19"/>
      <c r="AE748" s="19"/>
    </row>
    <row r="749" spans="1:31" ht="13.15" x14ac:dyDescent="0.4">
      <c r="A749" s="19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  <c r="AA749" s="19"/>
      <c r="AB749" s="19"/>
      <c r="AC749" s="19"/>
      <c r="AD749" s="19"/>
      <c r="AE749" s="19"/>
    </row>
    <row r="750" spans="1:31" ht="13.15" x14ac:dyDescent="0.4">
      <c r="A750" s="19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  <c r="AA750" s="19"/>
      <c r="AB750" s="19"/>
      <c r="AC750" s="19"/>
      <c r="AD750" s="19"/>
      <c r="AE750" s="19"/>
    </row>
    <row r="751" spans="1:31" ht="13.15" x14ac:dyDescent="0.4">
      <c r="A751" s="19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  <c r="AA751" s="19"/>
      <c r="AB751" s="19"/>
      <c r="AC751" s="19"/>
      <c r="AD751" s="19"/>
      <c r="AE751" s="19"/>
    </row>
    <row r="752" spans="1:31" ht="13.15" x14ac:dyDescent="0.4">
      <c r="A752" s="19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  <c r="AA752" s="19"/>
      <c r="AB752" s="19"/>
      <c r="AC752" s="19"/>
      <c r="AD752" s="19"/>
      <c r="AE752" s="19"/>
    </row>
    <row r="753" spans="1:31" ht="13.15" x14ac:dyDescent="0.4">
      <c r="A753" s="19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  <c r="AA753" s="19"/>
      <c r="AB753" s="19"/>
      <c r="AC753" s="19"/>
      <c r="AD753" s="19"/>
      <c r="AE753" s="19"/>
    </row>
    <row r="754" spans="1:31" ht="13.15" x14ac:dyDescent="0.4">
      <c r="A754" s="19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  <c r="AA754" s="19"/>
      <c r="AB754" s="19"/>
      <c r="AC754" s="19"/>
      <c r="AD754" s="19"/>
      <c r="AE754" s="19"/>
    </row>
    <row r="755" spans="1:31" ht="13.15" x14ac:dyDescent="0.4">
      <c r="A755" s="19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  <c r="AA755" s="19"/>
      <c r="AB755" s="19"/>
      <c r="AC755" s="19"/>
      <c r="AD755" s="19"/>
      <c r="AE755" s="19"/>
    </row>
    <row r="756" spans="1:31" ht="13.15" x14ac:dyDescent="0.4">
      <c r="A756" s="19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  <c r="AA756" s="19"/>
      <c r="AB756" s="19"/>
      <c r="AC756" s="19"/>
      <c r="AD756" s="19"/>
      <c r="AE756" s="19"/>
    </row>
    <row r="757" spans="1:31" ht="13.15" x14ac:dyDescent="0.4">
      <c r="A757" s="19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  <c r="AA757" s="19"/>
      <c r="AB757" s="19"/>
      <c r="AC757" s="19"/>
      <c r="AD757" s="19"/>
      <c r="AE757" s="19"/>
    </row>
    <row r="758" spans="1:31" ht="13.15" x14ac:dyDescent="0.4">
      <c r="A758" s="19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  <c r="AA758" s="19"/>
      <c r="AB758" s="19"/>
      <c r="AC758" s="19"/>
      <c r="AD758" s="19"/>
      <c r="AE758" s="19"/>
    </row>
    <row r="759" spans="1:31" ht="13.15" x14ac:dyDescent="0.4">
      <c r="A759" s="19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  <c r="AA759" s="19"/>
      <c r="AB759" s="19"/>
      <c r="AC759" s="19"/>
      <c r="AD759" s="19"/>
      <c r="AE759" s="19"/>
    </row>
    <row r="760" spans="1:31" ht="13.15" x14ac:dyDescent="0.4">
      <c r="A760" s="19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  <c r="AA760" s="19"/>
      <c r="AB760" s="19"/>
      <c r="AC760" s="19"/>
      <c r="AD760" s="19"/>
      <c r="AE760" s="19"/>
    </row>
    <row r="761" spans="1:31" ht="13.15" x14ac:dyDescent="0.4">
      <c r="A761" s="19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  <c r="AA761" s="19"/>
      <c r="AB761" s="19"/>
      <c r="AC761" s="19"/>
      <c r="AD761" s="19"/>
      <c r="AE761" s="19"/>
    </row>
    <row r="762" spans="1:31" ht="13.15" x14ac:dyDescent="0.4">
      <c r="A762" s="19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  <c r="AB762" s="19"/>
      <c r="AC762" s="19"/>
      <c r="AD762" s="19"/>
      <c r="AE762" s="19"/>
    </row>
    <row r="763" spans="1:31" ht="13.15" x14ac:dyDescent="0.4">
      <c r="A763" s="19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  <c r="AA763" s="19"/>
      <c r="AB763" s="19"/>
      <c r="AC763" s="19"/>
      <c r="AD763" s="19"/>
      <c r="AE763" s="19"/>
    </row>
    <row r="764" spans="1:31" ht="13.15" x14ac:dyDescent="0.4">
      <c r="A764" s="19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  <c r="AA764" s="19"/>
      <c r="AB764" s="19"/>
      <c r="AC764" s="19"/>
      <c r="AD764" s="19"/>
      <c r="AE764" s="19"/>
    </row>
    <row r="765" spans="1:31" ht="13.15" x14ac:dyDescent="0.4">
      <c r="A765" s="19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  <c r="AA765" s="19"/>
      <c r="AB765" s="19"/>
      <c r="AC765" s="19"/>
      <c r="AD765" s="19"/>
      <c r="AE765" s="19"/>
    </row>
    <row r="766" spans="1:31" ht="13.15" x14ac:dyDescent="0.4">
      <c r="A766" s="19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  <c r="AA766" s="19"/>
      <c r="AB766" s="19"/>
      <c r="AC766" s="19"/>
      <c r="AD766" s="19"/>
      <c r="AE766" s="19"/>
    </row>
    <row r="767" spans="1:31" ht="13.15" x14ac:dyDescent="0.4">
      <c r="A767" s="19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  <c r="AA767" s="19"/>
      <c r="AB767" s="19"/>
      <c r="AC767" s="19"/>
      <c r="AD767" s="19"/>
      <c r="AE767" s="19"/>
    </row>
    <row r="768" spans="1:31" ht="13.15" x14ac:dyDescent="0.4">
      <c r="A768" s="19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  <c r="AA768" s="19"/>
      <c r="AB768" s="19"/>
      <c r="AC768" s="19"/>
      <c r="AD768" s="19"/>
      <c r="AE768" s="19"/>
    </row>
    <row r="769" spans="1:31" ht="13.15" x14ac:dyDescent="0.4">
      <c r="A769" s="19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  <c r="AA769" s="19"/>
      <c r="AB769" s="19"/>
      <c r="AC769" s="19"/>
      <c r="AD769" s="19"/>
      <c r="AE769" s="19"/>
    </row>
    <row r="770" spans="1:31" ht="13.15" x14ac:dyDescent="0.4">
      <c r="A770" s="19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  <c r="AA770" s="19"/>
      <c r="AB770" s="19"/>
      <c r="AC770" s="19"/>
      <c r="AD770" s="19"/>
      <c r="AE770" s="19"/>
    </row>
    <row r="771" spans="1:31" ht="13.15" x14ac:dyDescent="0.4">
      <c r="A771" s="19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  <c r="AA771" s="19"/>
      <c r="AB771" s="19"/>
      <c r="AC771" s="19"/>
      <c r="AD771" s="19"/>
      <c r="AE771" s="19"/>
    </row>
    <row r="772" spans="1:31" ht="13.15" x14ac:dyDescent="0.4">
      <c r="A772" s="19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  <c r="AA772" s="19"/>
      <c r="AB772" s="19"/>
      <c r="AC772" s="19"/>
      <c r="AD772" s="19"/>
      <c r="AE772" s="19"/>
    </row>
    <row r="773" spans="1:31" ht="13.15" x14ac:dyDescent="0.4">
      <c r="A773" s="19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  <c r="AA773" s="19"/>
      <c r="AB773" s="19"/>
      <c r="AC773" s="19"/>
      <c r="AD773" s="19"/>
      <c r="AE773" s="19"/>
    </row>
    <row r="774" spans="1:31" ht="13.15" x14ac:dyDescent="0.4">
      <c r="A774" s="19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  <c r="AA774" s="19"/>
      <c r="AB774" s="19"/>
      <c r="AC774" s="19"/>
      <c r="AD774" s="19"/>
      <c r="AE774" s="19"/>
    </row>
    <row r="775" spans="1:31" ht="13.15" x14ac:dyDescent="0.4">
      <c r="A775" s="19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  <c r="AA775" s="19"/>
      <c r="AB775" s="19"/>
      <c r="AC775" s="19"/>
      <c r="AD775" s="19"/>
      <c r="AE775" s="19"/>
    </row>
    <row r="776" spans="1:31" ht="13.15" x14ac:dyDescent="0.4">
      <c r="A776" s="19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  <c r="AA776" s="19"/>
      <c r="AB776" s="19"/>
      <c r="AC776" s="19"/>
      <c r="AD776" s="19"/>
      <c r="AE776" s="19"/>
    </row>
    <row r="777" spans="1:31" ht="13.15" x14ac:dyDescent="0.4">
      <c r="A777" s="19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  <c r="AA777" s="19"/>
      <c r="AB777" s="19"/>
      <c r="AC777" s="19"/>
      <c r="AD777" s="19"/>
      <c r="AE777" s="19"/>
    </row>
    <row r="778" spans="1:31" ht="13.15" x14ac:dyDescent="0.4">
      <c r="A778" s="19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  <c r="AA778" s="19"/>
      <c r="AB778" s="19"/>
      <c r="AC778" s="19"/>
      <c r="AD778" s="19"/>
      <c r="AE778" s="19"/>
    </row>
    <row r="779" spans="1:31" ht="13.15" x14ac:dyDescent="0.4">
      <c r="A779" s="19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  <c r="AA779" s="19"/>
      <c r="AB779" s="19"/>
      <c r="AC779" s="19"/>
      <c r="AD779" s="19"/>
      <c r="AE779" s="19"/>
    </row>
    <row r="780" spans="1:31" ht="13.15" x14ac:dyDescent="0.4">
      <c r="A780" s="19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  <c r="AA780" s="19"/>
      <c r="AB780" s="19"/>
      <c r="AC780" s="19"/>
      <c r="AD780" s="19"/>
      <c r="AE780" s="19"/>
    </row>
    <row r="781" spans="1:31" ht="13.15" x14ac:dyDescent="0.4">
      <c r="A781" s="19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  <c r="AA781" s="19"/>
      <c r="AB781" s="19"/>
      <c r="AC781" s="19"/>
      <c r="AD781" s="19"/>
      <c r="AE781" s="19"/>
    </row>
    <row r="782" spans="1:31" ht="13.15" x14ac:dyDescent="0.4">
      <c r="A782" s="19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  <c r="AA782" s="19"/>
      <c r="AB782" s="19"/>
      <c r="AC782" s="19"/>
      <c r="AD782" s="19"/>
      <c r="AE782" s="19"/>
    </row>
    <row r="783" spans="1:31" ht="13.15" x14ac:dyDescent="0.4">
      <c r="A783" s="19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  <c r="AA783" s="19"/>
      <c r="AB783" s="19"/>
      <c r="AC783" s="19"/>
      <c r="AD783" s="19"/>
      <c r="AE783" s="19"/>
    </row>
    <row r="784" spans="1:31" ht="13.15" x14ac:dyDescent="0.4">
      <c r="A784" s="19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  <c r="AA784" s="19"/>
      <c r="AB784" s="19"/>
      <c r="AC784" s="19"/>
      <c r="AD784" s="19"/>
      <c r="AE784" s="19"/>
    </row>
    <row r="785" spans="1:31" ht="13.15" x14ac:dyDescent="0.4">
      <c r="A785" s="19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  <c r="AA785" s="19"/>
      <c r="AB785" s="19"/>
      <c r="AC785" s="19"/>
      <c r="AD785" s="19"/>
      <c r="AE785" s="19"/>
    </row>
    <row r="786" spans="1:31" ht="13.15" x14ac:dyDescent="0.4">
      <c r="A786" s="19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  <c r="AA786" s="19"/>
      <c r="AB786" s="19"/>
      <c r="AC786" s="19"/>
      <c r="AD786" s="19"/>
      <c r="AE786" s="19"/>
    </row>
    <row r="787" spans="1:31" ht="13.15" x14ac:dyDescent="0.4">
      <c r="A787" s="19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  <c r="AA787" s="19"/>
      <c r="AB787" s="19"/>
      <c r="AC787" s="19"/>
      <c r="AD787" s="19"/>
      <c r="AE787" s="19"/>
    </row>
    <row r="788" spans="1:31" ht="13.15" x14ac:dyDescent="0.4">
      <c r="A788" s="19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  <c r="AA788" s="19"/>
      <c r="AB788" s="19"/>
      <c r="AC788" s="19"/>
      <c r="AD788" s="19"/>
      <c r="AE788" s="19"/>
    </row>
    <row r="789" spans="1:31" ht="13.15" x14ac:dyDescent="0.4">
      <c r="A789" s="19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  <c r="AA789" s="19"/>
      <c r="AB789" s="19"/>
      <c r="AC789" s="19"/>
      <c r="AD789" s="19"/>
      <c r="AE789" s="19"/>
    </row>
    <row r="790" spans="1:31" ht="13.15" x14ac:dyDescent="0.4">
      <c r="A790" s="19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  <c r="AA790" s="19"/>
      <c r="AB790" s="19"/>
      <c r="AC790" s="19"/>
      <c r="AD790" s="19"/>
      <c r="AE790" s="19"/>
    </row>
    <row r="791" spans="1:31" ht="13.15" x14ac:dyDescent="0.4">
      <c r="A791" s="19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  <c r="AA791" s="19"/>
      <c r="AB791" s="19"/>
      <c r="AC791" s="19"/>
      <c r="AD791" s="19"/>
      <c r="AE791" s="19"/>
    </row>
    <row r="792" spans="1:31" ht="13.15" x14ac:dyDescent="0.4">
      <c r="A792" s="19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  <c r="AA792" s="19"/>
      <c r="AB792" s="19"/>
      <c r="AC792" s="19"/>
      <c r="AD792" s="19"/>
      <c r="AE792" s="19"/>
    </row>
    <row r="793" spans="1:31" ht="13.15" x14ac:dyDescent="0.4">
      <c r="A793" s="19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  <c r="AA793" s="19"/>
      <c r="AB793" s="19"/>
      <c r="AC793" s="19"/>
      <c r="AD793" s="19"/>
      <c r="AE793" s="19"/>
    </row>
    <row r="794" spans="1:31" ht="13.15" x14ac:dyDescent="0.4">
      <c r="A794" s="19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  <c r="AA794" s="19"/>
      <c r="AB794" s="19"/>
      <c r="AC794" s="19"/>
      <c r="AD794" s="19"/>
      <c r="AE794" s="19"/>
    </row>
    <row r="795" spans="1:31" ht="13.15" x14ac:dyDescent="0.4">
      <c r="A795" s="19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  <c r="AA795" s="19"/>
      <c r="AB795" s="19"/>
      <c r="AC795" s="19"/>
      <c r="AD795" s="19"/>
      <c r="AE795" s="19"/>
    </row>
    <row r="796" spans="1:31" ht="13.15" x14ac:dyDescent="0.4">
      <c r="A796" s="19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  <c r="AA796" s="19"/>
      <c r="AB796" s="19"/>
      <c r="AC796" s="19"/>
      <c r="AD796" s="19"/>
      <c r="AE796" s="19"/>
    </row>
    <row r="797" spans="1:31" ht="13.15" x14ac:dyDescent="0.4">
      <c r="A797" s="19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  <c r="AA797" s="19"/>
      <c r="AB797" s="19"/>
      <c r="AC797" s="19"/>
      <c r="AD797" s="19"/>
      <c r="AE797" s="19"/>
    </row>
    <row r="798" spans="1:31" ht="13.15" x14ac:dyDescent="0.4">
      <c r="A798" s="19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  <c r="AA798" s="19"/>
      <c r="AB798" s="19"/>
      <c r="AC798" s="19"/>
      <c r="AD798" s="19"/>
      <c r="AE798" s="19"/>
    </row>
    <row r="799" spans="1:31" ht="13.15" x14ac:dyDescent="0.4">
      <c r="A799" s="19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  <c r="AA799" s="19"/>
      <c r="AB799" s="19"/>
      <c r="AC799" s="19"/>
      <c r="AD799" s="19"/>
      <c r="AE799" s="19"/>
    </row>
    <row r="800" spans="1:31" ht="13.15" x14ac:dyDescent="0.4">
      <c r="A800" s="19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  <c r="AA800" s="19"/>
      <c r="AB800" s="19"/>
      <c r="AC800" s="19"/>
      <c r="AD800" s="19"/>
      <c r="AE800" s="19"/>
    </row>
    <row r="801" spans="1:31" ht="13.15" x14ac:dyDescent="0.4">
      <c r="A801" s="19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  <c r="AA801" s="19"/>
      <c r="AB801" s="19"/>
      <c r="AC801" s="19"/>
      <c r="AD801" s="19"/>
      <c r="AE801" s="19"/>
    </row>
    <row r="802" spans="1:31" ht="13.15" x14ac:dyDescent="0.4">
      <c r="A802" s="19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  <c r="AA802" s="19"/>
      <c r="AB802" s="19"/>
      <c r="AC802" s="19"/>
      <c r="AD802" s="19"/>
      <c r="AE802" s="19"/>
    </row>
    <row r="803" spans="1:31" ht="13.15" x14ac:dyDescent="0.4">
      <c r="A803" s="19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  <c r="AA803" s="19"/>
      <c r="AB803" s="19"/>
      <c r="AC803" s="19"/>
      <c r="AD803" s="19"/>
      <c r="AE803" s="19"/>
    </row>
    <row r="804" spans="1:31" ht="13.15" x14ac:dyDescent="0.4">
      <c r="A804" s="19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  <c r="AA804" s="19"/>
      <c r="AB804" s="19"/>
      <c r="AC804" s="19"/>
      <c r="AD804" s="19"/>
      <c r="AE804" s="19"/>
    </row>
    <row r="805" spans="1:31" ht="13.15" x14ac:dyDescent="0.4">
      <c r="A805" s="19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  <c r="AA805" s="19"/>
      <c r="AB805" s="19"/>
      <c r="AC805" s="19"/>
      <c r="AD805" s="19"/>
      <c r="AE805" s="19"/>
    </row>
    <row r="806" spans="1:31" ht="13.15" x14ac:dyDescent="0.4">
      <c r="A806" s="19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  <c r="AA806" s="19"/>
      <c r="AB806" s="19"/>
      <c r="AC806" s="19"/>
      <c r="AD806" s="19"/>
      <c r="AE806" s="19"/>
    </row>
    <row r="807" spans="1:31" ht="13.15" x14ac:dyDescent="0.4">
      <c r="A807" s="19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  <c r="AA807" s="19"/>
      <c r="AB807" s="19"/>
      <c r="AC807" s="19"/>
      <c r="AD807" s="19"/>
      <c r="AE807" s="19"/>
    </row>
    <row r="808" spans="1:31" ht="13.15" x14ac:dyDescent="0.4">
      <c r="A808" s="19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  <c r="AA808" s="19"/>
      <c r="AB808" s="19"/>
      <c r="AC808" s="19"/>
      <c r="AD808" s="19"/>
      <c r="AE808" s="19"/>
    </row>
    <row r="809" spans="1:31" ht="13.15" x14ac:dyDescent="0.4">
      <c r="A809" s="19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  <c r="AA809" s="19"/>
      <c r="AB809" s="19"/>
      <c r="AC809" s="19"/>
      <c r="AD809" s="19"/>
      <c r="AE809" s="19"/>
    </row>
    <row r="810" spans="1:31" ht="13.15" x14ac:dyDescent="0.4">
      <c r="A810" s="19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  <c r="AA810" s="19"/>
      <c r="AB810" s="19"/>
      <c r="AC810" s="19"/>
      <c r="AD810" s="19"/>
      <c r="AE810" s="19"/>
    </row>
    <row r="811" spans="1:31" ht="13.15" x14ac:dyDescent="0.4">
      <c r="A811" s="19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  <c r="AA811" s="19"/>
      <c r="AB811" s="19"/>
      <c r="AC811" s="19"/>
      <c r="AD811" s="19"/>
      <c r="AE811" s="19"/>
    </row>
    <row r="812" spans="1:31" ht="13.15" x14ac:dyDescent="0.4">
      <c r="A812" s="19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  <c r="AA812" s="19"/>
      <c r="AB812" s="19"/>
      <c r="AC812" s="19"/>
      <c r="AD812" s="19"/>
      <c r="AE812" s="19"/>
    </row>
    <row r="813" spans="1:31" ht="13.15" x14ac:dyDescent="0.4">
      <c r="A813" s="19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  <c r="AA813" s="19"/>
      <c r="AB813" s="19"/>
      <c r="AC813" s="19"/>
      <c r="AD813" s="19"/>
      <c r="AE813" s="19"/>
    </row>
    <row r="814" spans="1:31" ht="13.15" x14ac:dyDescent="0.4">
      <c r="A814" s="19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  <c r="AA814" s="19"/>
      <c r="AB814" s="19"/>
      <c r="AC814" s="19"/>
      <c r="AD814" s="19"/>
      <c r="AE814" s="19"/>
    </row>
    <row r="815" spans="1:31" ht="13.15" x14ac:dyDescent="0.4">
      <c r="A815" s="19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  <c r="AA815" s="19"/>
      <c r="AB815" s="19"/>
      <c r="AC815" s="19"/>
      <c r="AD815" s="19"/>
      <c r="AE815" s="19"/>
    </row>
    <row r="816" spans="1:31" ht="13.15" x14ac:dyDescent="0.4">
      <c r="A816" s="19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  <c r="AA816" s="19"/>
      <c r="AB816" s="19"/>
      <c r="AC816" s="19"/>
      <c r="AD816" s="19"/>
      <c r="AE816" s="19"/>
    </row>
    <row r="817" spans="1:31" ht="13.15" x14ac:dyDescent="0.4">
      <c r="A817" s="19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  <c r="AA817" s="19"/>
      <c r="AB817" s="19"/>
      <c r="AC817" s="19"/>
      <c r="AD817" s="19"/>
      <c r="AE817" s="19"/>
    </row>
    <row r="818" spans="1:31" ht="13.15" x14ac:dyDescent="0.4">
      <c r="A818" s="19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  <c r="AA818" s="19"/>
      <c r="AB818" s="19"/>
      <c r="AC818" s="19"/>
      <c r="AD818" s="19"/>
      <c r="AE818" s="19"/>
    </row>
    <row r="819" spans="1:31" ht="13.15" x14ac:dyDescent="0.4">
      <c r="A819" s="19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  <c r="AA819" s="19"/>
      <c r="AB819" s="19"/>
      <c r="AC819" s="19"/>
      <c r="AD819" s="19"/>
      <c r="AE819" s="19"/>
    </row>
    <row r="820" spans="1:31" ht="13.15" x14ac:dyDescent="0.4">
      <c r="A820" s="19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  <c r="AA820" s="19"/>
      <c r="AB820" s="19"/>
      <c r="AC820" s="19"/>
      <c r="AD820" s="19"/>
      <c r="AE820" s="19"/>
    </row>
    <row r="821" spans="1:31" ht="13.15" x14ac:dyDescent="0.4">
      <c r="A821" s="19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  <c r="AA821" s="19"/>
      <c r="AB821" s="19"/>
      <c r="AC821" s="19"/>
      <c r="AD821" s="19"/>
      <c r="AE821" s="19"/>
    </row>
    <row r="822" spans="1:31" ht="13.15" x14ac:dyDescent="0.4">
      <c r="A822" s="19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  <c r="AA822" s="19"/>
      <c r="AB822" s="19"/>
      <c r="AC822" s="19"/>
      <c r="AD822" s="19"/>
      <c r="AE822" s="19"/>
    </row>
    <row r="823" spans="1:31" ht="13.15" x14ac:dyDescent="0.4">
      <c r="A823" s="19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  <c r="AA823" s="19"/>
      <c r="AB823" s="19"/>
      <c r="AC823" s="19"/>
      <c r="AD823" s="19"/>
      <c r="AE823" s="19"/>
    </row>
    <row r="824" spans="1:31" ht="13.15" x14ac:dyDescent="0.4">
      <c r="A824" s="19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  <c r="AA824" s="19"/>
      <c r="AB824" s="19"/>
      <c r="AC824" s="19"/>
      <c r="AD824" s="19"/>
      <c r="AE824" s="19"/>
    </row>
    <row r="825" spans="1:31" ht="13.15" x14ac:dyDescent="0.4">
      <c r="A825" s="19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  <c r="AA825" s="19"/>
      <c r="AB825" s="19"/>
      <c r="AC825" s="19"/>
      <c r="AD825" s="19"/>
      <c r="AE825" s="19"/>
    </row>
    <row r="826" spans="1:31" ht="13.15" x14ac:dyDescent="0.4">
      <c r="A826" s="19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  <c r="AA826" s="19"/>
      <c r="AB826" s="19"/>
      <c r="AC826" s="19"/>
      <c r="AD826" s="19"/>
      <c r="AE826" s="19"/>
    </row>
    <row r="827" spans="1:31" ht="13.15" x14ac:dyDescent="0.4">
      <c r="A827" s="19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  <c r="AA827" s="19"/>
      <c r="AB827" s="19"/>
      <c r="AC827" s="19"/>
      <c r="AD827" s="19"/>
      <c r="AE827" s="19"/>
    </row>
    <row r="828" spans="1:31" ht="13.15" x14ac:dyDescent="0.4">
      <c r="A828" s="19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  <c r="AA828" s="19"/>
      <c r="AB828" s="19"/>
      <c r="AC828" s="19"/>
      <c r="AD828" s="19"/>
      <c r="AE828" s="19"/>
    </row>
    <row r="829" spans="1:31" ht="13.15" x14ac:dyDescent="0.4">
      <c r="A829" s="19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  <c r="AA829" s="19"/>
      <c r="AB829" s="19"/>
      <c r="AC829" s="19"/>
      <c r="AD829" s="19"/>
      <c r="AE829" s="19"/>
    </row>
    <row r="830" spans="1:31" ht="13.15" x14ac:dyDescent="0.4">
      <c r="A830" s="19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  <c r="AA830" s="19"/>
      <c r="AB830" s="19"/>
      <c r="AC830" s="19"/>
      <c r="AD830" s="19"/>
      <c r="AE830" s="19"/>
    </row>
    <row r="831" spans="1:31" ht="13.15" x14ac:dyDescent="0.4">
      <c r="A831" s="19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  <c r="AA831" s="19"/>
      <c r="AB831" s="19"/>
      <c r="AC831" s="19"/>
      <c r="AD831" s="19"/>
      <c r="AE831" s="19"/>
    </row>
    <row r="832" spans="1:31" ht="13.15" x14ac:dyDescent="0.4">
      <c r="A832" s="19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  <c r="AA832" s="19"/>
      <c r="AB832" s="19"/>
      <c r="AC832" s="19"/>
      <c r="AD832" s="19"/>
      <c r="AE832" s="19"/>
    </row>
    <row r="833" spans="1:31" ht="13.15" x14ac:dyDescent="0.4">
      <c r="A833" s="19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  <c r="AA833" s="19"/>
      <c r="AB833" s="19"/>
      <c r="AC833" s="19"/>
      <c r="AD833" s="19"/>
      <c r="AE833" s="19"/>
    </row>
    <row r="834" spans="1:31" ht="13.15" x14ac:dyDescent="0.4">
      <c r="A834" s="19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  <c r="AA834" s="19"/>
      <c r="AB834" s="19"/>
      <c r="AC834" s="19"/>
      <c r="AD834" s="19"/>
      <c r="AE834" s="19"/>
    </row>
    <row r="835" spans="1:31" ht="13.15" x14ac:dyDescent="0.4">
      <c r="A835" s="19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  <c r="AA835" s="19"/>
      <c r="AB835" s="19"/>
      <c r="AC835" s="19"/>
      <c r="AD835" s="19"/>
      <c r="AE835" s="19"/>
    </row>
    <row r="836" spans="1:31" ht="13.15" x14ac:dyDescent="0.4">
      <c r="A836" s="19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  <c r="AA836" s="19"/>
      <c r="AB836" s="19"/>
      <c r="AC836" s="19"/>
      <c r="AD836" s="19"/>
      <c r="AE836" s="19"/>
    </row>
    <row r="837" spans="1:31" ht="13.15" x14ac:dyDescent="0.4">
      <c r="A837" s="19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  <c r="AA837" s="19"/>
      <c r="AB837" s="19"/>
      <c r="AC837" s="19"/>
      <c r="AD837" s="19"/>
      <c r="AE837" s="19"/>
    </row>
    <row r="838" spans="1:31" ht="13.15" x14ac:dyDescent="0.4">
      <c r="A838" s="19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  <c r="AA838" s="19"/>
      <c r="AB838" s="19"/>
      <c r="AC838" s="19"/>
      <c r="AD838" s="19"/>
      <c r="AE838" s="19"/>
    </row>
    <row r="839" spans="1:31" ht="13.15" x14ac:dyDescent="0.4">
      <c r="A839" s="19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  <c r="AA839" s="19"/>
      <c r="AB839" s="19"/>
      <c r="AC839" s="19"/>
      <c r="AD839" s="19"/>
      <c r="AE839" s="19"/>
    </row>
    <row r="840" spans="1:31" ht="13.15" x14ac:dyDescent="0.4">
      <c r="A840" s="19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  <c r="AA840" s="19"/>
      <c r="AB840" s="19"/>
      <c r="AC840" s="19"/>
      <c r="AD840" s="19"/>
      <c r="AE840" s="19"/>
    </row>
    <row r="841" spans="1:31" ht="13.15" x14ac:dyDescent="0.4">
      <c r="A841" s="19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  <c r="AA841" s="19"/>
      <c r="AB841" s="19"/>
      <c r="AC841" s="19"/>
      <c r="AD841" s="19"/>
      <c r="AE841" s="19"/>
    </row>
    <row r="842" spans="1:31" ht="13.15" x14ac:dyDescent="0.4">
      <c r="A842" s="19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  <c r="AA842" s="19"/>
      <c r="AB842" s="19"/>
      <c r="AC842" s="19"/>
      <c r="AD842" s="19"/>
      <c r="AE842" s="19"/>
    </row>
    <row r="843" spans="1:31" ht="13.15" x14ac:dyDescent="0.4">
      <c r="A843" s="19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  <c r="AA843" s="19"/>
      <c r="AB843" s="19"/>
      <c r="AC843" s="19"/>
      <c r="AD843" s="19"/>
      <c r="AE843" s="19"/>
    </row>
    <row r="844" spans="1:31" ht="13.15" x14ac:dyDescent="0.4">
      <c r="A844" s="19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  <c r="AA844" s="19"/>
      <c r="AB844" s="19"/>
      <c r="AC844" s="19"/>
      <c r="AD844" s="19"/>
      <c r="AE844" s="19"/>
    </row>
    <row r="845" spans="1:31" ht="13.15" x14ac:dyDescent="0.4">
      <c r="A845" s="19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  <c r="AA845" s="19"/>
      <c r="AB845" s="19"/>
      <c r="AC845" s="19"/>
      <c r="AD845" s="19"/>
      <c r="AE845" s="19"/>
    </row>
    <row r="846" spans="1:31" ht="13.15" x14ac:dyDescent="0.4">
      <c r="A846" s="19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  <c r="AA846" s="19"/>
      <c r="AB846" s="19"/>
      <c r="AC846" s="19"/>
      <c r="AD846" s="19"/>
      <c r="AE846" s="19"/>
    </row>
    <row r="847" spans="1:31" ht="13.15" x14ac:dyDescent="0.4">
      <c r="A847" s="19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  <c r="AA847" s="19"/>
      <c r="AB847" s="19"/>
      <c r="AC847" s="19"/>
      <c r="AD847" s="19"/>
      <c r="AE847" s="19"/>
    </row>
    <row r="848" spans="1:31" ht="13.15" x14ac:dyDescent="0.4">
      <c r="A848" s="19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  <c r="AA848" s="19"/>
      <c r="AB848" s="19"/>
      <c r="AC848" s="19"/>
      <c r="AD848" s="19"/>
      <c r="AE848" s="19"/>
    </row>
    <row r="849" spans="1:31" ht="13.15" x14ac:dyDescent="0.4">
      <c r="A849" s="19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  <c r="AA849" s="19"/>
      <c r="AB849" s="19"/>
      <c r="AC849" s="19"/>
      <c r="AD849" s="19"/>
      <c r="AE849" s="19"/>
    </row>
    <row r="850" spans="1:31" ht="13.15" x14ac:dyDescent="0.4">
      <c r="A850" s="19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  <c r="AA850" s="19"/>
      <c r="AB850" s="19"/>
      <c r="AC850" s="19"/>
      <c r="AD850" s="19"/>
      <c r="AE850" s="19"/>
    </row>
    <row r="851" spans="1:31" ht="13.15" x14ac:dyDescent="0.4">
      <c r="A851" s="19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  <c r="AA851" s="19"/>
      <c r="AB851" s="19"/>
      <c r="AC851" s="19"/>
      <c r="AD851" s="19"/>
      <c r="AE851" s="19"/>
    </row>
    <row r="852" spans="1:31" ht="13.15" x14ac:dyDescent="0.4">
      <c r="A852" s="19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  <c r="AA852" s="19"/>
      <c r="AB852" s="19"/>
      <c r="AC852" s="19"/>
      <c r="AD852" s="19"/>
      <c r="AE852" s="19"/>
    </row>
    <row r="853" spans="1:31" ht="13.15" x14ac:dyDescent="0.4">
      <c r="A853" s="19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  <c r="AA853" s="19"/>
      <c r="AB853" s="19"/>
      <c r="AC853" s="19"/>
      <c r="AD853" s="19"/>
      <c r="AE853" s="19"/>
    </row>
    <row r="854" spans="1:31" ht="13.15" x14ac:dyDescent="0.4">
      <c r="A854" s="19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  <c r="AA854" s="19"/>
      <c r="AB854" s="19"/>
      <c r="AC854" s="19"/>
      <c r="AD854" s="19"/>
      <c r="AE854" s="19"/>
    </row>
    <row r="855" spans="1:31" ht="13.15" x14ac:dyDescent="0.4">
      <c r="A855" s="19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  <c r="AA855" s="19"/>
      <c r="AB855" s="19"/>
      <c r="AC855" s="19"/>
      <c r="AD855" s="19"/>
      <c r="AE855" s="19"/>
    </row>
    <row r="856" spans="1:31" ht="13.15" x14ac:dyDescent="0.4">
      <c r="A856" s="19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  <c r="AA856" s="19"/>
      <c r="AB856" s="19"/>
      <c r="AC856" s="19"/>
      <c r="AD856" s="19"/>
      <c r="AE856" s="19"/>
    </row>
    <row r="857" spans="1:31" ht="13.15" x14ac:dyDescent="0.4">
      <c r="A857" s="19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  <c r="AA857" s="19"/>
      <c r="AB857" s="19"/>
      <c r="AC857" s="19"/>
      <c r="AD857" s="19"/>
      <c r="AE857" s="19"/>
    </row>
    <row r="858" spans="1:31" ht="13.15" x14ac:dyDescent="0.4">
      <c r="A858" s="19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  <c r="AA858" s="19"/>
      <c r="AB858" s="19"/>
      <c r="AC858" s="19"/>
      <c r="AD858" s="19"/>
      <c r="AE858" s="19"/>
    </row>
    <row r="859" spans="1:31" ht="13.15" x14ac:dyDescent="0.4">
      <c r="A859" s="19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  <c r="AA859" s="19"/>
      <c r="AB859" s="19"/>
      <c r="AC859" s="19"/>
      <c r="AD859" s="19"/>
      <c r="AE859" s="19"/>
    </row>
    <row r="860" spans="1:31" ht="13.15" x14ac:dyDescent="0.4">
      <c r="A860" s="19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  <c r="AA860" s="19"/>
      <c r="AB860" s="19"/>
      <c r="AC860" s="19"/>
      <c r="AD860" s="19"/>
      <c r="AE860" s="19"/>
    </row>
    <row r="861" spans="1:31" ht="13.15" x14ac:dyDescent="0.4">
      <c r="A861" s="19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  <c r="AA861" s="19"/>
      <c r="AB861" s="19"/>
      <c r="AC861" s="19"/>
      <c r="AD861" s="19"/>
      <c r="AE861" s="19"/>
    </row>
    <row r="862" spans="1:31" ht="13.15" x14ac:dyDescent="0.4">
      <c r="A862" s="19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  <c r="AA862" s="19"/>
      <c r="AB862" s="19"/>
      <c r="AC862" s="19"/>
      <c r="AD862" s="19"/>
      <c r="AE862" s="19"/>
    </row>
    <row r="863" spans="1:31" ht="13.15" x14ac:dyDescent="0.4">
      <c r="A863" s="19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  <c r="AA863" s="19"/>
      <c r="AB863" s="19"/>
      <c r="AC863" s="19"/>
      <c r="AD863" s="19"/>
      <c r="AE863" s="19"/>
    </row>
    <row r="864" spans="1:31" ht="13.15" x14ac:dyDescent="0.4">
      <c r="A864" s="19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  <c r="AA864" s="19"/>
      <c r="AB864" s="19"/>
      <c r="AC864" s="19"/>
      <c r="AD864" s="19"/>
      <c r="AE864" s="19"/>
    </row>
    <row r="865" spans="1:31" ht="13.15" x14ac:dyDescent="0.4">
      <c r="A865" s="19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  <c r="AA865" s="19"/>
      <c r="AB865" s="19"/>
      <c r="AC865" s="19"/>
      <c r="AD865" s="19"/>
      <c r="AE865" s="19"/>
    </row>
    <row r="866" spans="1:31" ht="13.15" x14ac:dyDescent="0.4">
      <c r="A866" s="19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  <c r="AA866" s="19"/>
      <c r="AB866" s="19"/>
      <c r="AC866" s="19"/>
      <c r="AD866" s="19"/>
      <c r="AE866" s="19"/>
    </row>
    <row r="867" spans="1:31" ht="13.15" x14ac:dyDescent="0.4">
      <c r="A867" s="19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  <c r="AA867" s="19"/>
      <c r="AB867" s="19"/>
      <c r="AC867" s="19"/>
      <c r="AD867" s="19"/>
      <c r="AE867" s="19"/>
    </row>
    <row r="868" spans="1:31" ht="13.15" x14ac:dyDescent="0.4">
      <c r="A868" s="19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  <c r="AA868" s="19"/>
      <c r="AB868" s="19"/>
      <c r="AC868" s="19"/>
      <c r="AD868" s="19"/>
      <c r="AE868" s="19"/>
    </row>
    <row r="869" spans="1:31" ht="13.15" x14ac:dyDescent="0.4">
      <c r="A869" s="19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  <c r="AA869" s="19"/>
      <c r="AB869" s="19"/>
      <c r="AC869" s="19"/>
      <c r="AD869" s="19"/>
      <c r="AE869" s="19"/>
    </row>
    <row r="870" spans="1:31" ht="13.15" x14ac:dyDescent="0.4">
      <c r="A870" s="19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  <c r="AA870" s="19"/>
      <c r="AB870" s="19"/>
      <c r="AC870" s="19"/>
      <c r="AD870" s="19"/>
      <c r="AE870" s="19"/>
    </row>
    <row r="871" spans="1:31" ht="13.15" x14ac:dyDescent="0.4">
      <c r="A871" s="19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  <c r="AA871" s="19"/>
      <c r="AB871" s="19"/>
      <c r="AC871" s="19"/>
      <c r="AD871" s="19"/>
      <c r="AE871" s="19"/>
    </row>
    <row r="872" spans="1:31" ht="13.15" x14ac:dyDescent="0.4">
      <c r="A872" s="19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  <c r="AA872" s="19"/>
      <c r="AB872" s="19"/>
      <c r="AC872" s="19"/>
      <c r="AD872" s="19"/>
      <c r="AE872" s="19"/>
    </row>
    <row r="873" spans="1:31" ht="13.15" x14ac:dyDescent="0.4">
      <c r="A873" s="19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  <c r="AA873" s="19"/>
      <c r="AB873" s="19"/>
      <c r="AC873" s="19"/>
      <c r="AD873" s="19"/>
      <c r="AE873" s="19"/>
    </row>
    <row r="874" spans="1:31" ht="13.15" x14ac:dyDescent="0.4">
      <c r="A874" s="19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  <c r="AA874" s="19"/>
      <c r="AB874" s="19"/>
      <c r="AC874" s="19"/>
      <c r="AD874" s="19"/>
      <c r="AE874" s="19"/>
    </row>
    <row r="875" spans="1:31" ht="13.15" x14ac:dyDescent="0.4">
      <c r="A875" s="19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  <c r="AA875" s="19"/>
      <c r="AB875" s="19"/>
      <c r="AC875" s="19"/>
      <c r="AD875" s="19"/>
      <c r="AE875" s="19"/>
    </row>
    <row r="876" spans="1:31" ht="13.15" x14ac:dyDescent="0.4">
      <c r="A876" s="19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  <c r="AA876" s="19"/>
      <c r="AB876" s="19"/>
      <c r="AC876" s="19"/>
      <c r="AD876" s="19"/>
      <c r="AE876" s="19"/>
    </row>
    <row r="877" spans="1:31" ht="13.15" x14ac:dyDescent="0.4">
      <c r="A877" s="19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  <c r="AA877" s="19"/>
      <c r="AB877" s="19"/>
      <c r="AC877" s="19"/>
      <c r="AD877" s="19"/>
      <c r="AE877" s="19"/>
    </row>
    <row r="878" spans="1:31" ht="13.15" x14ac:dyDescent="0.4">
      <c r="A878" s="19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  <c r="AA878" s="19"/>
      <c r="AB878" s="19"/>
      <c r="AC878" s="19"/>
      <c r="AD878" s="19"/>
      <c r="AE878" s="19"/>
    </row>
    <row r="879" spans="1:31" ht="13.15" x14ac:dyDescent="0.4">
      <c r="A879" s="19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  <c r="AA879" s="19"/>
      <c r="AB879" s="19"/>
      <c r="AC879" s="19"/>
      <c r="AD879" s="19"/>
      <c r="AE879" s="19"/>
    </row>
    <row r="880" spans="1:31" ht="13.15" x14ac:dyDescent="0.4">
      <c r="A880" s="19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  <c r="AA880" s="19"/>
      <c r="AB880" s="19"/>
      <c r="AC880" s="19"/>
      <c r="AD880" s="19"/>
      <c r="AE880" s="19"/>
    </row>
    <row r="881" spans="1:31" ht="13.15" x14ac:dyDescent="0.4">
      <c r="A881" s="19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  <c r="AA881" s="19"/>
      <c r="AB881" s="19"/>
      <c r="AC881" s="19"/>
      <c r="AD881" s="19"/>
      <c r="AE881" s="19"/>
    </row>
    <row r="882" spans="1:31" ht="13.15" x14ac:dyDescent="0.4">
      <c r="A882" s="19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  <c r="AA882" s="19"/>
      <c r="AB882" s="19"/>
      <c r="AC882" s="19"/>
      <c r="AD882" s="19"/>
      <c r="AE882" s="19"/>
    </row>
    <row r="883" spans="1:31" ht="13.15" x14ac:dyDescent="0.4">
      <c r="A883" s="19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  <c r="AA883" s="19"/>
      <c r="AB883" s="19"/>
      <c r="AC883" s="19"/>
      <c r="AD883" s="19"/>
      <c r="AE883" s="19"/>
    </row>
    <row r="884" spans="1:31" ht="13.15" x14ac:dyDescent="0.4">
      <c r="A884" s="19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  <c r="AA884" s="19"/>
      <c r="AB884" s="19"/>
      <c r="AC884" s="19"/>
      <c r="AD884" s="19"/>
      <c r="AE884" s="19"/>
    </row>
    <row r="885" spans="1:31" ht="13.15" x14ac:dyDescent="0.4">
      <c r="A885" s="19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  <c r="AA885" s="19"/>
      <c r="AB885" s="19"/>
      <c r="AC885" s="19"/>
      <c r="AD885" s="19"/>
      <c r="AE885" s="19"/>
    </row>
    <row r="886" spans="1:31" ht="13.15" x14ac:dyDescent="0.4">
      <c r="A886" s="19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  <c r="AA886" s="19"/>
      <c r="AB886" s="19"/>
      <c r="AC886" s="19"/>
      <c r="AD886" s="19"/>
      <c r="AE886" s="19"/>
    </row>
    <row r="887" spans="1:31" ht="13.15" x14ac:dyDescent="0.4">
      <c r="A887" s="19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  <c r="AA887" s="19"/>
      <c r="AB887" s="19"/>
      <c r="AC887" s="19"/>
      <c r="AD887" s="19"/>
      <c r="AE887" s="19"/>
    </row>
    <row r="888" spans="1:31" ht="13.15" x14ac:dyDescent="0.4">
      <c r="A888" s="19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  <c r="AA888" s="19"/>
      <c r="AB888" s="19"/>
      <c r="AC888" s="19"/>
      <c r="AD888" s="19"/>
      <c r="AE888" s="19"/>
    </row>
    <row r="889" spans="1:31" ht="13.15" x14ac:dyDescent="0.4">
      <c r="A889" s="19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  <c r="AA889" s="19"/>
      <c r="AB889" s="19"/>
      <c r="AC889" s="19"/>
      <c r="AD889" s="19"/>
      <c r="AE889" s="19"/>
    </row>
    <row r="890" spans="1:31" ht="13.15" x14ac:dyDescent="0.4">
      <c r="A890" s="19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  <c r="AA890" s="19"/>
      <c r="AB890" s="19"/>
      <c r="AC890" s="19"/>
      <c r="AD890" s="19"/>
      <c r="AE890" s="19"/>
    </row>
    <row r="891" spans="1:31" ht="13.15" x14ac:dyDescent="0.4">
      <c r="A891" s="19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  <c r="AA891" s="19"/>
      <c r="AB891" s="19"/>
      <c r="AC891" s="19"/>
      <c r="AD891" s="19"/>
      <c r="AE891" s="19"/>
    </row>
    <row r="892" spans="1:31" ht="13.15" x14ac:dyDescent="0.4">
      <c r="A892" s="19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  <c r="AA892" s="19"/>
      <c r="AB892" s="19"/>
      <c r="AC892" s="19"/>
      <c r="AD892" s="19"/>
      <c r="AE892" s="19"/>
    </row>
    <row r="893" spans="1:31" ht="13.15" x14ac:dyDescent="0.4">
      <c r="A893" s="19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  <c r="AA893" s="19"/>
      <c r="AB893" s="19"/>
      <c r="AC893" s="19"/>
      <c r="AD893" s="19"/>
      <c r="AE893" s="19"/>
    </row>
    <row r="894" spans="1:31" ht="13.15" x14ac:dyDescent="0.4">
      <c r="A894" s="19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  <c r="AA894" s="19"/>
      <c r="AB894" s="19"/>
      <c r="AC894" s="19"/>
      <c r="AD894" s="19"/>
      <c r="AE894" s="19"/>
    </row>
    <row r="895" spans="1:31" ht="13.15" x14ac:dyDescent="0.4">
      <c r="A895" s="19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  <c r="AA895" s="19"/>
      <c r="AB895" s="19"/>
      <c r="AC895" s="19"/>
      <c r="AD895" s="19"/>
      <c r="AE895" s="19"/>
    </row>
    <row r="896" spans="1:31" ht="13.15" x14ac:dyDescent="0.4">
      <c r="A896" s="19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  <c r="AA896" s="19"/>
      <c r="AB896" s="19"/>
      <c r="AC896" s="19"/>
      <c r="AD896" s="19"/>
      <c r="AE896" s="19"/>
    </row>
    <row r="897" spans="1:31" ht="13.15" x14ac:dyDescent="0.4">
      <c r="A897" s="19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  <c r="AA897" s="19"/>
      <c r="AB897" s="19"/>
      <c r="AC897" s="19"/>
      <c r="AD897" s="19"/>
      <c r="AE897" s="19"/>
    </row>
    <row r="898" spans="1:31" ht="13.15" x14ac:dyDescent="0.4">
      <c r="A898" s="19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  <c r="AA898" s="19"/>
      <c r="AB898" s="19"/>
      <c r="AC898" s="19"/>
      <c r="AD898" s="19"/>
      <c r="AE898" s="19"/>
    </row>
    <row r="899" spans="1:31" ht="13.15" x14ac:dyDescent="0.4">
      <c r="A899" s="19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  <c r="AA899" s="19"/>
      <c r="AB899" s="19"/>
      <c r="AC899" s="19"/>
      <c r="AD899" s="19"/>
      <c r="AE899" s="19"/>
    </row>
    <row r="900" spans="1:31" ht="13.15" x14ac:dyDescent="0.4">
      <c r="A900" s="19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  <c r="AA900" s="19"/>
      <c r="AB900" s="19"/>
      <c r="AC900" s="19"/>
      <c r="AD900" s="19"/>
      <c r="AE900" s="19"/>
    </row>
    <row r="901" spans="1:31" ht="13.15" x14ac:dyDescent="0.4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  <c r="AA901" s="19"/>
      <c r="AB901" s="19"/>
      <c r="AC901" s="19"/>
      <c r="AD901" s="19"/>
      <c r="AE901" s="19"/>
    </row>
    <row r="902" spans="1:31" ht="13.15" x14ac:dyDescent="0.4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  <c r="AA902" s="19"/>
      <c r="AB902" s="19"/>
      <c r="AC902" s="19"/>
      <c r="AD902" s="19"/>
      <c r="AE902" s="19"/>
    </row>
    <row r="903" spans="1:31" ht="13.15" x14ac:dyDescent="0.4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  <c r="AA903" s="19"/>
      <c r="AB903" s="19"/>
      <c r="AC903" s="19"/>
      <c r="AD903" s="19"/>
      <c r="AE903" s="19"/>
    </row>
    <row r="904" spans="1:31" ht="13.15" x14ac:dyDescent="0.4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  <c r="AA904" s="19"/>
      <c r="AB904" s="19"/>
      <c r="AC904" s="19"/>
      <c r="AD904" s="19"/>
      <c r="AE904" s="19"/>
    </row>
    <row r="905" spans="1:31" ht="13.15" x14ac:dyDescent="0.4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  <c r="AA905" s="19"/>
      <c r="AB905" s="19"/>
      <c r="AC905" s="19"/>
      <c r="AD905" s="19"/>
      <c r="AE905" s="19"/>
    </row>
    <row r="906" spans="1:31" ht="13.15" x14ac:dyDescent="0.4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  <c r="AA906" s="19"/>
      <c r="AB906" s="19"/>
      <c r="AC906" s="19"/>
      <c r="AD906" s="19"/>
      <c r="AE906" s="19"/>
    </row>
    <row r="907" spans="1:31" ht="13.15" x14ac:dyDescent="0.4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  <c r="AA907" s="19"/>
      <c r="AB907" s="19"/>
      <c r="AC907" s="19"/>
      <c r="AD907" s="19"/>
      <c r="AE907" s="19"/>
    </row>
    <row r="908" spans="1:31" ht="13.15" x14ac:dyDescent="0.4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  <c r="AA908" s="19"/>
      <c r="AB908" s="19"/>
      <c r="AC908" s="19"/>
      <c r="AD908" s="19"/>
      <c r="AE908" s="19"/>
    </row>
    <row r="909" spans="1:31" ht="13.15" x14ac:dyDescent="0.4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  <c r="AA909" s="19"/>
      <c r="AB909" s="19"/>
      <c r="AC909" s="19"/>
      <c r="AD909" s="19"/>
      <c r="AE909" s="19"/>
    </row>
    <row r="910" spans="1:31" ht="13.15" x14ac:dyDescent="0.4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  <c r="AB910" s="19"/>
      <c r="AC910" s="19"/>
      <c r="AD910" s="19"/>
      <c r="AE910" s="19"/>
    </row>
    <row r="911" spans="1:31" ht="13.15" x14ac:dyDescent="0.4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  <c r="AA911" s="19"/>
      <c r="AB911" s="19"/>
      <c r="AC911" s="19"/>
      <c r="AD911" s="19"/>
      <c r="AE911" s="19"/>
    </row>
    <row r="912" spans="1:31" ht="13.15" x14ac:dyDescent="0.4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  <c r="AA912" s="19"/>
      <c r="AB912" s="19"/>
      <c r="AC912" s="19"/>
      <c r="AD912" s="19"/>
      <c r="AE912" s="19"/>
    </row>
    <row r="913" spans="1:31" ht="13.15" x14ac:dyDescent="0.4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  <c r="AA913" s="19"/>
      <c r="AB913" s="19"/>
      <c r="AC913" s="19"/>
      <c r="AD913" s="19"/>
      <c r="AE913" s="19"/>
    </row>
    <row r="914" spans="1:31" ht="13.15" x14ac:dyDescent="0.4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  <c r="AA914" s="19"/>
      <c r="AB914" s="19"/>
      <c r="AC914" s="19"/>
      <c r="AD914" s="19"/>
      <c r="AE914" s="19"/>
    </row>
    <row r="915" spans="1:31" ht="13.15" x14ac:dyDescent="0.4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  <c r="AA915" s="19"/>
      <c r="AB915" s="19"/>
      <c r="AC915" s="19"/>
      <c r="AD915" s="19"/>
      <c r="AE915" s="19"/>
    </row>
    <row r="916" spans="1:31" ht="13.15" x14ac:dyDescent="0.4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  <c r="AA916" s="19"/>
      <c r="AB916" s="19"/>
      <c r="AC916" s="19"/>
      <c r="AD916" s="19"/>
      <c r="AE916" s="19"/>
    </row>
    <row r="917" spans="1:31" ht="13.15" x14ac:dyDescent="0.4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  <c r="AA917" s="19"/>
      <c r="AB917" s="19"/>
      <c r="AC917" s="19"/>
      <c r="AD917" s="19"/>
      <c r="AE917" s="19"/>
    </row>
    <row r="918" spans="1:31" ht="13.15" x14ac:dyDescent="0.4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  <c r="AB918" s="19"/>
      <c r="AC918" s="19"/>
      <c r="AD918" s="19"/>
      <c r="AE918" s="19"/>
    </row>
    <row r="919" spans="1:31" ht="13.15" x14ac:dyDescent="0.4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  <c r="AA919" s="19"/>
      <c r="AB919" s="19"/>
      <c r="AC919" s="19"/>
      <c r="AD919" s="19"/>
      <c r="AE919" s="19"/>
    </row>
    <row r="920" spans="1:31" ht="13.15" x14ac:dyDescent="0.4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  <c r="AA920" s="19"/>
      <c r="AB920" s="19"/>
      <c r="AC920" s="19"/>
      <c r="AD920" s="19"/>
      <c r="AE920" s="19"/>
    </row>
    <row r="921" spans="1:31" ht="13.15" x14ac:dyDescent="0.4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  <c r="AA921" s="19"/>
      <c r="AB921" s="19"/>
      <c r="AC921" s="19"/>
      <c r="AD921" s="19"/>
      <c r="AE921" s="19"/>
    </row>
    <row r="922" spans="1:31" ht="13.15" x14ac:dyDescent="0.4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  <c r="AA922" s="19"/>
      <c r="AB922" s="19"/>
      <c r="AC922" s="19"/>
      <c r="AD922" s="19"/>
      <c r="AE922" s="19"/>
    </row>
    <row r="923" spans="1:31" ht="13.15" x14ac:dyDescent="0.4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  <c r="AA923" s="19"/>
      <c r="AB923" s="19"/>
      <c r="AC923" s="19"/>
      <c r="AD923" s="19"/>
      <c r="AE923" s="19"/>
    </row>
    <row r="924" spans="1:31" ht="13.15" x14ac:dyDescent="0.4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  <c r="AA924" s="19"/>
      <c r="AB924" s="19"/>
      <c r="AC924" s="19"/>
      <c r="AD924" s="19"/>
      <c r="AE924" s="19"/>
    </row>
    <row r="925" spans="1:31" ht="13.15" x14ac:dyDescent="0.4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  <c r="AA925" s="19"/>
      <c r="AB925" s="19"/>
      <c r="AC925" s="19"/>
      <c r="AD925" s="19"/>
      <c r="AE925" s="19"/>
    </row>
    <row r="926" spans="1:31" ht="13.15" x14ac:dyDescent="0.4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  <c r="AA926" s="19"/>
      <c r="AB926" s="19"/>
      <c r="AC926" s="19"/>
      <c r="AD926" s="19"/>
      <c r="AE926" s="19"/>
    </row>
    <row r="927" spans="1:31" ht="13.15" x14ac:dyDescent="0.4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  <c r="AA927" s="19"/>
      <c r="AB927" s="19"/>
      <c r="AC927" s="19"/>
      <c r="AD927" s="19"/>
      <c r="AE927" s="19"/>
    </row>
    <row r="928" spans="1:31" ht="13.15" x14ac:dyDescent="0.4">
      <c r="A928" s="19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  <c r="AA928" s="19"/>
      <c r="AB928" s="19"/>
      <c r="AC928" s="19"/>
      <c r="AD928" s="19"/>
      <c r="AE928" s="19"/>
    </row>
    <row r="929" spans="1:31" ht="13.15" x14ac:dyDescent="0.4">
      <c r="A929" s="19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  <c r="AA929" s="19"/>
      <c r="AB929" s="19"/>
      <c r="AC929" s="19"/>
      <c r="AD929" s="19"/>
      <c r="AE929" s="19"/>
    </row>
    <row r="930" spans="1:31" ht="13.15" x14ac:dyDescent="0.4">
      <c r="A930" s="19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  <c r="AA930" s="19"/>
      <c r="AB930" s="19"/>
      <c r="AC930" s="19"/>
      <c r="AD930" s="19"/>
      <c r="AE930" s="19"/>
    </row>
    <row r="931" spans="1:31" ht="13.15" x14ac:dyDescent="0.4">
      <c r="A931" s="19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  <c r="AA931" s="19"/>
      <c r="AB931" s="19"/>
      <c r="AC931" s="19"/>
      <c r="AD931" s="19"/>
      <c r="AE931" s="19"/>
    </row>
    <row r="932" spans="1:31" ht="13.15" x14ac:dyDescent="0.4">
      <c r="A932" s="19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  <c r="AA932" s="19"/>
      <c r="AB932" s="19"/>
      <c r="AC932" s="19"/>
      <c r="AD932" s="19"/>
      <c r="AE932" s="19"/>
    </row>
    <row r="933" spans="1:31" ht="13.15" x14ac:dyDescent="0.4">
      <c r="A933" s="19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  <c r="AA933" s="19"/>
      <c r="AB933" s="19"/>
      <c r="AC933" s="19"/>
      <c r="AD933" s="19"/>
      <c r="AE933" s="19"/>
    </row>
    <row r="934" spans="1:31" ht="13.15" x14ac:dyDescent="0.4">
      <c r="A934" s="19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  <c r="AA934" s="19"/>
      <c r="AB934" s="19"/>
      <c r="AC934" s="19"/>
      <c r="AD934" s="19"/>
      <c r="AE934" s="19"/>
    </row>
    <row r="935" spans="1:31" ht="13.15" x14ac:dyDescent="0.4">
      <c r="A935" s="19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  <c r="AA935" s="19"/>
      <c r="AB935" s="19"/>
      <c r="AC935" s="19"/>
      <c r="AD935" s="19"/>
      <c r="AE935" s="19"/>
    </row>
    <row r="936" spans="1:31" ht="13.15" x14ac:dyDescent="0.4">
      <c r="A936" s="19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  <c r="AA936" s="19"/>
      <c r="AB936" s="19"/>
      <c r="AC936" s="19"/>
      <c r="AD936" s="19"/>
      <c r="AE936" s="19"/>
    </row>
    <row r="937" spans="1:31" ht="13.15" x14ac:dyDescent="0.4">
      <c r="A937" s="19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  <c r="AA937" s="19"/>
      <c r="AB937" s="19"/>
      <c r="AC937" s="19"/>
      <c r="AD937" s="19"/>
      <c r="AE937" s="19"/>
    </row>
    <row r="938" spans="1:31" ht="13.15" x14ac:dyDescent="0.4">
      <c r="A938" s="19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  <c r="AA938" s="19"/>
      <c r="AB938" s="19"/>
      <c r="AC938" s="19"/>
      <c r="AD938" s="19"/>
      <c r="AE938" s="19"/>
    </row>
    <row r="939" spans="1:31" ht="13.15" x14ac:dyDescent="0.4">
      <c r="A939" s="19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  <c r="AA939" s="19"/>
      <c r="AB939" s="19"/>
      <c r="AC939" s="19"/>
      <c r="AD939" s="19"/>
      <c r="AE939" s="19"/>
    </row>
    <row r="940" spans="1:31" ht="13.15" x14ac:dyDescent="0.4">
      <c r="A940" s="19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  <c r="AB940" s="19"/>
      <c r="AC940" s="19"/>
      <c r="AD940" s="19"/>
      <c r="AE940" s="19"/>
    </row>
    <row r="941" spans="1:31" ht="13.15" x14ac:dyDescent="0.4">
      <c r="A941" s="19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  <c r="AA941" s="19"/>
      <c r="AB941" s="19"/>
      <c r="AC941" s="19"/>
      <c r="AD941" s="19"/>
      <c r="AE941" s="19"/>
    </row>
    <row r="942" spans="1:31" ht="13.15" x14ac:dyDescent="0.4">
      <c r="A942" s="19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  <c r="AA942" s="19"/>
      <c r="AB942" s="19"/>
      <c r="AC942" s="19"/>
      <c r="AD942" s="19"/>
      <c r="AE942" s="19"/>
    </row>
    <row r="943" spans="1:31" ht="13.15" x14ac:dyDescent="0.4">
      <c r="A943" s="19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  <c r="AA943" s="19"/>
      <c r="AB943" s="19"/>
      <c r="AC943" s="19"/>
      <c r="AD943" s="19"/>
      <c r="AE943" s="19"/>
    </row>
    <row r="944" spans="1:31" ht="13.15" x14ac:dyDescent="0.4">
      <c r="A944" s="19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  <c r="AA944" s="19"/>
      <c r="AB944" s="19"/>
      <c r="AC944" s="19"/>
      <c r="AD944" s="19"/>
      <c r="AE944" s="19"/>
    </row>
    <row r="945" spans="1:31" ht="13.15" x14ac:dyDescent="0.4">
      <c r="A945" s="19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  <c r="AA945" s="19"/>
      <c r="AB945" s="19"/>
      <c r="AC945" s="19"/>
      <c r="AD945" s="19"/>
      <c r="AE945" s="19"/>
    </row>
    <row r="946" spans="1:31" ht="13.15" x14ac:dyDescent="0.4">
      <c r="A946" s="19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  <c r="AA946" s="19"/>
      <c r="AB946" s="19"/>
      <c r="AC946" s="19"/>
      <c r="AD946" s="19"/>
      <c r="AE946" s="19"/>
    </row>
    <row r="947" spans="1:31" ht="13.15" x14ac:dyDescent="0.4">
      <c r="A947" s="19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  <c r="AA947" s="19"/>
      <c r="AB947" s="19"/>
      <c r="AC947" s="19"/>
      <c r="AD947" s="19"/>
      <c r="AE947" s="19"/>
    </row>
    <row r="948" spans="1:31" ht="13.15" x14ac:dyDescent="0.4">
      <c r="A948" s="19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  <c r="AA948" s="19"/>
      <c r="AB948" s="19"/>
      <c r="AC948" s="19"/>
      <c r="AD948" s="19"/>
      <c r="AE948" s="19"/>
    </row>
    <row r="949" spans="1:31" ht="13.15" x14ac:dyDescent="0.4">
      <c r="A949" s="19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  <c r="AA949" s="19"/>
      <c r="AB949" s="19"/>
      <c r="AC949" s="19"/>
      <c r="AD949" s="19"/>
      <c r="AE949" s="19"/>
    </row>
    <row r="950" spans="1:31" ht="13.15" x14ac:dyDescent="0.4">
      <c r="A950" s="19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  <c r="AA950" s="19"/>
      <c r="AB950" s="19"/>
      <c r="AC950" s="19"/>
      <c r="AD950" s="19"/>
      <c r="AE950" s="19"/>
    </row>
    <row r="951" spans="1:31" ht="13.15" x14ac:dyDescent="0.4">
      <c r="A951" s="19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  <c r="AA951" s="19"/>
      <c r="AB951" s="19"/>
      <c r="AC951" s="19"/>
      <c r="AD951" s="19"/>
      <c r="AE951" s="19"/>
    </row>
    <row r="952" spans="1:31" ht="13.15" x14ac:dyDescent="0.4">
      <c r="A952" s="19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  <c r="AA952" s="19"/>
      <c r="AB952" s="19"/>
      <c r="AC952" s="19"/>
      <c r="AD952" s="19"/>
      <c r="AE952" s="19"/>
    </row>
    <row r="953" spans="1:31" ht="13.15" x14ac:dyDescent="0.4">
      <c r="A953" s="19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  <c r="AA953" s="19"/>
      <c r="AB953" s="19"/>
      <c r="AC953" s="19"/>
      <c r="AD953" s="19"/>
      <c r="AE953" s="19"/>
    </row>
    <row r="954" spans="1:31" ht="13.15" x14ac:dyDescent="0.4">
      <c r="A954" s="19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  <c r="AA954" s="19"/>
      <c r="AB954" s="19"/>
      <c r="AC954" s="19"/>
      <c r="AD954" s="19"/>
      <c r="AE954" s="19"/>
    </row>
    <row r="955" spans="1:31" ht="13.15" x14ac:dyDescent="0.4">
      <c r="A955" s="19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  <c r="AA955" s="19"/>
      <c r="AB955" s="19"/>
      <c r="AC955" s="19"/>
      <c r="AD955" s="19"/>
      <c r="AE955" s="19"/>
    </row>
    <row r="956" spans="1:31" ht="13.15" x14ac:dyDescent="0.4">
      <c r="A956" s="19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  <c r="AA956" s="19"/>
      <c r="AB956" s="19"/>
      <c r="AC956" s="19"/>
      <c r="AD956" s="19"/>
      <c r="AE956" s="19"/>
    </row>
    <row r="957" spans="1:31" ht="13.15" x14ac:dyDescent="0.4">
      <c r="A957" s="19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  <c r="AA957" s="19"/>
      <c r="AB957" s="19"/>
      <c r="AC957" s="19"/>
      <c r="AD957" s="19"/>
      <c r="AE957" s="19"/>
    </row>
    <row r="958" spans="1:31" ht="13.15" x14ac:dyDescent="0.4">
      <c r="A958" s="19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  <c r="AA958" s="19"/>
      <c r="AB958" s="19"/>
      <c r="AC958" s="19"/>
      <c r="AD958" s="19"/>
      <c r="AE958" s="19"/>
    </row>
    <row r="959" spans="1:31" ht="13.15" x14ac:dyDescent="0.4">
      <c r="A959" s="19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  <c r="AA959" s="19"/>
      <c r="AB959" s="19"/>
      <c r="AC959" s="19"/>
      <c r="AD959" s="19"/>
      <c r="AE959" s="19"/>
    </row>
    <row r="960" spans="1:31" ht="13.15" x14ac:dyDescent="0.4">
      <c r="A960" s="19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  <c r="AA960" s="19"/>
      <c r="AB960" s="19"/>
      <c r="AC960" s="19"/>
      <c r="AD960" s="19"/>
      <c r="AE960" s="19"/>
    </row>
    <row r="961" spans="1:31" ht="13.15" x14ac:dyDescent="0.4">
      <c r="A961" s="19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  <c r="AA961" s="19"/>
      <c r="AB961" s="19"/>
      <c r="AC961" s="19"/>
      <c r="AD961" s="19"/>
      <c r="AE961" s="19"/>
    </row>
    <row r="962" spans="1:31" ht="13.15" x14ac:dyDescent="0.4">
      <c r="A962" s="19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  <c r="AA962" s="19"/>
      <c r="AB962" s="19"/>
      <c r="AC962" s="19"/>
      <c r="AD962" s="19"/>
      <c r="AE962" s="19"/>
    </row>
    <row r="963" spans="1:31" ht="13.15" x14ac:dyDescent="0.4">
      <c r="A963" s="19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  <c r="AB963" s="19"/>
      <c r="AC963" s="19"/>
      <c r="AD963" s="19"/>
      <c r="AE963" s="19"/>
    </row>
    <row r="964" spans="1:31" ht="13.15" x14ac:dyDescent="0.4">
      <c r="A964" s="19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  <c r="AA964" s="19"/>
      <c r="AB964" s="19"/>
      <c r="AC964" s="19"/>
      <c r="AD964" s="19"/>
      <c r="AE964" s="19"/>
    </row>
    <row r="965" spans="1:31" ht="13.15" x14ac:dyDescent="0.4">
      <c r="A965" s="19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  <c r="AA965" s="19"/>
      <c r="AB965" s="19"/>
      <c r="AC965" s="19"/>
      <c r="AD965" s="19"/>
      <c r="AE965" s="19"/>
    </row>
    <row r="966" spans="1:31" ht="13.15" x14ac:dyDescent="0.4">
      <c r="A966" s="19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  <c r="AA966" s="19"/>
      <c r="AB966" s="19"/>
      <c r="AC966" s="19"/>
      <c r="AD966" s="19"/>
      <c r="AE966" s="19"/>
    </row>
    <row r="967" spans="1:31" ht="13.15" x14ac:dyDescent="0.4">
      <c r="A967" s="19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  <c r="AA967" s="19"/>
      <c r="AB967" s="19"/>
      <c r="AC967" s="19"/>
      <c r="AD967" s="19"/>
      <c r="AE967" s="19"/>
    </row>
    <row r="968" spans="1:31" ht="13.15" x14ac:dyDescent="0.4">
      <c r="A968" s="19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  <c r="AA968" s="19"/>
      <c r="AB968" s="19"/>
      <c r="AC968" s="19"/>
      <c r="AD968" s="19"/>
      <c r="AE968" s="19"/>
    </row>
    <row r="969" spans="1:31" ht="13.15" x14ac:dyDescent="0.4">
      <c r="A969" s="19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  <c r="AA969" s="19"/>
      <c r="AB969" s="19"/>
      <c r="AC969" s="19"/>
      <c r="AD969" s="19"/>
      <c r="AE969" s="19"/>
    </row>
    <row r="970" spans="1:31" ht="13.15" x14ac:dyDescent="0.4">
      <c r="A970" s="19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  <c r="AA970" s="19"/>
      <c r="AB970" s="19"/>
      <c r="AC970" s="19"/>
      <c r="AD970" s="19"/>
      <c r="AE970" s="19"/>
    </row>
    <row r="971" spans="1:31" ht="13.15" x14ac:dyDescent="0.4">
      <c r="A971" s="19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  <c r="AA971" s="19"/>
      <c r="AB971" s="19"/>
      <c r="AC971" s="19"/>
      <c r="AD971" s="19"/>
      <c r="AE971" s="19"/>
    </row>
    <row r="972" spans="1:31" ht="13.15" x14ac:dyDescent="0.4">
      <c r="A972" s="19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  <c r="AA972" s="19"/>
      <c r="AB972" s="19"/>
      <c r="AC972" s="19"/>
      <c r="AD972" s="19"/>
      <c r="AE972" s="19"/>
    </row>
    <row r="973" spans="1:31" ht="13.15" x14ac:dyDescent="0.4">
      <c r="A973" s="19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  <c r="AA973" s="19"/>
      <c r="AB973" s="19"/>
      <c r="AC973" s="19"/>
      <c r="AD973" s="19"/>
      <c r="AE973" s="19"/>
    </row>
    <row r="974" spans="1:31" ht="13.15" x14ac:dyDescent="0.4">
      <c r="A974" s="19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  <c r="AA974" s="19"/>
      <c r="AB974" s="19"/>
      <c r="AC974" s="19"/>
      <c r="AD974" s="19"/>
      <c r="AE974" s="19"/>
    </row>
    <row r="975" spans="1:31" ht="13.15" x14ac:dyDescent="0.4">
      <c r="A975" s="19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  <c r="AA975" s="19"/>
      <c r="AB975" s="19"/>
      <c r="AC975" s="19"/>
      <c r="AD975" s="19"/>
      <c r="AE975" s="19"/>
    </row>
    <row r="976" spans="1:31" ht="13.15" x14ac:dyDescent="0.4">
      <c r="A976" s="19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  <c r="AA976" s="19"/>
      <c r="AB976" s="19"/>
      <c r="AC976" s="19"/>
      <c r="AD976" s="19"/>
      <c r="AE976" s="19"/>
    </row>
    <row r="977" spans="1:31" ht="13.15" x14ac:dyDescent="0.4">
      <c r="A977" s="19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  <c r="AA977" s="19"/>
      <c r="AB977" s="19"/>
      <c r="AC977" s="19"/>
      <c r="AD977" s="19"/>
      <c r="AE977" s="19"/>
    </row>
    <row r="978" spans="1:31" ht="13.15" x14ac:dyDescent="0.4">
      <c r="A978" s="19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  <c r="AA978" s="19"/>
      <c r="AB978" s="19"/>
      <c r="AC978" s="19"/>
      <c r="AD978" s="19"/>
      <c r="AE978" s="19"/>
    </row>
    <row r="979" spans="1:31" ht="13.15" x14ac:dyDescent="0.4">
      <c r="A979" s="19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  <c r="AA979" s="19"/>
      <c r="AB979" s="19"/>
      <c r="AC979" s="19"/>
      <c r="AD979" s="19"/>
      <c r="AE979" s="19"/>
    </row>
    <row r="980" spans="1:31" ht="13.15" x14ac:dyDescent="0.4">
      <c r="A980" s="19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  <c r="AA980" s="19"/>
      <c r="AB980" s="19"/>
      <c r="AC980" s="19"/>
      <c r="AD980" s="19"/>
      <c r="AE980" s="19"/>
    </row>
    <row r="981" spans="1:31" ht="13.15" x14ac:dyDescent="0.4">
      <c r="A981" s="19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  <c r="AA981" s="19"/>
      <c r="AB981" s="19"/>
      <c r="AC981" s="19"/>
      <c r="AD981" s="19"/>
      <c r="AE981" s="19"/>
    </row>
    <row r="982" spans="1:31" ht="13.15" x14ac:dyDescent="0.4">
      <c r="A982" s="19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  <c r="AA982" s="19"/>
      <c r="AB982" s="19"/>
      <c r="AC982" s="19"/>
      <c r="AD982" s="19"/>
      <c r="AE982" s="19"/>
    </row>
    <row r="983" spans="1:31" ht="13.15" x14ac:dyDescent="0.4">
      <c r="A983" s="19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  <c r="AA983" s="19"/>
      <c r="AB983" s="19"/>
      <c r="AC983" s="19"/>
      <c r="AD983" s="19"/>
      <c r="AE983" s="19"/>
    </row>
    <row r="984" spans="1:31" ht="13.15" x14ac:dyDescent="0.4">
      <c r="A984" s="19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  <c r="AA984" s="19"/>
      <c r="AB984" s="19"/>
      <c r="AC984" s="19"/>
      <c r="AD984" s="19"/>
      <c r="AE984" s="19"/>
    </row>
    <row r="985" spans="1:31" ht="13.15" x14ac:dyDescent="0.4">
      <c r="A985" s="19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  <c r="AA985" s="19"/>
      <c r="AB985" s="19"/>
      <c r="AC985" s="19"/>
      <c r="AD985" s="19"/>
      <c r="AE985" s="19"/>
    </row>
    <row r="986" spans="1:31" ht="13.15" x14ac:dyDescent="0.4">
      <c r="A986" s="19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  <c r="AA986" s="19"/>
      <c r="AB986" s="19"/>
      <c r="AC986" s="19"/>
      <c r="AD986" s="19"/>
      <c r="AE986" s="19"/>
    </row>
    <row r="987" spans="1:31" ht="13.15" x14ac:dyDescent="0.4">
      <c r="A987" s="19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  <c r="AA987" s="19"/>
      <c r="AB987" s="19"/>
      <c r="AC987" s="19"/>
      <c r="AD987" s="19"/>
      <c r="AE987" s="19"/>
    </row>
    <row r="988" spans="1:31" ht="13.15" x14ac:dyDescent="0.4">
      <c r="A988" s="19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  <c r="AA988" s="19"/>
      <c r="AB988" s="19"/>
      <c r="AC988" s="19"/>
      <c r="AD988" s="19"/>
      <c r="AE988" s="19"/>
    </row>
    <row r="989" spans="1:31" ht="13.15" x14ac:dyDescent="0.4">
      <c r="A989" s="19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  <c r="AA989" s="19"/>
      <c r="AB989" s="19"/>
      <c r="AC989" s="19"/>
      <c r="AD989" s="19"/>
      <c r="AE989" s="19"/>
    </row>
    <row r="990" spans="1:31" ht="13.15" x14ac:dyDescent="0.4">
      <c r="A990" s="19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  <c r="AA990" s="19"/>
      <c r="AB990" s="19"/>
      <c r="AC990" s="19"/>
      <c r="AD990" s="19"/>
      <c r="AE990" s="19"/>
    </row>
    <row r="991" spans="1:31" ht="13.15" x14ac:dyDescent="0.4">
      <c r="A991" s="19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  <c r="AA991" s="19"/>
      <c r="AB991" s="19"/>
      <c r="AC991" s="19"/>
      <c r="AD991" s="19"/>
      <c r="AE991" s="19"/>
    </row>
    <row r="992" spans="1:31" ht="13.15" x14ac:dyDescent="0.4">
      <c r="A992" s="19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  <c r="AA992" s="19"/>
      <c r="AB992" s="19"/>
      <c r="AC992" s="19"/>
      <c r="AD992" s="19"/>
      <c r="AE992" s="19"/>
    </row>
    <row r="993" spans="1:31" ht="13.15" x14ac:dyDescent="0.4">
      <c r="A993" s="19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  <c r="AA993" s="19"/>
      <c r="AB993" s="19"/>
      <c r="AC993" s="19"/>
      <c r="AD993" s="19"/>
      <c r="AE993" s="19"/>
    </row>
    <row r="994" spans="1:31" ht="13.15" x14ac:dyDescent="0.4">
      <c r="A994" s="19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  <c r="AA994" s="19"/>
      <c r="AB994" s="19"/>
      <c r="AC994" s="19"/>
      <c r="AD994" s="19"/>
      <c r="AE994" s="19"/>
    </row>
    <row r="995" spans="1:31" ht="13.15" x14ac:dyDescent="0.4">
      <c r="A995" s="19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  <c r="AA995" s="19"/>
      <c r="AB995" s="19"/>
      <c r="AC995" s="19"/>
      <c r="AD995" s="19"/>
      <c r="AE995" s="19"/>
    </row>
    <row r="996" spans="1:31" ht="13.15" x14ac:dyDescent="0.4">
      <c r="A996" s="19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  <c r="AA996" s="19"/>
      <c r="AB996" s="19"/>
      <c r="AC996" s="19"/>
      <c r="AD996" s="19"/>
      <c r="AE996" s="19"/>
    </row>
    <row r="997" spans="1:31" ht="13.15" x14ac:dyDescent="0.4">
      <c r="A997" s="19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  <c r="AA997" s="19"/>
      <c r="AB997" s="19"/>
      <c r="AC997" s="19"/>
      <c r="AD997" s="19"/>
      <c r="AE997" s="19"/>
    </row>
    <row r="998" spans="1:31" ht="13.15" x14ac:dyDescent="0.4">
      <c r="A998" s="19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  <c r="AA998" s="19"/>
      <c r="AB998" s="19"/>
      <c r="AC998" s="19"/>
      <c r="AD998" s="19"/>
      <c r="AE998" s="19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AF1001"/>
  <sheetViews>
    <sheetView workbookViewId="0">
      <pane ySplit="1" topLeftCell="A2" activePane="bottomLeft" state="frozen"/>
      <selection pane="bottomLeft" activeCell="B3" sqref="B3"/>
    </sheetView>
  </sheetViews>
  <sheetFormatPr defaultColWidth="12.59765625" defaultRowHeight="15.75" customHeight="1" x14ac:dyDescent="0.35"/>
  <cols>
    <col min="6" max="7" width="18.73046875" customWidth="1"/>
    <col min="8" max="8" width="13.265625" customWidth="1"/>
  </cols>
  <sheetData>
    <row r="1" spans="1:32" ht="15.75" customHeight="1" x14ac:dyDescent="0.4">
      <c r="A1" s="18"/>
      <c r="B1" s="18"/>
      <c r="C1" s="18"/>
      <c r="D1" s="18"/>
      <c r="E1" s="18" t="s">
        <v>0</v>
      </c>
      <c r="F1" s="18" t="s">
        <v>4</v>
      </c>
      <c r="G1" s="18" t="s">
        <v>5</v>
      </c>
      <c r="H1" s="18" t="s">
        <v>6</v>
      </c>
      <c r="I1" s="18" t="s">
        <v>7</v>
      </c>
      <c r="J1" s="18" t="s">
        <v>8</v>
      </c>
      <c r="K1" s="18" t="s">
        <v>9</v>
      </c>
      <c r="L1" s="18" t="s">
        <v>10</v>
      </c>
      <c r="M1" s="18" t="s">
        <v>11</v>
      </c>
      <c r="N1" s="18" t="s">
        <v>12</v>
      </c>
      <c r="O1" s="18" t="s">
        <v>13</v>
      </c>
      <c r="P1" s="18" t="s">
        <v>14</v>
      </c>
      <c r="Q1" s="18" t="s">
        <v>15</v>
      </c>
      <c r="R1" s="18" t="s">
        <v>16</v>
      </c>
      <c r="S1" s="18" t="s">
        <v>74</v>
      </c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</row>
    <row r="2" spans="1:32" ht="15.75" customHeight="1" x14ac:dyDescent="0.4">
      <c r="A2" s="20" t="s">
        <v>3</v>
      </c>
      <c r="B2" s="20" t="s">
        <v>1</v>
      </c>
      <c r="C2" s="19"/>
      <c r="D2" s="19"/>
      <c r="E2" s="19" t="s">
        <v>21</v>
      </c>
      <c r="F2" s="19" t="s">
        <v>92</v>
      </c>
      <c r="G2" s="19" t="s">
        <v>185</v>
      </c>
      <c r="H2" s="19" t="s">
        <v>186</v>
      </c>
      <c r="I2" s="21">
        <v>45356</v>
      </c>
      <c r="J2" s="21"/>
      <c r="K2" s="19" t="s">
        <v>78</v>
      </c>
      <c r="L2" s="19" t="s">
        <v>115</v>
      </c>
      <c r="M2" s="19" t="s">
        <v>117</v>
      </c>
      <c r="N2" s="19">
        <v>7</v>
      </c>
      <c r="O2" s="19" t="s">
        <v>97</v>
      </c>
      <c r="P2" s="19">
        <v>2</v>
      </c>
      <c r="Q2" s="19">
        <v>2.5</v>
      </c>
      <c r="R2" s="19">
        <v>2.5</v>
      </c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</row>
    <row r="3" spans="1:32" ht="15.75" customHeight="1" x14ac:dyDescent="0.4">
      <c r="A3" s="19" t="s">
        <v>39</v>
      </c>
      <c r="B3" s="19">
        <f>COUNTIF($H$2:$H1001,"Welton Blaylock")</f>
        <v>10</v>
      </c>
      <c r="C3" s="19"/>
      <c r="D3" s="19"/>
      <c r="E3" s="19" t="s">
        <v>21</v>
      </c>
      <c r="F3" s="19" t="s">
        <v>75</v>
      </c>
      <c r="G3" s="19" t="s">
        <v>187</v>
      </c>
      <c r="H3" s="19" t="s">
        <v>186</v>
      </c>
      <c r="I3" s="21">
        <v>45355</v>
      </c>
      <c r="J3" s="21"/>
      <c r="K3" s="19" t="s">
        <v>85</v>
      </c>
      <c r="L3" s="19" t="s">
        <v>99</v>
      </c>
      <c r="M3" s="19" t="s">
        <v>95</v>
      </c>
      <c r="N3" s="19">
        <v>7</v>
      </c>
      <c r="O3" s="19" t="s">
        <v>97</v>
      </c>
      <c r="P3" s="19">
        <v>1</v>
      </c>
      <c r="Q3" s="19">
        <v>2.5</v>
      </c>
      <c r="R3" s="19">
        <v>2</v>
      </c>
      <c r="S3" s="19">
        <v>1.5</v>
      </c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</row>
    <row r="4" spans="1:32" ht="15.75" customHeight="1" x14ac:dyDescent="0.4">
      <c r="A4" s="19" t="s">
        <v>40</v>
      </c>
      <c r="B4" s="19">
        <f>COUNTIF($H$2:$H1001,"Myrna Hinojosa")</f>
        <v>10</v>
      </c>
      <c r="C4" s="19"/>
      <c r="D4" s="19"/>
      <c r="E4" s="19" t="s">
        <v>21</v>
      </c>
      <c r="F4" s="19" t="s">
        <v>75</v>
      </c>
      <c r="G4" s="19" t="s">
        <v>188</v>
      </c>
      <c r="H4" s="19" t="s">
        <v>186</v>
      </c>
      <c r="I4" s="21">
        <v>45356</v>
      </c>
      <c r="J4" s="21">
        <v>45356</v>
      </c>
      <c r="K4" s="19" t="s">
        <v>85</v>
      </c>
      <c r="L4" s="19" t="s">
        <v>79</v>
      </c>
      <c r="M4" s="19" t="s">
        <v>80</v>
      </c>
      <c r="N4" s="19">
        <v>7</v>
      </c>
      <c r="O4" s="19" t="s">
        <v>97</v>
      </c>
      <c r="P4" s="19">
        <v>1</v>
      </c>
      <c r="Q4" s="19">
        <v>1.5</v>
      </c>
      <c r="R4" s="19">
        <v>2.5</v>
      </c>
      <c r="S4" s="19">
        <v>2</v>
      </c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</row>
    <row r="5" spans="1:32" ht="15.75" customHeight="1" x14ac:dyDescent="0.4">
      <c r="A5" s="19" t="s">
        <v>41</v>
      </c>
      <c r="B5" s="19">
        <f>COUNTIF($H$2:$H1001,"Keena Olivas")</f>
        <v>10</v>
      </c>
      <c r="C5" s="19"/>
      <c r="D5" s="19"/>
      <c r="E5" s="19" t="s">
        <v>21</v>
      </c>
      <c r="F5" s="19" t="s">
        <v>89</v>
      </c>
      <c r="G5" s="19" t="s">
        <v>189</v>
      </c>
      <c r="H5" s="19" t="s">
        <v>186</v>
      </c>
      <c r="I5" s="21">
        <v>45356</v>
      </c>
      <c r="J5" s="21">
        <v>45357</v>
      </c>
      <c r="K5" s="19" t="s">
        <v>85</v>
      </c>
      <c r="L5" s="19"/>
      <c r="M5" s="19"/>
      <c r="N5" s="19">
        <v>7</v>
      </c>
      <c r="O5" s="19" t="s">
        <v>97</v>
      </c>
      <c r="P5" s="19">
        <v>1.5</v>
      </c>
      <c r="Q5" s="19">
        <v>3</v>
      </c>
      <c r="R5" s="19">
        <v>2.5</v>
      </c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</row>
    <row r="6" spans="1:32" ht="15.75" customHeight="1" x14ac:dyDescent="0.4">
      <c r="A6" s="18" t="s">
        <v>29</v>
      </c>
      <c r="B6" s="18">
        <f>SUM(B3:B5)</f>
        <v>30</v>
      </c>
      <c r="C6" s="19"/>
      <c r="D6" s="19"/>
      <c r="E6" s="19" t="s">
        <v>21</v>
      </c>
      <c r="F6" s="19" t="s">
        <v>75</v>
      </c>
      <c r="G6" s="19" t="s">
        <v>190</v>
      </c>
      <c r="H6" s="19" t="s">
        <v>186</v>
      </c>
      <c r="I6" s="21">
        <v>45357</v>
      </c>
      <c r="J6" s="21">
        <v>45358</v>
      </c>
      <c r="K6" s="19" t="s">
        <v>85</v>
      </c>
      <c r="L6" s="19" t="s">
        <v>99</v>
      </c>
      <c r="M6" s="19" t="s">
        <v>80</v>
      </c>
      <c r="N6" s="19">
        <v>7</v>
      </c>
      <c r="O6" s="19" t="s">
        <v>97</v>
      </c>
      <c r="P6" s="19">
        <v>1</v>
      </c>
      <c r="Q6" s="19">
        <v>2</v>
      </c>
      <c r="R6" s="19">
        <v>2</v>
      </c>
      <c r="S6" s="19">
        <v>2</v>
      </c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</row>
    <row r="7" spans="1:32" ht="15.75" customHeight="1" x14ac:dyDescent="0.4">
      <c r="A7" s="19"/>
      <c r="B7" s="19"/>
      <c r="C7" s="19"/>
      <c r="D7" s="19"/>
      <c r="E7" s="19" t="s">
        <v>21</v>
      </c>
      <c r="F7" s="19" t="s">
        <v>92</v>
      </c>
      <c r="G7" s="19" t="s">
        <v>191</v>
      </c>
      <c r="H7" s="19" t="s">
        <v>186</v>
      </c>
      <c r="I7" s="21">
        <v>45358</v>
      </c>
      <c r="J7" s="21">
        <v>45358</v>
      </c>
      <c r="K7" s="19" t="s">
        <v>78</v>
      </c>
      <c r="L7" s="19" t="s">
        <v>99</v>
      </c>
      <c r="M7" s="19" t="s">
        <v>108</v>
      </c>
      <c r="N7" s="19">
        <v>6</v>
      </c>
      <c r="O7" s="19" t="s">
        <v>97</v>
      </c>
      <c r="P7" s="19">
        <v>1</v>
      </c>
      <c r="Q7" s="19">
        <v>2.5</v>
      </c>
      <c r="R7" s="19">
        <v>2.5</v>
      </c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</row>
    <row r="8" spans="1:32" ht="15.75" customHeight="1" x14ac:dyDescent="0.4">
      <c r="A8" s="19"/>
      <c r="B8" s="19"/>
      <c r="C8" s="19"/>
      <c r="D8" s="19"/>
      <c r="E8" s="19" t="s">
        <v>21</v>
      </c>
      <c r="F8" s="19" t="s">
        <v>75</v>
      </c>
      <c r="G8" s="19" t="s">
        <v>192</v>
      </c>
      <c r="H8" s="19" t="s">
        <v>186</v>
      </c>
      <c r="I8" s="21">
        <v>45358</v>
      </c>
      <c r="J8" s="21">
        <v>45358</v>
      </c>
      <c r="K8" s="19" t="s">
        <v>85</v>
      </c>
      <c r="L8" s="19" t="s">
        <v>79</v>
      </c>
      <c r="M8" s="19" t="s">
        <v>95</v>
      </c>
      <c r="N8" s="19">
        <v>6.5</v>
      </c>
      <c r="O8" s="19" t="s">
        <v>97</v>
      </c>
      <c r="P8" s="19">
        <v>1</v>
      </c>
      <c r="Q8" s="19">
        <v>1.5</v>
      </c>
      <c r="R8" s="19">
        <v>2</v>
      </c>
      <c r="S8" s="19">
        <v>2</v>
      </c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</row>
    <row r="9" spans="1:32" ht="15.75" customHeight="1" x14ac:dyDescent="0.4">
      <c r="A9" s="20" t="s">
        <v>13</v>
      </c>
      <c r="B9" s="20" t="s">
        <v>104</v>
      </c>
      <c r="C9" s="20" t="s">
        <v>105</v>
      </c>
      <c r="D9" s="19"/>
      <c r="E9" s="19" t="s">
        <v>21</v>
      </c>
      <c r="F9" s="19" t="s">
        <v>89</v>
      </c>
      <c r="G9" s="19" t="s">
        <v>193</v>
      </c>
      <c r="H9" s="19" t="s">
        <v>186</v>
      </c>
      <c r="I9" s="21">
        <v>45358</v>
      </c>
      <c r="J9" s="21"/>
      <c r="K9" s="19" t="s">
        <v>78</v>
      </c>
      <c r="L9" s="19"/>
      <c r="M9" s="19"/>
      <c r="N9" s="19">
        <v>6.5</v>
      </c>
      <c r="O9" s="19" t="s">
        <v>97</v>
      </c>
      <c r="P9" s="19">
        <v>1.5</v>
      </c>
      <c r="Q9" s="19">
        <v>3</v>
      </c>
      <c r="R9" s="19">
        <v>2</v>
      </c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</row>
    <row r="10" spans="1:32" ht="15.75" customHeight="1" x14ac:dyDescent="0.4">
      <c r="A10" s="19" t="s">
        <v>109</v>
      </c>
      <c r="B10" s="22">
        <f>C10/B6</f>
        <v>0.93333333333333335</v>
      </c>
      <c r="C10" s="19">
        <f>(COUNTIF($O$2:$O1001,"Proficient I"))+(COUNTIF($O$2:$O1001,"Proficient II"))+(COUNTIF($O$2:$O1001,"Exemplary"))</f>
        <v>28</v>
      </c>
      <c r="D10" s="19"/>
      <c r="E10" s="19" t="s">
        <v>21</v>
      </c>
      <c r="F10" s="19" t="s">
        <v>75</v>
      </c>
      <c r="G10" s="19" t="s">
        <v>194</v>
      </c>
      <c r="H10" s="19" t="s">
        <v>186</v>
      </c>
      <c r="I10" s="21">
        <v>45359</v>
      </c>
      <c r="J10" s="21">
        <v>45359</v>
      </c>
      <c r="K10" s="19" t="s">
        <v>85</v>
      </c>
      <c r="L10" s="19" t="s">
        <v>99</v>
      </c>
      <c r="M10" s="19" t="s">
        <v>108</v>
      </c>
      <c r="N10" s="19">
        <v>8</v>
      </c>
      <c r="O10" s="19" t="s">
        <v>91</v>
      </c>
      <c r="P10" s="19">
        <v>1</v>
      </c>
      <c r="Q10" s="19">
        <v>2.5</v>
      </c>
      <c r="R10" s="19">
        <v>2.5</v>
      </c>
      <c r="S10" s="19">
        <v>2</v>
      </c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</row>
    <row r="11" spans="1:32" ht="15.75" customHeight="1" x14ac:dyDescent="0.4">
      <c r="A11" s="19" t="s">
        <v>111</v>
      </c>
      <c r="B11" s="22">
        <f>C11/B6</f>
        <v>6.6666666666666666E-2</v>
      </c>
      <c r="C11" s="19">
        <f>(COUNTIF($O$2:$O1001,"Unsatisfactory"))+(COUNTIF($O$2:$O1001,"Progressing"))</f>
        <v>2</v>
      </c>
      <c r="D11" s="19"/>
      <c r="E11" s="19" t="s">
        <v>21</v>
      </c>
      <c r="F11" s="19" t="s">
        <v>89</v>
      </c>
      <c r="G11" s="19" t="s">
        <v>195</v>
      </c>
      <c r="H11" s="19" t="s">
        <v>186</v>
      </c>
      <c r="I11" s="21">
        <v>45359</v>
      </c>
      <c r="J11" s="21">
        <v>45359</v>
      </c>
      <c r="K11" s="19" t="s">
        <v>85</v>
      </c>
      <c r="L11" s="19"/>
      <c r="M11" s="19"/>
      <c r="N11" s="19">
        <v>7</v>
      </c>
      <c r="O11" s="19" t="s">
        <v>97</v>
      </c>
      <c r="P11" s="19">
        <v>2</v>
      </c>
      <c r="Q11" s="19">
        <v>3</v>
      </c>
      <c r="R11" s="19">
        <v>2</v>
      </c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</row>
    <row r="12" spans="1:32" ht="15.75" customHeight="1" x14ac:dyDescent="0.4">
      <c r="A12" s="19"/>
      <c r="B12" s="19"/>
      <c r="C12" s="19"/>
      <c r="D12" s="19"/>
      <c r="E12" s="19" t="s">
        <v>21</v>
      </c>
      <c r="F12" s="19" t="s">
        <v>75</v>
      </c>
      <c r="G12" s="19" t="s">
        <v>196</v>
      </c>
      <c r="H12" s="19" t="s">
        <v>197</v>
      </c>
      <c r="I12" s="21">
        <v>45355</v>
      </c>
      <c r="J12" s="21">
        <v>45355</v>
      </c>
      <c r="K12" s="19" t="s">
        <v>78</v>
      </c>
      <c r="L12" s="19" t="s">
        <v>88</v>
      </c>
      <c r="M12" s="19" t="s">
        <v>108</v>
      </c>
      <c r="N12" s="19">
        <v>5.5</v>
      </c>
      <c r="O12" s="19" t="s">
        <v>81</v>
      </c>
      <c r="P12" s="19">
        <v>1</v>
      </c>
      <c r="Q12" s="19">
        <v>2</v>
      </c>
      <c r="R12" s="19">
        <v>2.5</v>
      </c>
      <c r="S12" s="19">
        <v>0</v>
      </c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</row>
    <row r="13" spans="1:32" ht="15.75" customHeight="1" x14ac:dyDescent="0.4">
      <c r="A13" s="19"/>
      <c r="B13" s="19"/>
      <c r="C13" s="19"/>
      <c r="D13" s="19"/>
      <c r="E13" s="19" t="s">
        <v>21</v>
      </c>
      <c r="F13" s="19" t="s">
        <v>92</v>
      </c>
      <c r="G13" s="19" t="s">
        <v>198</v>
      </c>
      <c r="H13" s="19" t="s">
        <v>197</v>
      </c>
      <c r="I13" s="21">
        <v>45356</v>
      </c>
      <c r="J13" s="21"/>
      <c r="K13" s="19" t="s">
        <v>85</v>
      </c>
      <c r="L13" s="19" t="s">
        <v>94</v>
      </c>
      <c r="M13" s="19" t="s">
        <v>80</v>
      </c>
      <c r="N13" s="19">
        <v>7</v>
      </c>
      <c r="O13" s="19" t="s">
        <v>97</v>
      </c>
      <c r="P13" s="19">
        <v>1.5</v>
      </c>
      <c r="Q13" s="19">
        <v>3</v>
      </c>
      <c r="R13" s="19">
        <v>2.5</v>
      </c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</row>
    <row r="14" spans="1:32" ht="15.75" customHeight="1" x14ac:dyDescent="0.4">
      <c r="A14" s="19"/>
      <c r="B14" s="19"/>
      <c r="C14" s="19"/>
      <c r="D14" s="19"/>
      <c r="E14" s="19" t="s">
        <v>21</v>
      </c>
      <c r="F14" s="19" t="s">
        <v>83</v>
      </c>
      <c r="G14" s="19" t="s">
        <v>199</v>
      </c>
      <c r="H14" s="19" t="s">
        <v>197</v>
      </c>
      <c r="I14" s="21">
        <v>45356</v>
      </c>
      <c r="J14" s="21">
        <v>45356</v>
      </c>
      <c r="K14" s="19" t="s">
        <v>85</v>
      </c>
      <c r="L14" s="19" t="s">
        <v>138</v>
      </c>
      <c r="M14" s="19" t="s">
        <v>80</v>
      </c>
      <c r="N14" s="19">
        <v>8</v>
      </c>
      <c r="O14" s="19" t="s">
        <v>91</v>
      </c>
      <c r="P14" s="19">
        <v>1</v>
      </c>
      <c r="Q14" s="19">
        <v>2.5</v>
      </c>
      <c r="R14" s="19">
        <v>3.5</v>
      </c>
      <c r="S14" s="19">
        <v>1</v>
      </c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</row>
    <row r="15" spans="1:32" ht="15.75" customHeight="1" x14ac:dyDescent="0.4">
      <c r="A15" s="19"/>
      <c r="B15" s="19"/>
      <c r="C15" s="19"/>
      <c r="D15" s="19"/>
      <c r="E15" s="19" t="s">
        <v>21</v>
      </c>
      <c r="F15" s="19" t="s">
        <v>83</v>
      </c>
      <c r="G15" s="19" t="s">
        <v>200</v>
      </c>
      <c r="H15" s="19" t="s">
        <v>197</v>
      </c>
      <c r="I15" s="21">
        <v>45356</v>
      </c>
      <c r="J15" s="21">
        <v>45358</v>
      </c>
      <c r="K15" s="19" t="s">
        <v>85</v>
      </c>
      <c r="L15" s="19" t="s">
        <v>86</v>
      </c>
      <c r="M15" s="19" t="s">
        <v>80</v>
      </c>
      <c r="N15" s="19">
        <v>7</v>
      </c>
      <c r="O15" s="19" t="s">
        <v>97</v>
      </c>
      <c r="P15" s="19">
        <v>1</v>
      </c>
      <c r="Q15" s="19">
        <v>2</v>
      </c>
      <c r="R15" s="19">
        <v>3</v>
      </c>
      <c r="S15" s="19">
        <v>1</v>
      </c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</row>
    <row r="16" spans="1:32" ht="15.75" customHeight="1" x14ac:dyDescent="0.4">
      <c r="A16" s="19"/>
      <c r="B16" s="19"/>
      <c r="C16" s="19"/>
      <c r="D16" s="19"/>
      <c r="E16" s="19" t="s">
        <v>21</v>
      </c>
      <c r="F16" s="19" t="s">
        <v>83</v>
      </c>
      <c r="G16" s="19" t="s">
        <v>201</v>
      </c>
      <c r="H16" s="19" t="s">
        <v>197</v>
      </c>
      <c r="I16" s="21">
        <v>45357</v>
      </c>
      <c r="J16" s="21">
        <v>45358</v>
      </c>
      <c r="K16" s="19" t="s">
        <v>85</v>
      </c>
      <c r="L16" s="19" t="s">
        <v>86</v>
      </c>
      <c r="M16" s="19" t="s">
        <v>80</v>
      </c>
      <c r="N16" s="19">
        <v>7.5</v>
      </c>
      <c r="O16" s="19" t="s">
        <v>97</v>
      </c>
      <c r="P16" s="19">
        <v>1</v>
      </c>
      <c r="Q16" s="19">
        <v>2.5</v>
      </c>
      <c r="R16" s="19">
        <v>3</v>
      </c>
      <c r="S16" s="19">
        <v>1</v>
      </c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</row>
    <row r="17" spans="1:32" ht="15.75" customHeight="1" x14ac:dyDescent="0.4">
      <c r="A17" s="19"/>
      <c r="B17" s="19"/>
      <c r="C17" s="19"/>
      <c r="D17" s="19"/>
      <c r="E17" s="19" t="s">
        <v>21</v>
      </c>
      <c r="F17" s="19" t="s">
        <v>83</v>
      </c>
      <c r="G17" s="19" t="s">
        <v>202</v>
      </c>
      <c r="H17" s="19" t="s">
        <v>197</v>
      </c>
      <c r="I17" s="21">
        <v>45357</v>
      </c>
      <c r="J17" s="21"/>
      <c r="K17" s="19" t="s">
        <v>85</v>
      </c>
      <c r="L17" s="19" t="s">
        <v>86</v>
      </c>
      <c r="M17" s="19" t="s">
        <v>80</v>
      </c>
      <c r="N17" s="19">
        <v>7</v>
      </c>
      <c r="O17" s="19" t="s">
        <v>97</v>
      </c>
      <c r="P17" s="19">
        <v>1</v>
      </c>
      <c r="Q17" s="19">
        <v>2</v>
      </c>
      <c r="R17" s="19">
        <v>3</v>
      </c>
      <c r="S17" s="19">
        <v>1</v>
      </c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</row>
    <row r="18" spans="1:32" ht="15.75" customHeight="1" x14ac:dyDescent="0.4">
      <c r="A18" s="19"/>
      <c r="B18" s="19"/>
      <c r="C18" s="19"/>
      <c r="D18" s="19"/>
      <c r="E18" s="19" t="s">
        <v>21</v>
      </c>
      <c r="F18" s="19" t="s">
        <v>92</v>
      </c>
      <c r="G18" s="19" t="s">
        <v>203</v>
      </c>
      <c r="H18" s="19" t="s">
        <v>197</v>
      </c>
      <c r="I18" s="21">
        <v>45358</v>
      </c>
      <c r="J18" s="21">
        <v>45358</v>
      </c>
      <c r="K18" s="19" t="s">
        <v>78</v>
      </c>
      <c r="L18" s="19" t="s">
        <v>94</v>
      </c>
      <c r="M18" s="19" t="s">
        <v>95</v>
      </c>
      <c r="N18" s="19">
        <v>7.5</v>
      </c>
      <c r="O18" s="19" t="s">
        <v>97</v>
      </c>
      <c r="P18" s="19">
        <v>2</v>
      </c>
      <c r="Q18" s="19">
        <v>3</v>
      </c>
      <c r="R18" s="19">
        <v>2.5</v>
      </c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</row>
    <row r="19" spans="1:32" ht="15.75" customHeight="1" x14ac:dyDescent="0.4">
      <c r="A19" s="19"/>
      <c r="B19" s="19"/>
      <c r="C19" s="19"/>
      <c r="D19" s="19"/>
      <c r="E19" s="19" t="s">
        <v>21</v>
      </c>
      <c r="F19" s="19" t="s">
        <v>100</v>
      </c>
      <c r="G19" s="19" t="s">
        <v>204</v>
      </c>
      <c r="H19" s="19" t="s">
        <v>197</v>
      </c>
      <c r="I19" s="21">
        <v>45358</v>
      </c>
      <c r="J19" s="21">
        <v>45358</v>
      </c>
      <c r="K19" s="19" t="s">
        <v>78</v>
      </c>
      <c r="L19" s="19" t="s">
        <v>79</v>
      </c>
      <c r="M19" s="19"/>
      <c r="N19" s="19">
        <v>7</v>
      </c>
      <c r="O19" s="19" t="s">
        <v>91</v>
      </c>
      <c r="P19" s="19">
        <v>2</v>
      </c>
      <c r="Q19" s="19">
        <v>4</v>
      </c>
      <c r="R19" s="19">
        <v>1</v>
      </c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</row>
    <row r="20" spans="1:32" ht="15.75" customHeight="1" x14ac:dyDescent="0.4">
      <c r="A20" s="19"/>
      <c r="B20" s="19"/>
      <c r="C20" s="19"/>
      <c r="D20" s="19"/>
      <c r="E20" s="19" t="s">
        <v>21</v>
      </c>
      <c r="F20" s="19" t="s">
        <v>83</v>
      </c>
      <c r="G20" s="19" t="s">
        <v>205</v>
      </c>
      <c r="H20" s="19" t="s">
        <v>197</v>
      </c>
      <c r="I20" s="21">
        <v>45358</v>
      </c>
      <c r="J20" s="21">
        <v>45358</v>
      </c>
      <c r="K20" s="19" t="s">
        <v>85</v>
      </c>
      <c r="L20" s="19" t="s">
        <v>138</v>
      </c>
      <c r="M20" s="19" t="s">
        <v>95</v>
      </c>
      <c r="N20" s="19">
        <v>7.5</v>
      </c>
      <c r="O20" s="19" t="s">
        <v>97</v>
      </c>
      <c r="P20" s="19">
        <v>1</v>
      </c>
      <c r="Q20" s="19">
        <v>2</v>
      </c>
      <c r="R20" s="19">
        <v>3</v>
      </c>
      <c r="S20" s="19">
        <v>1.5</v>
      </c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</row>
    <row r="21" spans="1:32" ht="15.75" customHeight="1" x14ac:dyDescent="0.4">
      <c r="A21" s="19"/>
      <c r="B21" s="19"/>
      <c r="C21" s="19"/>
      <c r="D21" s="19"/>
      <c r="E21" s="19" t="s">
        <v>21</v>
      </c>
      <c r="F21" s="19" t="s">
        <v>89</v>
      </c>
      <c r="G21" s="19" t="s">
        <v>193</v>
      </c>
      <c r="H21" s="19" t="s">
        <v>197</v>
      </c>
      <c r="I21" s="21">
        <v>45359</v>
      </c>
      <c r="J21" s="21"/>
      <c r="K21" s="19" t="s">
        <v>85</v>
      </c>
      <c r="L21" s="19"/>
      <c r="M21" s="19"/>
      <c r="N21" s="19">
        <v>8</v>
      </c>
      <c r="O21" s="19" t="s">
        <v>91</v>
      </c>
      <c r="P21" s="19">
        <v>2</v>
      </c>
      <c r="Q21" s="19">
        <v>4</v>
      </c>
      <c r="R21" s="19">
        <v>2</v>
      </c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</row>
    <row r="22" spans="1:32" ht="15.75" customHeight="1" x14ac:dyDescent="0.4">
      <c r="A22" s="19"/>
      <c r="B22" s="19"/>
      <c r="C22" s="19"/>
      <c r="D22" s="19"/>
      <c r="E22" s="19" t="s">
        <v>21</v>
      </c>
      <c r="F22" s="19" t="s">
        <v>75</v>
      </c>
      <c r="G22" s="19" t="s">
        <v>206</v>
      </c>
      <c r="H22" s="19" t="s">
        <v>207</v>
      </c>
      <c r="I22" s="21">
        <v>45355</v>
      </c>
      <c r="J22" s="21"/>
      <c r="K22" s="19" t="s">
        <v>85</v>
      </c>
      <c r="L22" s="19" t="s">
        <v>88</v>
      </c>
      <c r="M22" s="19" t="s">
        <v>95</v>
      </c>
      <c r="N22" s="19">
        <v>7.5</v>
      </c>
      <c r="O22" s="19" t="s">
        <v>97</v>
      </c>
      <c r="P22" s="19">
        <v>1</v>
      </c>
      <c r="Q22" s="19">
        <v>2.5</v>
      </c>
      <c r="R22" s="19">
        <v>2.5</v>
      </c>
      <c r="S22" s="19">
        <v>1.5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</row>
    <row r="23" spans="1:32" ht="15.75" customHeight="1" x14ac:dyDescent="0.4">
      <c r="A23" s="19"/>
      <c r="B23" s="19"/>
      <c r="C23" s="19"/>
      <c r="D23" s="19"/>
      <c r="E23" s="19" t="s">
        <v>21</v>
      </c>
      <c r="F23" s="19" t="s">
        <v>75</v>
      </c>
      <c r="G23" s="19" t="s">
        <v>194</v>
      </c>
      <c r="H23" s="19" t="s">
        <v>207</v>
      </c>
      <c r="I23" s="21">
        <v>45355</v>
      </c>
      <c r="J23" s="21">
        <v>45355</v>
      </c>
      <c r="K23" s="19" t="s">
        <v>85</v>
      </c>
      <c r="L23" s="19" t="s">
        <v>99</v>
      </c>
      <c r="M23" s="19" t="s">
        <v>108</v>
      </c>
      <c r="N23" s="19">
        <v>8</v>
      </c>
      <c r="O23" s="19" t="s">
        <v>91</v>
      </c>
      <c r="P23" s="19">
        <v>1</v>
      </c>
      <c r="Q23" s="19">
        <v>2.5</v>
      </c>
      <c r="R23" s="19">
        <v>3</v>
      </c>
      <c r="S23" s="19">
        <v>1.5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</row>
    <row r="24" spans="1:32" ht="15.75" customHeight="1" x14ac:dyDescent="0.4">
      <c r="A24" s="19"/>
      <c r="B24" s="19"/>
      <c r="C24" s="19"/>
      <c r="D24" s="19"/>
      <c r="E24" s="19" t="s">
        <v>21</v>
      </c>
      <c r="F24" s="19" t="s">
        <v>75</v>
      </c>
      <c r="G24" s="19" t="s">
        <v>188</v>
      </c>
      <c r="H24" s="19" t="s">
        <v>207</v>
      </c>
      <c r="I24" s="21">
        <v>45355</v>
      </c>
      <c r="J24" s="21">
        <v>45355</v>
      </c>
      <c r="K24" s="19" t="s">
        <v>78</v>
      </c>
      <c r="L24" s="19" t="s">
        <v>79</v>
      </c>
      <c r="M24" s="19" t="s">
        <v>80</v>
      </c>
      <c r="N24" s="19">
        <v>7.5</v>
      </c>
      <c r="O24" s="19" t="s">
        <v>97</v>
      </c>
      <c r="P24" s="19">
        <v>1</v>
      </c>
      <c r="Q24" s="19">
        <v>2</v>
      </c>
      <c r="R24" s="19">
        <v>3</v>
      </c>
      <c r="S24" s="19">
        <v>1.5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</row>
    <row r="25" spans="1:32" ht="15.75" customHeight="1" x14ac:dyDescent="0.4">
      <c r="A25" s="19"/>
      <c r="B25" s="19"/>
      <c r="C25" s="19"/>
      <c r="D25" s="19"/>
      <c r="E25" s="19" t="s">
        <v>21</v>
      </c>
      <c r="F25" s="19" t="s">
        <v>89</v>
      </c>
      <c r="G25" s="19" t="s">
        <v>189</v>
      </c>
      <c r="H25" s="19" t="s">
        <v>207</v>
      </c>
      <c r="I25" s="21">
        <v>45355</v>
      </c>
      <c r="J25" s="21">
        <v>45356</v>
      </c>
      <c r="K25" s="19" t="s">
        <v>78</v>
      </c>
      <c r="L25" s="19"/>
      <c r="M25" s="19"/>
      <c r="N25" s="19">
        <v>7.5</v>
      </c>
      <c r="O25" s="19" t="s">
        <v>97</v>
      </c>
      <c r="P25" s="19">
        <v>2</v>
      </c>
      <c r="Q25" s="19">
        <v>3.5</v>
      </c>
      <c r="R25" s="19">
        <v>2</v>
      </c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</row>
    <row r="26" spans="1:32" ht="15.75" customHeight="1" x14ac:dyDescent="0.4">
      <c r="A26" s="19"/>
      <c r="B26" s="19"/>
      <c r="C26" s="19"/>
      <c r="D26" s="19"/>
      <c r="E26" s="19" t="s">
        <v>21</v>
      </c>
      <c r="F26" s="19" t="s">
        <v>75</v>
      </c>
      <c r="G26" s="19" t="s">
        <v>192</v>
      </c>
      <c r="H26" s="19" t="s">
        <v>207</v>
      </c>
      <c r="I26" s="21">
        <v>45356</v>
      </c>
      <c r="J26" s="21">
        <v>45356</v>
      </c>
      <c r="K26" s="19" t="s">
        <v>85</v>
      </c>
      <c r="L26" s="19" t="s">
        <v>79</v>
      </c>
      <c r="M26" s="19" t="s">
        <v>95</v>
      </c>
      <c r="N26" s="19">
        <v>8</v>
      </c>
      <c r="O26" s="19" t="s">
        <v>91</v>
      </c>
      <c r="P26" s="19">
        <v>1</v>
      </c>
      <c r="Q26" s="19">
        <v>2.5</v>
      </c>
      <c r="R26" s="19">
        <v>3</v>
      </c>
      <c r="S26" s="19">
        <v>1.5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</row>
    <row r="27" spans="1:32" ht="15.75" customHeight="1" x14ac:dyDescent="0.4">
      <c r="A27" s="19"/>
      <c r="B27" s="19"/>
      <c r="C27" s="19"/>
      <c r="D27" s="19"/>
      <c r="E27" s="19" t="s">
        <v>21</v>
      </c>
      <c r="F27" s="19" t="s">
        <v>75</v>
      </c>
      <c r="G27" s="19" t="s">
        <v>208</v>
      </c>
      <c r="H27" s="19" t="s">
        <v>207</v>
      </c>
      <c r="I27" s="21">
        <v>45356</v>
      </c>
      <c r="J27" s="21">
        <v>45357</v>
      </c>
      <c r="K27" s="19" t="s">
        <v>85</v>
      </c>
      <c r="L27" s="19" t="s">
        <v>115</v>
      </c>
      <c r="M27" s="19" t="s">
        <v>95</v>
      </c>
      <c r="N27" s="19">
        <v>8</v>
      </c>
      <c r="O27" s="19" t="s">
        <v>91</v>
      </c>
      <c r="P27" s="19">
        <v>1</v>
      </c>
      <c r="Q27" s="19">
        <v>2.5</v>
      </c>
      <c r="R27" s="19">
        <v>3</v>
      </c>
      <c r="S27" s="19">
        <v>1.5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</row>
    <row r="28" spans="1:32" ht="15.75" customHeight="1" x14ac:dyDescent="0.4">
      <c r="A28" s="19"/>
      <c r="B28" s="19"/>
      <c r="C28" s="19"/>
      <c r="D28" s="19"/>
      <c r="E28" s="19" t="s">
        <v>21</v>
      </c>
      <c r="F28" s="19" t="s">
        <v>92</v>
      </c>
      <c r="G28" s="19" t="s">
        <v>198</v>
      </c>
      <c r="H28" s="19" t="s">
        <v>207</v>
      </c>
      <c r="I28" s="21">
        <v>45357</v>
      </c>
      <c r="J28" s="21">
        <v>45357</v>
      </c>
      <c r="K28" s="19" t="s">
        <v>85</v>
      </c>
      <c r="L28" s="19" t="s">
        <v>94</v>
      </c>
      <c r="M28" s="19" t="s">
        <v>80</v>
      </c>
      <c r="N28" s="19">
        <v>7</v>
      </c>
      <c r="O28" s="19" t="s">
        <v>97</v>
      </c>
      <c r="P28" s="19">
        <v>1.5</v>
      </c>
      <c r="Q28" s="19">
        <v>3</v>
      </c>
      <c r="R28" s="19">
        <v>2.5</v>
      </c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</row>
    <row r="29" spans="1:32" ht="15.75" customHeight="1" x14ac:dyDescent="0.4">
      <c r="A29" s="19"/>
      <c r="B29" s="19"/>
      <c r="C29" s="19"/>
      <c r="D29" s="19"/>
      <c r="E29" s="19" t="s">
        <v>21</v>
      </c>
      <c r="F29" s="19" t="s">
        <v>209</v>
      </c>
      <c r="G29" s="19" t="s">
        <v>193</v>
      </c>
      <c r="H29" s="19" t="s">
        <v>207</v>
      </c>
      <c r="I29" s="21">
        <v>45357</v>
      </c>
      <c r="J29" s="21">
        <v>45358</v>
      </c>
      <c r="K29" s="19" t="s">
        <v>78</v>
      </c>
      <c r="L29" s="19" t="s">
        <v>88</v>
      </c>
      <c r="M29" s="19" t="s">
        <v>80</v>
      </c>
      <c r="N29" s="19">
        <v>8</v>
      </c>
      <c r="O29" s="19" t="s">
        <v>91</v>
      </c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</row>
    <row r="30" spans="1:32" ht="15.75" customHeight="1" x14ac:dyDescent="0.4">
      <c r="A30" s="19"/>
      <c r="B30" s="19"/>
      <c r="C30" s="19"/>
      <c r="D30" s="19"/>
      <c r="E30" s="19" t="s">
        <v>21</v>
      </c>
      <c r="F30" s="19" t="s">
        <v>209</v>
      </c>
      <c r="G30" s="19" t="s">
        <v>190</v>
      </c>
      <c r="H30" s="19" t="s">
        <v>207</v>
      </c>
      <c r="I30" s="21">
        <v>45357</v>
      </c>
      <c r="J30" s="21">
        <v>45357</v>
      </c>
      <c r="K30" s="19" t="s">
        <v>85</v>
      </c>
      <c r="L30" s="19" t="s">
        <v>99</v>
      </c>
      <c r="M30" s="19" t="s">
        <v>80</v>
      </c>
      <c r="N30" s="19">
        <v>8</v>
      </c>
      <c r="O30" s="19" t="s">
        <v>91</v>
      </c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</row>
    <row r="31" spans="1:32" ht="15.75" customHeight="1" x14ac:dyDescent="0.4">
      <c r="A31" s="19"/>
      <c r="B31" s="19"/>
      <c r="C31" s="19"/>
      <c r="D31" s="19"/>
      <c r="E31" s="19" t="s">
        <v>21</v>
      </c>
      <c r="F31" s="19" t="s">
        <v>75</v>
      </c>
      <c r="G31" s="19" t="s">
        <v>196</v>
      </c>
      <c r="H31" s="19" t="s">
        <v>207</v>
      </c>
      <c r="I31" s="21">
        <v>45358</v>
      </c>
      <c r="J31" s="21">
        <v>45358</v>
      </c>
      <c r="K31" s="19" t="s">
        <v>85</v>
      </c>
      <c r="L31" s="19" t="s">
        <v>88</v>
      </c>
      <c r="M31" s="19" t="s">
        <v>108</v>
      </c>
      <c r="N31" s="19">
        <v>5</v>
      </c>
      <c r="O31" s="19" t="s">
        <v>81</v>
      </c>
      <c r="P31" s="19">
        <v>0.5</v>
      </c>
      <c r="Q31" s="19">
        <v>1.5</v>
      </c>
      <c r="R31" s="19">
        <v>2.5</v>
      </c>
      <c r="S31" s="19">
        <v>0.5</v>
      </c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</row>
    <row r="32" spans="1:32" ht="15.75" customHeight="1" x14ac:dyDescent="0.4">
      <c r="A32" s="19"/>
      <c r="B32" s="19"/>
      <c r="C32" s="19"/>
      <c r="D32" s="19"/>
      <c r="E32" s="19"/>
      <c r="F32" s="19"/>
      <c r="G32" s="19"/>
      <c r="H32" s="19"/>
      <c r="I32" s="21"/>
      <c r="J32" s="21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</row>
    <row r="33" spans="1:32" ht="15.75" customHeight="1" x14ac:dyDescent="0.4">
      <c r="A33" s="19"/>
      <c r="B33" s="19"/>
      <c r="C33" s="19"/>
      <c r="D33" s="19"/>
      <c r="E33" s="19"/>
      <c r="F33" s="19"/>
      <c r="G33" s="19"/>
      <c r="H33" s="19"/>
      <c r="I33" s="21"/>
      <c r="J33" s="21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</row>
    <row r="34" spans="1:32" ht="15.75" customHeight="1" x14ac:dyDescent="0.4">
      <c r="A34" s="19"/>
      <c r="B34" s="19"/>
      <c r="C34" s="19"/>
      <c r="D34" s="19"/>
      <c r="E34" s="19"/>
      <c r="F34" s="19"/>
      <c r="G34" s="19"/>
      <c r="H34" s="19"/>
      <c r="I34" s="21"/>
      <c r="J34" s="21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</row>
    <row r="35" spans="1:32" ht="13.15" x14ac:dyDescent="0.4">
      <c r="A35" s="19"/>
      <c r="B35" s="19"/>
      <c r="C35" s="19"/>
      <c r="D35" s="19"/>
      <c r="E35" s="19"/>
      <c r="F35" s="19"/>
      <c r="G35" s="19"/>
      <c r="H35" s="19"/>
      <c r="I35" s="21"/>
      <c r="J35" s="21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</row>
    <row r="36" spans="1:32" ht="13.15" x14ac:dyDescent="0.4">
      <c r="A36" s="19"/>
      <c r="B36" s="19"/>
      <c r="C36" s="19"/>
      <c r="D36" s="19"/>
      <c r="E36" s="19"/>
      <c r="F36" s="19"/>
      <c r="G36" s="19"/>
      <c r="H36" s="19"/>
      <c r="I36" s="21"/>
      <c r="J36" s="21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</row>
    <row r="37" spans="1:32" ht="13.15" x14ac:dyDescent="0.4">
      <c r="A37" s="19"/>
      <c r="B37" s="19"/>
      <c r="C37" s="19"/>
      <c r="D37" s="19"/>
      <c r="E37" s="19"/>
      <c r="F37" s="19"/>
      <c r="G37" s="19"/>
      <c r="H37" s="19"/>
      <c r="I37" s="21"/>
      <c r="J37" s="21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</row>
    <row r="38" spans="1:32" ht="13.15" x14ac:dyDescent="0.4">
      <c r="A38" s="19"/>
      <c r="B38" s="19"/>
      <c r="C38" s="19"/>
      <c r="D38" s="19"/>
      <c r="E38" s="19"/>
      <c r="F38" s="19"/>
      <c r="G38" s="19"/>
      <c r="H38" s="19"/>
      <c r="I38" s="21"/>
      <c r="J38" s="21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</row>
    <row r="39" spans="1:32" ht="13.15" x14ac:dyDescent="0.4">
      <c r="A39" s="19"/>
      <c r="B39" s="19"/>
      <c r="C39" s="19"/>
      <c r="D39" s="19"/>
      <c r="E39" s="19"/>
      <c r="F39" s="19"/>
      <c r="G39" s="19"/>
      <c r="H39" s="19"/>
      <c r="I39" s="21"/>
      <c r="J39" s="21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</row>
    <row r="40" spans="1:32" ht="13.15" x14ac:dyDescent="0.4">
      <c r="A40" s="19"/>
      <c r="B40" s="19"/>
      <c r="C40" s="19"/>
      <c r="D40" s="19"/>
      <c r="E40" s="19"/>
      <c r="F40" s="19"/>
      <c r="G40" s="19"/>
      <c r="H40" s="19"/>
      <c r="I40" s="21"/>
      <c r="J40" s="21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</row>
    <row r="41" spans="1:32" ht="13.15" x14ac:dyDescent="0.4">
      <c r="A41" s="19"/>
      <c r="B41" s="19"/>
      <c r="C41" s="19"/>
      <c r="D41" s="19"/>
      <c r="E41" s="19"/>
      <c r="F41" s="19"/>
      <c r="G41" s="19"/>
      <c r="H41" s="19"/>
      <c r="I41" s="21"/>
      <c r="J41" s="21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</row>
    <row r="42" spans="1:32" ht="13.15" x14ac:dyDescent="0.4">
      <c r="A42" s="19"/>
      <c r="B42" s="19"/>
      <c r="C42" s="19"/>
      <c r="D42" s="19"/>
      <c r="E42" s="19"/>
      <c r="F42" s="19"/>
      <c r="G42" s="19"/>
      <c r="H42" s="19"/>
      <c r="I42" s="21"/>
      <c r="J42" s="21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</row>
    <row r="43" spans="1:32" ht="13.15" x14ac:dyDescent="0.4">
      <c r="A43" s="19"/>
      <c r="B43" s="19"/>
      <c r="C43" s="19"/>
      <c r="D43" s="19"/>
      <c r="E43" s="19"/>
      <c r="F43" s="19"/>
      <c r="G43" s="19"/>
      <c r="H43" s="19"/>
      <c r="I43" s="21"/>
      <c r="J43" s="21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</row>
    <row r="44" spans="1:32" ht="13.15" x14ac:dyDescent="0.4">
      <c r="A44" s="19"/>
      <c r="B44" s="19"/>
      <c r="C44" s="19"/>
      <c r="D44" s="19"/>
      <c r="E44" s="19"/>
      <c r="F44" s="19"/>
      <c r="G44" s="19"/>
      <c r="H44" s="19"/>
      <c r="I44" s="21"/>
      <c r="J44" s="21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</row>
    <row r="45" spans="1:32" ht="13.15" x14ac:dyDescent="0.4">
      <c r="A45" s="19"/>
      <c r="B45" s="19"/>
      <c r="C45" s="19"/>
      <c r="D45" s="19"/>
      <c r="E45" s="19"/>
      <c r="F45" s="19"/>
      <c r="G45" s="19"/>
      <c r="H45" s="19"/>
      <c r="I45" s="21"/>
      <c r="J45" s="21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</row>
    <row r="46" spans="1:32" ht="13.15" x14ac:dyDescent="0.4">
      <c r="A46" s="19"/>
      <c r="B46" s="19"/>
      <c r="C46" s="19"/>
      <c r="D46" s="19"/>
      <c r="E46" s="19"/>
      <c r="F46" s="19"/>
      <c r="G46" s="19"/>
      <c r="H46" s="19"/>
      <c r="I46" s="21"/>
      <c r="J46" s="21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</row>
    <row r="47" spans="1:32" ht="13.15" x14ac:dyDescent="0.4">
      <c r="A47" s="19"/>
      <c r="B47" s="19"/>
      <c r="C47" s="19"/>
      <c r="D47" s="19"/>
      <c r="E47" s="19"/>
      <c r="F47" s="19"/>
      <c r="G47" s="19"/>
      <c r="H47" s="19"/>
      <c r="I47" s="21"/>
      <c r="J47" s="21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</row>
    <row r="48" spans="1:32" ht="13.15" x14ac:dyDescent="0.4">
      <c r="A48" s="19"/>
      <c r="B48" s="19"/>
      <c r="C48" s="19"/>
      <c r="D48" s="19"/>
      <c r="E48" s="19"/>
      <c r="F48" s="19"/>
      <c r="G48" s="19"/>
      <c r="H48" s="19"/>
      <c r="I48" s="21"/>
      <c r="J48" s="21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</row>
    <row r="49" spans="1:32" ht="13.15" x14ac:dyDescent="0.4">
      <c r="A49" s="19"/>
      <c r="B49" s="19"/>
      <c r="C49" s="19"/>
      <c r="D49" s="19"/>
      <c r="E49" s="19"/>
      <c r="F49" s="19"/>
      <c r="G49" s="19"/>
      <c r="H49" s="19"/>
      <c r="I49" s="21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</row>
    <row r="50" spans="1:32" ht="13.15" x14ac:dyDescent="0.4">
      <c r="A50" s="19"/>
      <c r="B50" s="19"/>
      <c r="C50" s="19"/>
      <c r="D50" s="19"/>
      <c r="E50" s="19"/>
      <c r="F50" s="19"/>
      <c r="G50" s="19"/>
      <c r="H50" s="19"/>
      <c r="I50" s="21"/>
      <c r="J50" s="21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</row>
    <row r="51" spans="1:32" ht="13.15" x14ac:dyDescent="0.4">
      <c r="A51" s="19"/>
      <c r="B51" s="19"/>
      <c r="C51" s="19"/>
      <c r="D51" s="19"/>
      <c r="E51" s="19"/>
      <c r="F51" s="19"/>
      <c r="G51" s="19"/>
      <c r="H51" s="19"/>
      <c r="I51" s="21"/>
      <c r="J51" s="21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</row>
    <row r="52" spans="1:32" ht="13.15" x14ac:dyDescent="0.4">
      <c r="A52" s="19"/>
      <c r="B52" s="19"/>
      <c r="C52" s="19"/>
      <c r="D52" s="19"/>
      <c r="E52" s="19"/>
      <c r="F52" s="19"/>
      <c r="G52" s="19"/>
      <c r="H52" s="19"/>
      <c r="I52" s="21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</row>
    <row r="53" spans="1:32" ht="13.15" x14ac:dyDescent="0.4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</row>
    <row r="54" spans="1:32" ht="13.15" x14ac:dyDescent="0.4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</row>
    <row r="55" spans="1:32" ht="13.15" x14ac:dyDescent="0.4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</row>
    <row r="56" spans="1:32" ht="13.15" x14ac:dyDescent="0.4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</row>
    <row r="57" spans="1:32" ht="13.15" x14ac:dyDescent="0.4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</row>
    <row r="58" spans="1:32" ht="13.15" x14ac:dyDescent="0.4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</row>
    <row r="59" spans="1:32" ht="13.15" x14ac:dyDescent="0.4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</row>
    <row r="60" spans="1:32" ht="13.15" x14ac:dyDescent="0.4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</row>
    <row r="61" spans="1:32" ht="13.15" x14ac:dyDescent="0.4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</row>
    <row r="62" spans="1:32" ht="13.15" x14ac:dyDescent="0.4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</row>
    <row r="63" spans="1:32" ht="13.15" x14ac:dyDescent="0.4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</row>
    <row r="64" spans="1:32" ht="13.15" x14ac:dyDescent="0.4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</row>
    <row r="65" spans="1:32" ht="13.15" x14ac:dyDescent="0.4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</row>
    <row r="66" spans="1:32" ht="13.15" x14ac:dyDescent="0.4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</row>
    <row r="67" spans="1:32" ht="13.15" x14ac:dyDescent="0.4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</row>
    <row r="68" spans="1:32" ht="13.15" x14ac:dyDescent="0.4">
      <c r="A68" s="19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</row>
    <row r="69" spans="1:32" ht="13.15" x14ac:dyDescent="0.4">
      <c r="A69" s="19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</row>
    <row r="70" spans="1:32" ht="13.15" x14ac:dyDescent="0.4">
      <c r="A70" s="19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</row>
    <row r="71" spans="1:32" ht="13.15" x14ac:dyDescent="0.4">
      <c r="A71" s="19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</row>
    <row r="72" spans="1:32" ht="13.15" x14ac:dyDescent="0.4">
      <c r="A72" s="19"/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</row>
    <row r="73" spans="1:32" ht="13.15" x14ac:dyDescent="0.4">
      <c r="A73" s="19"/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</row>
    <row r="74" spans="1:32" ht="13.15" x14ac:dyDescent="0.4">
      <c r="A74" s="19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</row>
    <row r="75" spans="1:32" ht="13.15" x14ac:dyDescent="0.4">
      <c r="A75" s="19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</row>
    <row r="76" spans="1:32" ht="13.15" x14ac:dyDescent="0.4">
      <c r="A76" s="19"/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</row>
    <row r="77" spans="1:32" ht="13.15" x14ac:dyDescent="0.4">
      <c r="A77" s="19"/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</row>
    <row r="78" spans="1:32" ht="13.15" x14ac:dyDescent="0.4">
      <c r="A78" s="19"/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</row>
    <row r="79" spans="1:32" ht="13.15" x14ac:dyDescent="0.4">
      <c r="A79" s="19"/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</row>
    <row r="80" spans="1:32" ht="13.15" x14ac:dyDescent="0.4">
      <c r="A80" s="19"/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</row>
    <row r="81" spans="1:32" ht="13.15" x14ac:dyDescent="0.4">
      <c r="A81" s="19"/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</row>
    <row r="82" spans="1:32" ht="13.15" x14ac:dyDescent="0.4">
      <c r="A82" s="19"/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</row>
    <row r="83" spans="1:32" ht="13.15" x14ac:dyDescent="0.4">
      <c r="A83" s="19"/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</row>
    <row r="84" spans="1:32" ht="13.15" x14ac:dyDescent="0.4">
      <c r="A84" s="19"/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</row>
    <row r="85" spans="1:32" ht="13.15" x14ac:dyDescent="0.4">
      <c r="A85" s="19"/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</row>
    <row r="86" spans="1:32" ht="13.15" x14ac:dyDescent="0.4">
      <c r="A86" s="19"/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</row>
    <row r="87" spans="1:32" ht="13.15" x14ac:dyDescent="0.4">
      <c r="A87" s="19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</row>
    <row r="88" spans="1:32" ht="13.15" x14ac:dyDescent="0.4">
      <c r="A88" s="19"/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</row>
    <row r="89" spans="1:32" ht="13.15" x14ac:dyDescent="0.4">
      <c r="A89" s="19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</row>
    <row r="90" spans="1:32" ht="13.15" x14ac:dyDescent="0.4">
      <c r="A90" s="19"/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</row>
    <row r="91" spans="1:32" ht="13.15" x14ac:dyDescent="0.4">
      <c r="A91" s="19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</row>
    <row r="92" spans="1:32" ht="13.15" x14ac:dyDescent="0.4">
      <c r="A92" s="19"/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</row>
    <row r="93" spans="1:32" ht="13.15" x14ac:dyDescent="0.4">
      <c r="A93" s="19"/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</row>
    <row r="94" spans="1:32" ht="13.15" x14ac:dyDescent="0.4">
      <c r="A94" s="19"/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</row>
    <row r="95" spans="1:32" ht="13.15" x14ac:dyDescent="0.4">
      <c r="A95" s="19"/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</row>
    <row r="96" spans="1:32" ht="13.15" x14ac:dyDescent="0.4">
      <c r="A96" s="19"/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</row>
    <row r="97" spans="1:32" ht="13.15" x14ac:dyDescent="0.4">
      <c r="A97" s="19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</row>
    <row r="98" spans="1:32" ht="13.15" x14ac:dyDescent="0.4">
      <c r="A98" s="19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</row>
    <row r="99" spans="1:32" ht="13.15" x14ac:dyDescent="0.4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</row>
    <row r="100" spans="1:32" ht="13.15" x14ac:dyDescent="0.4">
      <c r="A100" s="19"/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</row>
    <row r="101" spans="1:32" ht="13.15" x14ac:dyDescent="0.4">
      <c r="A101" s="19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</row>
    <row r="102" spans="1:32" ht="13.15" x14ac:dyDescent="0.4">
      <c r="A102" s="19"/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</row>
    <row r="103" spans="1:32" ht="13.15" x14ac:dyDescent="0.4">
      <c r="A103" s="19"/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</row>
    <row r="104" spans="1:32" ht="13.15" x14ac:dyDescent="0.4">
      <c r="A104" s="19"/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</row>
    <row r="105" spans="1:32" ht="13.15" x14ac:dyDescent="0.4">
      <c r="A105" s="19"/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</row>
    <row r="106" spans="1:32" ht="13.15" x14ac:dyDescent="0.4">
      <c r="A106" s="19"/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</row>
    <row r="107" spans="1:32" ht="13.15" x14ac:dyDescent="0.4">
      <c r="A107" s="19"/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</row>
    <row r="108" spans="1:32" ht="13.15" x14ac:dyDescent="0.4">
      <c r="A108" s="19"/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</row>
    <row r="109" spans="1:32" ht="13.15" x14ac:dyDescent="0.4">
      <c r="A109" s="19"/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</row>
    <row r="110" spans="1:32" ht="13.15" x14ac:dyDescent="0.4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</row>
    <row r="111" spans="1:32" ht="13.15" x14ac:dyDescent="0.4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</row>
    <row r="112" spans="1:32" ht="13.15" x14ac:dyDescent="0.4">
      <c r="A112" s="19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</row>
    <row r="113" spans="1:32" ht="13.15" x14ac:dyDescent="0.4">
      <c r="A113" s="19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19"/>
    </row>
    <row r="114" spans="1:32" ht="13.15" x14ac:dyDescent="0.4">
      <c r="A114" s="19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</row>
    <row r="115" spans="1:32" ht="13.15" x14ac:dyDescent="0.4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</row>
    <row r="116" spans="1:32" ht="13.15" x14ac:dyDescent="0.4">
      <c r="A116" s="19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</row>
    <row r="117" spans="1:32" ht="13.15" x14ac:dyDescent="0.4">
      <c r="A117" s="19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</row>
    <row r="118" spans="1:32" ht="13.15" x14ac:dyDescent="0.4">
      <c r="A118" s="19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</row>
    <row r="119" spans="1:32" ht="13.15" x14ac:dyDescent="0.4">
      <c r="A119" s="19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</row>
    <row r="120" spans="1:32" ht="13.15" x14ac:dyDescent="0.4">
      <c r="A120" s="19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</row>
    <row r="121" spans="1:32" ht="13.15" x14ac:dyDescent="0.4">
      <c r="A121" s="19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</row>
    <row r="122" spans="1:32" ht="13.15" x14ac:dyDescent="0.4">
      <c r="A122" s="19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</row>
    <row r="123" spans="1:32" ht="13.15" x14ac:dyDescent="0.4">
      <c r="A123" s="19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</row>
    <row r="124" spans="1:32" ht="13.15" x14ac:dyDescent="0.4">
      <c r="A124" s="19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</row>
    <row r="125" spans="1:32" ht="13.15" x14ac:dyDescent="0.4">
      <c r="A125" s="19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</row>
    <row r="126" spans="1:32" ht="13.15" x14ac:dyDescent="0.4">
      <c r="A126" s="19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</row>
    <row r="127" spans="1:32" ht="13.15" x14ac:dyDescent="0.4">
      <c r="A127" s="19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</row>
    <row r="128" spans="1:32" ht="13.15" x14ac:dyDescent="0.4">
      <c r="A128" s="19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</row>
    <row r="129" spans="1:32" ht="13.15" x14ac:dyDescent="0.4">
      <c r="A129" s="19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</row>
    <row r="130" spans="1:32" ht="13.15" x14ac:dyDescent="0.4">
      <c r="A130" s="19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</row>
    <row r="131" spans="1:32" ht="13.15" x14ac:dyDescent="0.4">
      <c r="A131" s="19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</row>
    <row r="132" spans="1:32" ht="13.15" x14ac:dyDescent="0.4">
      <c r="A132" s="19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</row>
    <row r="133" spans="1:32" ht="13.15" x14ac:dyDescent="0.4">
      <c r="A133" s="19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</row>
    <row r="134" spans="1:32" ht="13.15" x14ac:dyDescent="0.4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</row>
    <row r="135" spans="1:32" ht="13.15" x14ac:dyDescent="0.4">
      <c r="A135" s="19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</row>
    <row r="136" spans="1:32" ht="13.15" x14ac:dyDescent="0.4">
      <c r="A136" s="19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</row>
    <row r="137" spans="1:32" ht="13.15" x14ac:dyDescent="0.4">
      <c r="A137" s="19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</row>
    <row r="138" spans="1:32" ht="13.15" x14ac:dyDescent="0.4">
      <c r="A138" s="19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</row>
    <row r="139" spans="1:32" ht="13.15" x14ac:dyDescent="0.4">
      <c r="A139" s="19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19"/>
    </row>
    <row r="140" spans="1:32" ht="13.15" x14ac:dyDescent="0.4">
      <c r="A140" s="19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19"/>
    </row>
    <row r="141" spans="1:32" ht="13.15" x14ac:dyDescent="0.4">
      <c r="A141" s="19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</row>
    <row r="142" spans="1:32" ht="13.15" x14ac:dyDescent="0.4">
      <c r="A142" s="19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</row>
    <row r="143" spans="1:32" ht="13.15" x14ac:dyDescent="0.4">
      <c r="A143" s="19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</row>
    <row r="144" spans="1:32" ht="13.15" x14ac:dyDescent="0.4">
      <c r="A144" s="19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19"/>
    </row>
    <row r="145" spans="1:32" ht="13.15" x14ac:dyDescent="0.4">
      <c r="A145" s="19"/>
      <c r="B145" s="19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19"/>
      <c r="AF145" s="19"/>
    </row>
    <row r="146" spans="1:32" ht="13.15" x14ac:dyDescent="0.4">
      <c r="A146" s="19"/>
      <c r="B146" s="19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  <c r="AE146" s="19"/>
      <c r="AF146" s="19"/>
    </row>
    <row r="147" spans="1:32" ht="13.15" x14ac:dyDescent="0.4">
      <c r="A147" s="19"/>
      <c r="B147" s="19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19"/>
    </row>
    <row r="148" spans="1:32" ht="13.15" x14ac:dyDescent="0.4">
      <c r="A148" s="19"/>
      <c r="B148" s="19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  <c r="AF148" s="19"/>
    </row>
    <row r="149" spans="1:32" ht="13.15" x14ac:dyDescent="0.4">
      <c r="A149" s="19"/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19"/>
      <c r="AF149" s="19"/>
    </row>
    <row r="150" spans="1:32" ht="13.15" x14ac:dyDescent="0.4">
      <c r="A150" s="19"/>
      <c r="B150" s="19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  <c r="AE150" s="19"/>
      <c r="AF150" s="19"/>
    </row>
    <row r="151" spans="1:32" ht="13.15" x14ac:dyDescent="0.4">
      <c r="A151" s="19"/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  <c r="AE151" s="19"/>
      <c r="AF151" s="19"/>
    </row>
    <row r="152" spans="1:32" ht="13.15" x14ac:dyDescent="0.4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19"/>
      <c r="AF152" s="19"/>
    </row>
    <row r="153" spans="1:32" ht="13.15" x14ac:dyDescent="0.4">
      <c r="A153" s="19"/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  <c r="AE153" s="19"/>
      <c r="AF153" s="19"/>
    </row>
    <row r="154" spans="1:32" ht="13.15" x14ac:dyDescent="0.4">
      <c r="A154" s="19"/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/>
      <c r="AD154" s="19"/>
      <c r="AE154" s="19"/>
      <c r="AF154" s="19"/>
    </row>
    <row r="155" spans="1:32" ht="13.15" x14ac:dyDescent="0.4">
      <c r="A155" s="19"/>
      <c r="B155" s="19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</row>
    <row r="156" spans="1:32" ht="13.15" x14ac:dyDescent="0.4">
      <c r="A156" s="19"/>
      <c r="B156" s="19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  <c r="AD156" s="19"/>
      <c r="AE156" s="19"/>
      <c r="AF156" s="19"/>
    </row>
    <row r="157" spans="1:32" ht="13.15" x14ac:dyDescent="0.4">
      <c r="A157" s="19"/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  <c r="AE157" s="19"/>
      <c r="AF157" s="19"/>
    </row>
    <row r="158" spans="1:32" ht="13.15" x14ac:dyDescent="0.4">
      <c r="A158" s="19"/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19"/>
      <c r="AF158" s="19"/>
    </row>
    <row r="159" spans="1:32" ht="13.15" x14ac:dyDescent="0.4">
      <c r="A159" s="19"/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  <c r="AF159" s="19"/>
    </row>
    <row r="160" spans="1:32" ht="13.15" x14ac:dyDescent="0.4">
      <c r="A160" s="19"/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  <c r="AC160" s="19"/>
      <c r="AD160" s="19"/>
      <c r="AE160" s="19"/>
      <c r="AF160" s="19"/>
    </row>
    <row r="161" spans="1:32" ht="13.15" x14ac:dyDescent="0.4">
      <c r="A161" s="19"/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  <c r="AC161" s="19"/>
      <c r="AD161" s="19"/>
      <c r="AE161" s="19"/>
      <c r="AF161" s="19"/>
    </row>
    <row r="162" spans="1:32" ht="13.15" x14ac:dyDescent="0.4">
      <c r="A162" s="19"/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  <c r="AC162" s="19"/>
      <c r="AD162" s="19"/>
      <c r="AE162" s="19"/>
      <c r="AF162" s="19"/>
    </row>
    <row r="163" spans="1:32" ht="13.15" x14ac:dyDescent="0.4">
      <c r="A163" s="19"/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  <c r="AC163" s="19"/>
      <c r="AD163" s="19"/>
      <c r="AE163" s="19"/>
      <c r="AF163" s="19"/>
    </row>
    <row r="164" spans="1:32" ht="13.15" x14ac:dyDescent="0.4">
      <c r="A164" s="19"/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  <c r="AC164" s="19"/>
      <c r="AD164" s="19"/>
      <c r="AE164" s="19"/>
      <c r="AF164" s="19"/>
    </row>
    <row r="165" spans="1:32" ht="13.15" x14ac:dyDescent="0.4">
      <c r="A165" s="19"/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19"/>
      <c r="AD165" s="19"/>
      <c r="AE165" s="19"/>
      <c r="AF165" s="19"/>
    </row>
    <row r="166" spans="1:32" ht="13.15" x14ac:dyDescent="0.4">
      <c r="A166" s="19"/>
      <c r="B166" s="19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  <c r="AC166" s="19"/>
      <c r="AD166" s="19"/>
      <c r="AE166" s="19"/>
      <c r="AF166" s="19"/>
    </row>
    <row r="167" spans="1:32" ht="13.15" x14ac:dyDescent="0.4">
      <c r="A167" s="19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</row>
    <row r="168" spans="1:32" ht="13.15" x14ac:dyDescent="0.4">
      <c r="A168" s="19"/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  <c r="AF168" s="19"/>
    </row>
    <row r="169" spans="1:32" ht="13.15" x14ac:dyDescent="0.4">
      <c r="A169" s="19"/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  <c r="AE169" s="19"/>
      <c r="AF169" s="19"/>
    </row>
    <row r="170" spans="1:32" ht="13.15" x14ac:dyDescent="0.4">
      <c r="A170" s="19"/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  <c r="AF170" s="19"/>
    </row>
    <row r="171" spans="1:32" ht="13.15" x14ac:dyDescent="0.4">
      <c r="A171" s="19"/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  <c r="AF171" s="19"/>
    </row>
    <row r="172" spans="1:32" ht="13.15" x14ac:dyDescent="0.4">
      <c r="A172" s="19"/>
      <c r="B172" s="19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19"/>
      <c r="AF172" s="19"/>
    </row>
    <row r="173" spans="1:32" ht="13.15" x14ac:dyDescent="0.4">
      <c r="A173" s="19"/>
      <c r="B173" s="19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  <c r="AF173" s="19"/>
    </row>
    <row r="174" spans="1:32" ht="13.15" x14ac:dyDescent="0.4">
      <c r="A174" s="19"/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  <c r="AF174" s="19"/>
    </row>
    <row r="175" spans="1:32" ht="13.15" x14ac:dyDescent="0.4">
      <c r="A175" s="19"/>
      <c r="B175" s="19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  <c r="AF175" s="19"/>
    </row>
    <row r="176" spans="1:32" ht="13.15" x14ac:dyDescent="0.4">
      <c r="A176" s="19"/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  <c r="AF176" s="19"/>
    </row>
    <row r="177" spans="1:32" ht="13.15" x14ac:dyDescent="0.4">
      <c r="A177" s="19"/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  <c r="AE177" s="19"/>
      <c r="AF177" s="19"/>
    </row>
    <row r="178" spans="1:32" ht="13.15" x14ac:dyDescent="0.4">
      <c r="A178" s="19"/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  <c r="AF178" s="19"/>
    </row>
    <row r="179" spans="1:32" ht="13.15" x14ac:dyDescent="0.4">
      <c r="A179" s="19"/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  <c r="AF179" s="19"/>
    </row>
    <row r="180" spans="1:32" ht="13.15" x14ac:dyDescent="0.4">
      <c r="A180" s="19"/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  <c r="AE180" s="19"/>
      <c r="AF180" s="19"/>
    </row>
    <row r="181" spans="1:32" ht="13.15" x14ac:dyDescent="0.4">
      <c r="A181" s="19"/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  <c r="AF181" s="19"/>
    </row>
    <row r="182" spans="1:32" ht="13.15" x14ac:dyDescent="0.4">
      <c r="A182" s="19"/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  <c r="AF182" s="19"/>
    </row>
    <row r="183" spans="1:32" ht="13.15" x14ac:dyDescent="0.4">
      <c r="A183" s="19"/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  <c r="AF183" s="19"/>
    </row>
    <row r="184" spans="1:32" ht="13.15" x14ac:dyDescent="0.4">
      <c r="A184" s="19"/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  <c r="AF184" s="19"/>
    </row>
    <row r="185" spans="1:32" ht="13.15" x14ac:dyDescent="0.4">
      <c r="A185" s="19"/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  <c r="AF185" s="19"/>
    </row>
    <row r="186" spans="1:32" ht="13.15" x14ac:dyDescent="0.4">
      <c r="A186" s="19"/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  <c r="AF186" s="19"/>
    </row>
    <row r="187" spans="1:32" ht="13.15" x14ac:dyDescent="0.4">
      <c r="A187" s="19"/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  <c r="AF187" s="19"/>
    </row>
    <row r="188" spans="1:32" ht="13.15" x14ac:dyDescent="0.4">
      <c r="A188" s="19"/>
      <c r="B188" s="19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  <c r="AF188" s="19"/>
    </row>
    <row r="189" spans="1:32" ht="13.15" x14ac:dyDescent="0.4">
      <c r="A189" s="19"/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  <c r="AF189" s="19"/>
    </row>
    <row r="190" spans="1:32" ht="13.15" x14ac:dyDescent="0.4">
      <c r="A190" s="19"/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  <c r="AF190" s="19"/>
    </row>
    <row r="191" spans="1:32" ht="13.15" x14ac:dyDescent="0.4">
      <c r="A191" s="19"/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  <c r="AF191" s="19"/>
    </row>
    <row r="192" spans="1:32" ht="13.15" x14ac:dyDescent="0.4">
      <c r="A192" s="19"/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19"/>
    </row>
    <row r="193" spans="1:32" ht="13.15" x14ac:dyDescent="0.4">
      <c r="A193" s="19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</row>
    <row r="194" spans="1:32" ht="13.15" x14ac:dyDescent="0.4">
      <c r="A194" s="19"/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  <c r="AF194" s="19"/>
    </row>
    <row r="195" spans="1:32" ht="13.15" x14ac:dyDescent="0.4">
      <c r="A195" s="19"/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</row>
    <row r="196" spans="1:32" ht="13.15" x14ac:dyDescent="0.4">
      <c r="A196" s="19"/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</row>
    <row r="197" spans="1:32" ht="13.15" x14ac:dyDescent="0.4">
      <c r="A197" s="19"/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</row>
    <row r="198" spans="1:32" ht="13.15" x14ac:dyDescent="0.4">
      <c r="A198" s="19"/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</row>
    <row r="199" spans="1:32" ht="13.15" x14ac:dyDescent="0.4">
      <c r="A199" s="19"/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</row>
    <row r="200" spans="1:32" ht="13.15" x14ac:dyDescent="0.4">
      <c r="A200" s="19"/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</row>
    <row r="201" spans="1:32" ht="13.15" x14ac:dyDescent="0.4">
      <c r="A201" s="19"/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  <c r="AF201" s="19"/>
    </row>
    <row r="202" spans="1:32" ht="13.15" x14ac:dyDescent="0.4">
      <c r="A202" s="19"/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</row>
    <row r="203" spans="1:32" ht="13.15" x14ac:dyDescent="0.4">
      <c r="A203" s="19"/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</row>
    <row r="204" spans="1:32" ht="13.15" x14ac:dyDescent="0.4">
      <c r="A204" s="19"/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19"/>
    </row>
    <row r="205" spans="1:32" ht="13.15" x14ac:dyDescent="0.4">
      <c r="A205" s="19"/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  <c r="AF205" s="19"/>
    </row>
    <row r="206" spans="1:32" ht="13.15" x14ac:dyDescent="0.4">
      <c r="A206" s="19"/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</row>
    <row r="207" spans="1:32" ht="13.15" x14ac:dyDescent="0.4">
      <c r="A207" s="19"/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</row>
    <row r="208" spans="1:32" ht="13.15" x14ac:dyDescent="0.4">
      <c r="A208" s="19"/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19"/>
    </row>
    <row r="209" spans="1:32" ht="13.15" x14ac:dyDescent="0.4">
      <c r="A209" s="19"/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19"/>
    </row>
    <row r="210" spans="1:32" ht="13.15" x14ac:dyDescent="0.4">
      <c r="A210" s="19"/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19"/>
    </row>
    <row r="211" spans="1:32" ht="13.15" x14ac:dyDescent="0.4">
      <c r="A211" s="19"/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</row>
    <row r="212" spans="1:32" ht="13.15" x14ac:dyDescent="0.4">
      <c r="A212" s="19"/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  <c r="AF212" s="19"/>
    </row>
    <row r="213" spans="1:32" ht="13.15" x14ac:dyDescent="0.4">
      <c r="A213" s="19"/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</row>
    <row r="214" spans="1:32" ht="13.15" x14ac:dyDescent="0.4">
      <c r="A214" s="19"/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</row>
    <row r="215" spans="1:32" ht="13.15" x14ac:dyDescent="0.4">
      <c r="A215" s="19"/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  <c r="AF215" s="19"/>
    </row>
    <row r="216" spans="1:32" ht="13.15" x14ac:dyDescent="0.4">
      <c r="A216" s="19"/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  <c r="AF216" s="19"/>
    </row>
    <row r="217" spans="1:32" ht="13.15" x14ac:dyDescent="0.4">
      <c r="A217" s="19"/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</row>
    <row r="218" spans="1:32" ht="13.15" x14ac:dyDescent="0.4">
      <c r="A218" s="19"/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  <c r="AF218" s="19"/>
    </row>
    <row r="219" spans="1:32" ht="13.15" x14ac:dyDescent="0.4">
      <c r="A219" s="19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</row>
    <row r="220" spans="1:32" ht="13.15" x14ac:dyDescent="0.4">
      <c r="A220" s="19"/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</row>
    <row r="221" spans="1:32" ht="13.15" x14ac:dyDescent="0.4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19"/>
    </row>
    <row r="222" spans="1:32" ht="13.15" x14ac:dyDescent="0.4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</row>
    <row r="223" spans="1:32" ht="13.15" x14ac:dyDescent="0.4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19"/>
    </row>
    <row r="224" spans="1:32" ht="13.15" x14ac:dyDescent="0.4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</row>
    <row r="225" spans="1:32" ht="13.15" x14ac:dyDescent="0.4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  <c r="AF225" s="19"/>
    </row>
    <row r="226" spans="1:32" ht="13.15" x14ac:dyDescent="0.4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</row>
    <row r="227" spans="1:32" ht="13.15" x14ac:dyDescent="0.4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19"/>
    </row>
    <row r="228" spans="1:32" ht="13.15" x14ac:dyDescent="0.4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</row>
    <row r="229" spans="1:32" ht="13.15" x14ac:dyDescent="0.4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  <c r="AE229" s="19"/>
      <c r="AF229" s="19"/>
    </row>
    <row r="230" spans="1:32" ht="13.15" x14ac:dyDescent="0.4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</row>
    <row r="231" spans="1:32" ht="13.15" x14ac:dyDescent="0.4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9"/>
    </row>
    <row r="232" spans="1:32" ht="13.15" x14ac:dyDescent="0.4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</row>
    <row r="233" spans="1:32" ht="13.15" x14ac:dyDescent="0.4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19"/>
    </row>
    <row r="234" spans="1:32" ht="13.15" x14ac:dyDescent="0.4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</row>
    <row r="235" spans="1:32" ht="13.15" x14ac:dyDescent="0.4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</row>
    <row r="236" spans="1:32" ht="13.15" x14ac:dyDescent="0.4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</row>
    <row r="237" spans="1:32" ht="13.15" x14ac:dyDescent="0.4">
      <c r="A237" s="19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19"/>
    </row>
    <row r="238" spans="1:32" ht="13.15" x14ac:dyDescent="0.4">
      <c r="A238" s="19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</row>
    <row r="239" spans="1:32" ht="13.15" x14ac:dyDescent="0.4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  <c r="AF239" s="19"/>
    </row>
    <row r="240" spans="1:32" ht="13.15" x14ac:dyDescent="0.4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</row>
    <row r="241" spans="1:32" ht="13.15" x14ac:dyDescent="0.4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</row>
    <row r="242" spans="1:32" ht="13.15" x14ac:dyDescent="0.4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</row>
    <row r="243" spans="1:32" ht="13.15" x14ac:dyDescent="0.4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  <c r="AF243" s="19"/>
    </row>
    <row r="244" spans="1:32" ht="13.15" x14ac:dyDescent="0.4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</row>
    <row r="245" spans="1:32" ht="13.15" x14ac:dyDescent="0.4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</row>
    <row r="246" spans="1:32" ht="13.15" x14ac:dyDescent="0.4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</row>
    <row r="247" spans="1:32" ht="13.15" x14ac:dyDescent="0.4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</row>
    <row r="248" spans="1:32" ht="13.15" x14ac:dyDescent="0.4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</row>
    <row r="249" spans="1:32" ht="13.15" x14ac:dyDescent="0.4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</row>
    <row r="250" spans="1:32" ht="13.15" x14ac:dyDescent="0.4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</row>
    <row r="251" spans="1:32" ht="13.15" x14ac:dyDescent="0.4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19"/>
    </row>
    <row r="252" spans="1:32" ht="13.15" x14ac:dyDescent="0.4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</row>
    <row r="253" spans="1:32" ht="13.15" x14ac:dyDescent="0.4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</row>
    <row r="254" spans="1:32" ht="13.15" x14ac:dyDescent="0.4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19"/>
    </row>
    <row r="255" spans="1:32" ht="13.15" x14ac:dyDescent="0.4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9"/>
    </row>
    <row r="256" spans="1:32" ht="13.15" x14ac:dyDescent="0.4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  <c r="AC256" s="19"/>
      <c r="AD256" s="19"/>
      <c r="AE256" s="19"/>
      <c r="AF256" s="19"/>
    </row>
    <row r="257" spans="1:32" ht="13.15" x14ac:dyDescent="0.4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9"/>
      <c r="AE257" s="19"/>
      <c r="AF257" s="19"/>
    </row>
    <row r="258" spans="1:32" ht="13.15" x14ac:dyDescent="0.4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19"/>
    </row>
    <row r="259" spans="1:32" ht="13.15" x14ac:dyDescent="0.4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  <c r="AC259" s="19"/>
      <c r="AD259" s="19"/>
      <c r="AE259" s="19"/>
      <c r="AF259" s="19"/>
    </row>
    <row r="260" spans="1:32" ht="13.15" x14ac:dyDescent="0.4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  <c r="AF260" s="19"/>
    </row>
    <row r="261" spans="1:32" ht="13.15" x14ac:dyDescent="0.4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19"/>
    </row>
    <row r="262" spans="1:32" ht="13.15" x14ac:dyDescent="0.4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19"/>
    </row>
    <row r="263" spans="1:32" ht="13.15" x14ac:dyDescent="0.4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19"/>
    </row>
    <row r="264" spans="1:32" ht="13.15" x14ac:dyDescent="0.4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</row>
    <row r="265" spans="1:32" ht="13.15" x14ac:dyDescent="0.4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</row>
    <row r="266" spans="1:32" ht="13.15" x14ac:dyDescent="0.4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</row>
    <row r="267" spans="1:32" ht="13.15" x14ac:dyDescent="0.4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</row>
    <row r="268" spans="1:32" ht="13.15" x14ac:dyDescent="0.4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  <c r="AF268" s="19"/>
    </row>
    <row r="269" spans="1:32" ht="13.15" x14ac:dyDescent="0.4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  <c r="AF269" s="19"/>
    </row>
    <row r="270" spans="1:32" ht="13.15" x14ac:dyDescent="0.4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</row>
    <row r="271" spans="1:32" ht="13.15" x14ac:dyDescent="0.4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</row>
    <row r="272" spans="1:32" ht="13.15" x14ac:dyDescent="0.4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19"/>
    </row>
    <row r="273" spans="1:32" ht="13.15" x14ac:dyDescent="0.4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19"/>
    </row>
    <row r="274" spans="1:32" ht="13.15" x14ac:dyDescent="0.4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19"/>
    </row>
    <row r="275" spans="1:32" ht="13.15" x14ac:dyDescent="0.4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19"/>
    </row>
    <row r="276" spans="1:32" ht="13.15" x14ac:dyDescent="0.4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  <c r="AF276" s="19"/>
    </row>
    <row r="277" spans="1:32" ht="13.15" x14ac:dyDescent="0.4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19"/>
    </row>
    <row r="278" spans="1:32" ht="13.15" x14ac:dyDescent="0.4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  <c r="AD278" s="19"/>
      <c r="AE278" s="19"/>
      <c r="AF278" s="19"/>
    </row>
    <row r="279" spans="1:32" ht="13.15" x14ac:dyDescent="0.4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19"/>
    </row>
    <row r="280" spans="1:32" ht="13.15" x14ac:dyDescent="0.4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19"/>
    </row>
    <row r="281" spans="1:32" ht="13.15" x14ac:dyDescent="0.4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19"/>
    </row>
    <row r="282" spans="1:32" ht="13.15" x14ac:dyDescent="0.4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19"/>
    </row>
    <row r="283" spans="1:32" ht="13.15" x14ac:dyDescent="0.4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</row>
    <row r="284" spans="1:32" ht="13.15" x14ac:dyDescent="0.4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E284" s="19"/>
      <c r="AF284" s="19"/>
    </row>
    <row r="285" spans="1:32" ht="13.15" x14ac:dyDescent="0.4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  <c r="AE285" s="19"/>
      <c r="AF285" s="19"/>
    </row>
    <row r="286" spans="1:32" ht="13.15" x14ac:dyDescent="0.4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  <c r="AF286" s="19"/>
    </row>
    <row r="287" spans="1:32" ht="13.15" x14ac:dyDescent="0.4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  <c r="AD287" s="19"/>
      <c r="AE287" s="19"/>
      <c r="AF287" s="19"/>
    </row>
    <row r="288" spans="1:32" ht="13.15" x14ac:dyDescent="0.4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  <c r="AD288" s="19"/>
      <c r="AE288" s="19"/>
      <c r="AF288" s="19"/>
    </row>
    <row r="289" spans="1:32" ht="13.15" x14ac:dyDescent="0.4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  <c r="AF289" s="19"/>
    </row>
    <row r="290" spans="1:32" ht="13.15" x14ac:dyDescent="0.4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  <c r="AF290" s="19"/>
    </row>
    <row r="291" spans="1:32" ht="13.15" x14ac:dyDescent="0.4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  <c r="AD291" s="19"/>
      <c r="AE291" s="19"/>
      <c r="AF291" s="19"/>
    </row>
    <row r="292" spans="1:32" ht="13.15" x14ac:dyDescent="0.4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  <c r="AF292" s="19"/>
    </row>
    <row r="293" spans="1:32" ht="13.15" x14ac:dyDescent="0.4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/>
      <c r="AE293" s="19"/>
      <c r="AF293" s="19"/>
    </row>
    <row r="294" spans="1:32" ht="13.15" x14ac:dyDescent="0.4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9"/>
      <c r="AE294" s="19"/>
      <c r="AF294" s="19"/>
    </row>
    <row r="295" spans="1:32" ht="13.15" x14ac:dyDescent="0.4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/>
      <c r="AE295" s="19"/>
      <c r="AF295" s="19"/>
    </row>
    <row r="296" spans="1:32" ht="13.15" x14ac:dyDescent="0.4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19"/>
      <c r="AE296" s="19"/>
      <c r="AF296" s="19"/>
    </row>
    <row r="297" spans="1:32" ht="13.15" x14ac:dyDescent="0.4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</row>
    <row r="298" spans="1:32" ht="13.15" x14ac:dyDescent="0.4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19"/>
      <c r="AD298" s="19"/>
      <c r="AE298" s="19"/>
      <c r="AF298" s="19"/>
    </row>
    <row r="299" spans="1:32" ht="13.15" x14ac:dyDescent="0.4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19"/>
      <c r="AE299" s="19"/>
      <c r="AF299" s="19"/>
    </row>
    <row r="300" spans="1:32" ht="13.15" x14ac:dyDescent="0.4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19"/>
      <c r="AD300" s="19"/>
      <c r="AE300" s="19"/>
      <c r="AF300" s="19"/>
    </row>
    <row r="301" spans="1:32" ht="13.15" x14ac:dyDescent="0.4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/>
      <c r="AE301" s="19"/>
      <c r="AF301" s="19"/>
    </row>
    <row r="302" spans="1:32" ht="13.15" x14ac:dyDescent="0.4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E302" s="19"/>
      <c r="AF302" s="19"/>
    </row>
    <row r="303" spans="1:32" ht="13.15" x14ac:dyDescent="0.4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  <c r="AC303" s="19"/>
      <c r="AD303" s="19"/>
      <c r="AE303" s="19"/>
      <c r="AF303" s="19"/>
    </row>
    <row r="304" spans="1:32" ht="13.15" x14ac:dyDescent="0.4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  <c r="AC304" s="19"/>
      <c r="AD304" s="19"/>
      <c r="AE304" s="19"/>
      <c r="AF304" s="19"/>
    </row>
    <row r="305" spans="1:32" ht="13.15" x14ac:dyDescent="0.4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  <c r="AC305" s="19"/>
      <c r="AD305" s="19"/>
      <c r="AE305" s="19"/>
      <c r="AF305" s="19"/>
    </row>
    <row r="306" spans="1:32" ht="13.15" x14ac:dyDescent="0.4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  <c r="AC306" s="19"/>
      <c r="AD306" s="19"/>
      <c r="AE306" s="19"/>
      <c r="AF306" s="19"/>
    </row>
    <row r="307" spans="1:32" ht="13.15" x14ac:dyDescent="0.4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  <c r="AC307" s="19"/>
      <c r="AD307" s="19"/>
      <c r="AE307" s="19"/>
      <c r="AF307" s="19"/>
    </row>
    <row r="308" spans="1:32" ht="13.15" x14ac:dyDescent="0.4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  <c r="AC308" s="19"/>
      <c r="AD308" s="19"/>
      <c r="AE308" s="19"/>
      <c r="AF308" s="19"/>
    </row>
    <row r="309" spans="1:32" ht="13.15" x14ac:dyDescent="0.4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  <c r="AC309" s="19"/>
      <c r="AD309" s="19"/>
      <c r="AE309" s="19"/>
      <c r="AF309" s="19"/>
    </row>
    <row r="310" spans="1:32" ht="13.15" x14ac:dyDescent="0.4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  <c r="AC310" s="19"/>
      <c r="AD310" s="19"/>
      <c r="AE310" s="19"/>
      <c r="AF310" s="19"/>
    </row>
    <row r="311" spans="1:32" ht="13.15" x14ac:dyDescent="0.4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  <c r="AC311" s="19"/>
      <c r="AD311" s="19"/>
      <c r="AE311" s="19"/>
      <c r="AF311" s="19"/>
    </row>
    <row r="312" spans="1:32" ht="13.15" x14ac:dyDescent="0.4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  <c r="AC312" s="19"/>
      <c r="AD312" s="19"/>
      <c r="AE312" s="19"/>
      <c r="AF312" s="19"/>
    </row>
    <row r="313" spans="1:32" ht="13.15" x14ac:dyDescent="0.4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  <c r="AC313" s="19"/>
      <c r="AD313" s="19"/>
      <c r="AE313" s="19"/>
      <c r="AF313" s="19"/>
    </row>
    <row r="314" spans="1:32" ht="13.15" x14ac:dyDescent="0.4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  <c r="AC314" s="19"/>
      <c r="AD314" s="19"/>
      <c r="AE314" s="19"/>
      <c r="AF314" s="19"/>
    </row>
    <row r="315" spans="1:32" ht="13.15" x14ac:dyDescent="0.4">
      <c r="A315" s="19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  <c r="AD315" s="19"/>
      <c r="AE315" s="19"/>
      <c r="AF315" s="19"/>
    </row>
    <row r="316" spans="1:32" ht="13.15" x14ac:dyDescent="0.4">
      <c r="A316" s="19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  <c r="AC316" s="19"/>
      <c r="AD316" s="19"/>
      <c r="AE316" s="19"/>
      <c r="AF316" s="19"/>
    </row>
    <row r="317" spans="1:32" ht="13.15" x14ac:dyDescent="0.4">
      <c r="A317" s="19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  <c r="AF317" s="19"/>
    </row>
    <row r="318" spans="1:32" ht="13.15" x14ac:dyDescent="0.4">
      <c r="A318" s="19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  <c r="AC318" s="19"/>
      <c r="AD318" s="19"/>
      <c r="AE318" s="19"/>
      <c r="AF318" s="19"/>
    </row>
    <row r="319" spans="1:32" ht="13.15" x14ac:dyDescent="0.4">
      <c r="A319" s="19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  <c r="AC319" s="19"/>
      <c r="AD319" s="19"/>
      <c r="AE319" s="19"/>
      <c r="AF319" s="19"/>
    </row>
    <row r="320" spans="1:32" ht="13.15" x14ac:dyDescent="0.4">
      <c r="A320" s="19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  <c r="AC320" s="19"/>
      <c r="AD320" s="19"/>
      <c r="AE320" s="19"/>
      <c r="AF320" s="19"/>
    </row>
    <row r="321" spans="1:32" ht="13.15" x14ac:dyDescent="0.4">
      <c r="A321" s="19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  <c r="AC321" s="19"/>
      <c r="AD321" s="19"/>
      <c r="AE321" s="19"/>
      <c r="AF321" s="19"/>
    </row>
    <row r="322" spans="1:32" ht="13.15" x14ac:dyDescent="0.4">
      <c r="A322" s="19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  <c r="AC322" s="19"/>
      <c r="AD322" s="19"/>
      <c r="AE322" s="19"/>
      <c r="AF322" s="19"/>
    </row>
    <row r="323" spans="1:32" ht="13.15" x14ac:dyDescent="0.4">
      <c r="A323" s="19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  <c r="AC323" s="19"/>
      <c r="AD323" s="19"/>
      <c r="AE323" s="19"/>
      <c r="AF323" s="19"/>
    </row>
    <row r="324" spans="1:32" ht="13.15" x14ac:dyDescent="0.4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  <c r="AC324" s="19"/>
      <c r="AD324" s="19"/>
      <c r="AE324" s="19"/>
      <c r="AF324" s="19"/>
    </row>
    <row r="325" spans="1:32" ht="13.15" x14ac:dyDescent="0.4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  <c r="AC325" s="19"/>
      <c r="AD325" s="19"/>
      <c r="AE325" s="19"/>
      <c r="AF325" s="19"/>
    </row>
    <row r="326" spans="1:32" ht="13.15" x14ac:dyDescent="0.4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  <c r="AD326" s="19"/>
      <c r="AE326" s="19"/>
      <c r="AF326" s="19"/>
    </row>
    <row r="327" spans="1:32" ht="13.15" x14ac:dyDescent="0.4">
      <c r="A327" s="19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  <c r="AC327" s="19"/>
      <c r="AD327" s="19"/>
      <c r="AE327" s="19"/>
      <c r="AF327" s="19"/>
    </row>
    <row r="328" spans="1:32" ht="13.15" x14ac:dyDescent="0.4">
      <c r="A328" s="19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  <c r="AC328" s="19"/>
      <c r="AD328" s="19"/>
      <c r="AE328" s="19"/>
      <c r="AF328" s="19"/>
    </row>
    <row r="329" spans="1:32" ht="13.15" x14ac:dyDescent="0.4">
      <c r="A329" s="19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  <c r="AC329" s="19"/>
      <c r="AD329" s="19"/>
      <c r="AE329" s="19"/>
      <c r="AF329" s="19"/>
    </row>
    <row r="330" spans="1:32" ht="13.15" x14ac:dyDescent="0.4">
      <c r="A330" s="19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  <c r="AC330" s="19"/>
      <c r="AD330" s="19"/>
      <c r="AE330" s="19"/>
      <c r="AF330" s="19"/>
    </row>
    <row r="331" spans="1:32" ht="13.15" x14ac:dyDescent="0.4">
      <c r="A331" s="19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  <c r="AC331" s="19"/>
      <c r="AD331" s="19"/>
      <c r="AE331" s="19"/>
      <c r="AF331" s="19"/>
    </row>
    <row r="332" spans="1:32" ht="13.15" x14ac:dyDescent="0.4">
      <c r="A332" s="19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  <c r="AC332" s="19"/>
      <c r="AD332" s="19"/>
      <c r="AE332" s="19"/>
      <c r="AF332" s="19"/>
    </row>
    <row r="333" spans="1:32" ht="13.15" x14ac:dyDescent="0.4">
      <c r="A333" s="19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  <c r="AC333" s="19"/>
      <c r="AD333" s="19"/>
      <c r="AE333" s="19"/>
      <c r="AF333" s="19"/>
    </row>
    <row r="334" spans="1:32" ht="13.15" x14ac:dyDescent="0.4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  <c r="AC334" s="19"/>
      <c r="AD334" s="19"/>
      <c r="AE334" s="19"/>
      <c r="AF334" s="19"/>
    </row>
    <row r="335" spans="1:32" ht="13.15" x14ac:dyDescent="0.4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  <c r="AC335" s="19"/>
      <c r="AD335" s="19"/>
      <c r="AE335" s="19"/>
      <c r="AF335" s="19"/>
    </row>
    <row r="336" spans="1:32" ht="13.15" x14ac:dyDescent="0.4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  <c r="AC336" s="19"/>
      <c r="AD336" s="19"/>
      <c r="AE336" s="19"/>
      <c r="AF336" s="19"/>
    </row>
    <row r="337" spans="1:32" ht="13.15" x14ac:dyDescent="0.4">
      <c r="A337" s="19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  <c r="AC337" s="19"/>
      <c r="AD337" s="19"/>
      <c r="AE337" s="19"/>
      <c r="AF337" s="19"/>
    </row>
    <row r="338" spans="1:32" ht="13.15" x14ac:dyDescent="0.4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  <c r="AC338" s="19"/>
      <c r="AD338" s="19"/>
      <c r="AE338" s="19"/>
      <c r="AF338" s="19"/>
    </row>
    <row r="339" spans="1:32" ht="13.15" x14ac:dyDescent="0.4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  <c r="AC339" s="19"/>
      <c r="AD339" s="19"/>
      <c r="AE339" s="19"/>
      <c r="AF339" s="19"/>
    </row>
    <row r="340" spans="1:32" ht="13.15" x14ac:dyDescent="0.4">
      <c r="A340" s="19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  <c r="AC340" s="19"/>
      <c r="AD340" s="19"/>
      <c r="AE340" s="19"/>
      <c r="AF340" s="19"/>
    </row>
    <row r="341" spans="1:32" ht="13.15" x14ac:dyDescent="0.4">
      <c r="A341" s="19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  <c r="AC341" s="19"/>
      <c r="AD341" s="19"/>
      <c r="AE341" s="19"/>
      <c r="AF341" s="19"/>
    </row>
    <row r="342" spans="1:32" ht="13.15" x14ac:dyDescent="0.4">
      <c r="A342" s="19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  <c r="AC342" s="19"/>
      <c r="AD342" s="19"/>
      <c r="AE342" s="19"/>
      <c r="AF342" s="19"/>
    </row>
    <row r="343" spans="1:32" ht="13.15" x14ac:dyDescent="0.4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  <c r="AC343" s="19"/>
      <c r="AD343" s="19"/>
      <c r="AE343" s="19"/>
      <c r="AF343" s="19"/>
    </row>
    <row r="344" spans="1:32" ht="13.15" x14ac:dyDescent="0.4">
      <c r="A344" s="19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  <c r="AC344" s="19"/>
      <c r="AD344" s="19"/>
      <c r="AE344" s="19"/>
      <c r="AF344" s="19"/>
    </row>
    <row r="345" spans="1:32" ht="13.15" x14ac:dyDescent="0.4">
      <c r="A345" s="19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  <c r="AC345" s="19"/>
      <c r="AD345" s="19"/>
      <c r="AE345" s="19"/>
      <c r="AF345" s="19"/>
    </row>
    <row r="346" spans="1:32" ht="13.15" x14ac:dyDescent="0.4">
      <c r="A346" s="19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  <c r="AC346" s="19"/>
      <c r="AD346" s="19"/>
      <c r="AE346" s="19"/>
      <c r="AF346" s="19"/>
    </row>
    <row r="347" spans="1:32" ht="13.15" x14ac:dyDescent="0.4">
      <c r="A347" s="19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  <c r="AC347" s="19"/>
      <c r="AD347" s="19"/>
      <c r="AE347" s="19"/>
      <c r="AF347" s="19"/>
    </row>
    <row r="348" spans="1:32" ht="13.15" x14ac:dyDescent="0.4">
      <c r="A348" s="19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  <c r="AC348" s="19"/>
      <c r="AD348" s="19"/>
      <c r="AE348" s="19"/>
      <c r="AF348" s="19"/>
    </row>
    <row r="349" spans="1:32" ht="13.15" x14ac:dyDescent="0.4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  <c r="AC349" s="19"/>
      <c r="AD349" s="19"/>
      <c r="AE349" s="19"/>
      <c r="AF349" s="19"/>
    </row>
    <row r="350" spans="1:32" ht="13.15" x14ac:dyDescent="0.4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  <c r="AC350" s="19"/>
      <c r="AD350" s="19"/>
      <c r="AE350" s="19"/>
      <c r="AF350" s="19"/>
    </row>
    <row r="351" spans="1:32" ht="13.15" x14ac:dyDescent="0.4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  <c r="AC351" s="19"/>
      <c r="AD351" s="19"/>
      <c r="AE351" s="19"/>
      <c r="AF351" s="19"/>
    </row>
    <row r="352" spans="1:32" ht="13.15" x14ac:dyDescent="0.4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  <c r="AC352" s="19"/>
      <c r="AD352" s="19"/>
      <c r="AE352" s="19"/>
      <c r="AF352" s="19"/>
    </row>
    <row r="353" spans="1:32" ht="13.15" x14ac:dyDescent="0.4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  <c r="AC353" s="19"/>
      <c r="AD353" s="19"/>
      <c r="AE353" s="19"/>
      <c r="AF353" s="19"/>
    </row>
    <row r="354" spans="1:32" ht="13.15" x14ac:dyDescent="0.4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  <c r="AC354" s="19"/>
      <c r="AD354" s="19"/>
      <c r="AE354" s="19"/>
      <c r="AF354" s="19"/>
    </row>
    <row r="355" spans="1:32" ht="13.15" x14ac:dyDescent="0.4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  <c r="AC355" s="19"/>
      <c r="AD355" s="19"/>
      <c r="AE355" s="19"/>
      <c r="AF355" s="19"/>
    </row>
    <row r="356" spans="1:32" ht="13.15" x14ac:dyDescent="0.4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  <c r="AC356" s="19"/>
      <c r="AD356" s="19"/>
      <c r="AE356" s="19"/>
      <c r="AF356" s="19"/>
    </row>
    <row r="357" spans="1:32" ht="13.15" x14ac:dyDescent="0.4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  <c r="AC357" s="19"/>
      <c r="AD357" s="19"/>
      <c r="AE357" s="19"/>
      <c r="AF357" s="19"/>
    </row>
    <row r="358" spans="1:32" ht="13.15" x14ac:dyDescent="0.4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19"/>
    </row>
    <row r="359" spans="1:32" ht="13.15" x14ac:dyDescent="0.4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  <c r="AF359" s="19"/>
    </row>
    <row r="360" spans="1:32" ht="13.15" x14ac:dyDescent="0.4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  <c r="AF360" s="19"/>
    </row>
    <row r="361" spans="1:32" ht="13.15" x14ac:dyDescent="0.4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  <c r="AC361" s="19"/>
      <c r="AD361" s="19"/>
      <c r="AE361" s="19"/>
      <c r="AF361" s="19"/>
    </row>
    <row r="362" spans="1:32" ht="13.15" x14ac:dyDescent="0.4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  <c r="AC362" s="19"/>
      <c r="AD362" s="19"/>
      <c r="AE362" s="19"/>
      <c r="AF362" s="19"/>
    </row>
    <row r="363" spans="1:32" ht="13.15" x14ac:dyDescent="0.4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  <c r="AF363" s="19"/>
    </row>
    <row r="364" spans="1:32" ht="13.15" x14ac:dyDescent="0.4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  <c r="AC364" s="19"/>
      <c r="AD364" s="19"/>
      <c r="AE364" s="19"/>
      <c r="AF364" s="19"/>
    </row>
    <row r="365" spans="1:32" ht="13.15" x14ac:dyDescent="0.4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  <c r="AC365" s="19"/>
      <c r="AD365" s="19"/>
      <c r="AE365" s="19"/>
      <c r="AF365" s="19"/>
    </row>
    <row r="366" spans="1:32" ht="13.15" x14ac:dyDescent="0.4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  <c r="AC366" s="19"/>
      <c r="AD366" s="19"/>
      <c r="AE366" s="19"/>
      <c r="AF366" s="19"/>
    </row>
    <row r="367" spans="1:32" ht="13.15" x14ac:dyDescent="0.4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  <c r="AC367" s="19"/>
      <c r="AD367" s="19"/>
      <c r="AE367" s="19"/>
      <c r="AF367" s="19"/>
    </row>
    <row r="368" spans="1:32" ht="13.15" x14ac:dyDescent="0.4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  <c r="AC368" s="19"/>
      <c r="AD368" s="19"/>
      <c r="AE368" s="19"/>
      <c r="AF368" s="19"/>
    </row>
    <row r="369" spans="1:32" ht="13.15" x14ac:dyDescent="0.4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  <c r="AC369" s="19"/>
      <c r="AD369" s="19"/>
      <c r="AE369" s="19"/>
      <c r="AF369" s="19"/>
    </row>
    <row r="370" spans="1:32" ht="13.15" x14ac:dyDescent="0.4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  <c r="AC370" s="19"/>
      <c r="AD370" s="19"/>
      <c r="AE370" s="19"/>
      <c r="AF370" s="19"/>
    </row>
    <row r="371" spans="1:32" ht="13.15" x14ac:dyDescent="0.4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  <c r="AF371" s="19"/>
    </row>
    <row r="372" spans="1:32" ht="13.15" x14ac:dyDescent="0.4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  <c r="AC372" s="19"/>
      <c r="AD372" s="19"/>
      <c r="AE372" s="19"/>
      <c r="AF372" s="19"/>
    </row>
    <row r="373" spans="1:32" ht="13.15" x14ac:dyDescent="0.4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  <c r="AC373" s="19"/>
      <c r="AD373" s="19"/>
      <c r="AE373" s="19"/>
      <c r="AF373" s="19"/>
    </row>
    <row r="374" spans="1:32" ht="13.15" x14ac:dyDescent="0.4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  <c r="AC374" s="19"/>
      <c r="AD374" s="19"/>
      <c r="AE374" s="19"/>
      <c r="AF374" s="19"/>
    </row>
    <row r="375" spans="1:32" ht="13.15" x14ac:dyDescent="0.4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  <c r="AC375" s="19"/>
      <c r="AD375" s="19"/>
      <c r="AE375" s="19"/>
      <c r="AF375" s="19"/>
    </row>
    <row r="376" spans="1:32" ht="13.15" x14ac:dyDescent="0.4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  <c r="AC376" s="19"/>
      <c r="AD376" s="19"/>
      <c r="AE376" s="19"/>
      <c r="AF376" s="19"/>
    </row>
    <row r="377" spans="1:32" ht="13.15" x14ac:dyDescent="0.4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  <c r="AC377" s="19"/>
      <c r="AD377" s="19"/>
      <c r="AE377" s="19"/>
      <c r="AF377" s="19"/>
    </row>
    <row r="378" spans="1:32" ht="13.15" x14ac:dyDescent="0.4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  <c r="AC378" s="19"/>
      <c r="AD378" s="19"/>
      <c r="AE378" s="19"/>
      <c r="AF378" s="19"/>
    </row>
    <row r="379" spans="1:32" ht="13.15" x14ac:dyDescent="0.4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  <c r="AC379" s="19"/>
      <c r="AD379" s="19"/>
      <c r="AE379" s="19"/>
      <c r="AF379" s="19"/>
    </row>
    <row r="380" spans="1:32" ht="13.15" x14ac:dyDescent="0.4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  <c r="AC380" s="19"/>
      <c r="AD380" s="19"/>
      <c r="AE380" s="19"/>
      <c r="AF380" s="19"/>
    </row>
    <row r="381" spans="1:32" ht="13.15" x14ac:dyDescent="0.4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E381" s="19"/>
      <c r="AF381" s="19"/>
    </row>
    <row r="382" spans="1:32" ht="13.15" x14ac:dyDescent="0.4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  <c r="AC382" s="19"/>
      <c r="AD382" s="19"/>
      <c r="AE382" s="19"/>
      <c r="AF382" s="19"/>
    </row>
    <row r="383" spans="1:32" ht="13.15" x14ac:dyDescent="0.4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  <c r="AC383" s="19"/>
      <c r="AD383" s="19"/>
      <c r="AE383" s="19"/>
      <c r="AF383" s="19"/>
    </row>
    <row r="384" spans="1:32" ht="13.15" x14ac:dyDescent="0.4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  <c r="AC384" s="19"/>
      <c r="AD384" s="19"/>
      <c r="AE384" s="19"/>
      <c r="AF384" s="19"/>
    </row>
    <row r="385" spans="1:32" ht="13.15" x14ac:dyDescent="0.4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  <c r="AE385" s="19"/>
      <c r="AF385" s="19"/>
    </row>
    <row r="386" spans="1:32" ht="13.15" x14ac:dyDescent="0.4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9"/>
      <c r="AE386" s="19"/>
      <c r="AF386" s="19"/>
    </row>
    <row r="387" spans="1:32" ht="13.15" x14ac:dyDescent="0.4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  <c r="AE387" s="19"/>
      <c r="AF387" s="19"/>
    </row>
    <row r="388" spans="1:32" ht="13.15" x14ac:dyDescent="0.4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  <c r="AC388" s="19"/>
      <c r="AD388" s="19"/>
      <c r="AE388" s="19"/>
      <c r="AF388" s="19"/>
    </row>
    <row r="389" spans="1:32" ht="13.15" x14ac:dyDescent="0.4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  <c r="AC389" s="19"/>
      <c r="AD389" s="19"/>
      <c r="AE389" s="19"/>
      <c r="AF389" s="19"/>
    </row>
    <row r="390" spans="1:32" ht="13.15" x14ac:dyDescent="0.4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  <c r="AC390" s="19"/>
      <c r="AD390" s="19"/>
      <c r="AE390" s="19"/>
      <c r="AF390" s="19"/>
    </row>
    <row r="391" spans="1:32" ht="13.15" x14ac:dyDescent="0.4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  <c r="AC391" s="19"/>
      <c r="AD391" s="19"/>
      <c r="AE391" s="19"/>
      <c r="AF391" s="19"/>
    </row>
    <row r="392" spans="1:32" ht="13.15" x14ac:dyDescent="0.4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E392" s="19"/>
      <c r="AF392" s="19"/>
    </row>
    <row r="393" spans="1:32" ht="13.15" x14ac:dyDescent="0.4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/>
      <c r="AE393" s="19"/>
      <c r="AF393" s="19"/>
    </row>
    <row r="394" spans="1:32" ht="13.15" x14ac:dyDescent="0.4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  <c r="AF394" s="19"/>
    </row>
    <row r="395" spans="1:32" ht="13.15" x14ac:dyDescent="0.4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19"/>
      <c r="AD395" s="19"/>
      <c r="AE395" s="19"/>
      <c r="AF395" s="19"/>
    </row>
    <row r="396" spans="1:32" ht="13.15" x14ac:dyDescent="0.4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/>
      <c r="AD396" s="19"/>
      <c r="AE396" s="19"/>
      <c r="AF396" s="19"/>
    </row>
    <row r="397" spans="1:32" ht="13.15" x14ac:dyDescent="0.4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  <c r="AC397" s="19"/>
      <c r="AD397" s="19"/>
      <c r="AE397" s="19"/>
      <c r="AF397" s="19"/>
    </row>
    <row r="398" spans="1:32" ht="13.15" x14ac:dyDescent="0.4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  <c r="AC398" s="19"/>
      <c r="AD398" s="19"/>
      <c r="AE398" s="19"/>
      <c r="AF398" s="19"/>
    </row>
    <row r="399" spans="1:32" ht="13.15" x14ac:dyDescent="0.4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  <c r="AC399" s="19"/>
      <c r="AD399" s="19"/>
      <c r="AE399" s="19"/>
      <c r="AF399" s="19"/>
    </row>
    <row r="400" spans="1:32" ht="13.15" x14ac:dyDescent="0.4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  <c r="AC400" s="19"/>
      <c r="AD400" s="19"/>
      <c r="AE400" s="19"/>
      <c r="AF400" s="19"/>
    </row>
    <row r="401" spans="1:32" ht="13.15" x14ac:dyDescent="0.4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  <c r="AC401" s="19"/>
      <c r="AD401" s="19"/>
      <c r="AE401" s="19"/>
      <c r="AF401" s="19"/>
    </row>
    <row r="402" spans="1:32" ht="13.15" x14ac:dyDescent="0.4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  <c r="AC402" s="19"/>
      <c r="AD402" s="19"/>
      <c r="AE402" s="19"/>
      <c r="AF402" s="19"/>
    </row>
    <row r="403" spans="1:32" ht="13.15" x14ac:dyDescent="0.4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/>
      <c r="AD403" s="19"/>
      <c r="AE403" s="19"/>
      <c r="AF403" s="19"/>
    </row>
    <row r="404" spans="1:32" ht="13.15" x14ac:dyDescent="0.4">
      <c r="A404" s="19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  <c r="AC404" s="19"/>
      <c r="AD404" s="19"/>
      <c r="AE404" s="19"/>
      <c r="AF404" s="19"/>
    </row>
    <row r="405" spans="1:32" ht="13.15" x14ac:dyDescent="0.4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  <c r="AC405" s="19"/>
      <c r="AD405" s="19"/>
      <c r="AE405" s="19"/>
      <c r="AF405" s="19"/>
    </row>
    <row r="406" spans="1:32" ht="13.15" x14ac:dyDescent="0.4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  <c r="AC406" s="19"/>
      <c r="AD406" s="19"/>
      <c r="AE406" s="19"/>
      <c r="AF406" s="19"/>
    </row>
    <row r="407" spans="1:32" ht="13.15" x14ac:dyDescent="0.4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  <c r="AC407" s="19"/>
      <c r="AD407" s="19"/>
      <c r="AE407" s="19"/>
      <c r="AF407" s="19"/>
    </row>
    <row r="408" spans="1:32" ht="13.15" x14ac:dyDescent="0.4">
      <c r="A408" s="19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  <c r="AC408" s="19"/>
      <c r="AD408" s="19"/>
      <c r="AE408" s="19"/>
      <c r="AF408" s="19"/>
    </row>
    <row r="409" spans="1:32" ht="13.15" x14ac:dyDescent="0.4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  <c r="AC409" s="19"/>
      <c r="AD409" s="19"/>
      <c r="AE409" s="19"/>
      <c r="AF409" s="19"/>
    </row>
    <row r="410" spans="1:32" ht="13.15" x14ac:dyDescent="0.4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  <c r="AC410" s="19"/>
      <c r="AD410" s="19"/>
      <c r="AE410" s="19"/>
      <c r="AF410" s="19"/>
    </row>
    <row r="411" spans="1:32" ht="13.15" x14ac:dyDescent="0.4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  <c r="AC411" s="19"/>
      <c r="AD411" s="19"/>
      <c r="AE411" s="19"/>
      <c r="AF411" s="19"/>
    </row>
    <row r="412" spans="1:32" ht="13.15" x14ac:dyDescent="0.4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  <c r="AC412" s="19"/>
      <c r="AD412" s="19"/>
      <c r="AE412" s="19"/>
      <c r="AF412" s="19"/>
    </row>
    <row r="413" spans="1:32" ht="13.15" x14ac:dyDescent="0.4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  <c r="AC413" s="19"/>
      <c r="AD413" s="19"/>
      <c r="AE413" s="19"/>
      <c r="AF413" s="19"/>
    </row>
    <row r="414" spans="1:32" ht="13.15" x14ac:dyDescent="0.4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  <c r="AC414" s="19"/>
      <c r="AD414" s="19"/>
      <c r="AE414" s="19"/>
      <c r="AF414" s="19"/>
    </row>
    <row r="415" spans="1:32" ht="13.15" x14ac:dyDescent="0.4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  <c r="AC415" s="19"/>
      <c r="AD415" s="19"/>
      <c r="AE415" s="19"/>
      <c r="AF415" s="19"/>
    </row>
    <row r="416" spans="1:32" ht="13.15" x14ac:dyDescent="0.4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  <c r="AC416" s="19"/>
      <c r="AD416" s="19"/>
      <c r="AE416" s="19"/>
      <c r="AF416" s="19"/>
    </row>
    <row r="417" spans="1:32" ht="13.15" x14ac:dyDescent="0.4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  <c r="AC417" s="19"/>
      <c r="AD417" s="19"/>
      <c r="AE417" s="19"/>
      <c r="AF417" s="19"/>
    </row>
    <row r="418" spans="1:32" ht="13.15" x14ac:dyDescent="0.4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  <c r="AC418" s="19"/>
      <c r="AD418" s="19"/>
      <c r="AE418" s="19"/>
      <c r="AF418" s="19"/>
    </row>
    <row r="419" spans="1:32" ht="13.15" x14ac:dyDescent="0.4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  <c r="AC419" s="19"/>
      <c r="AD419" s="19"/>
      <c r="AE419" s="19"/>
      <c r="AF419" s="19"/>
    </row>
    <row r="420" spans="1:32" ht="13.15" x14ac:dyDescent="0.4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  <c r="AC420" s="19"/>
      <c r="AD420" s="19"/>
      <c r="AE420" s="19"/>
      <c r="AF420" s="19"/>
    </row>
    <row r="421" spans="1:32" ht="13.15" x14ac:dyDescent="0.4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  <c r="AC421" s="19"/>
      <c r="AD421" s="19"/>
      <c r="AE421" s="19"/>
      <c r="AF421" s="19"/>
    </row>
    <row r="422" spans="1:32" ht="13.15" x14ac:dyDescent="0.4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  <c r="AC422" s="19"/>
      <c r="AD422" s="19"/>
      <c r="AE422" s="19"/>
      <c r="AF422" s="19"/>
    </row>
    <row r="423" spans="1:32" ht="13.15" x14ac:dyDescent="0.4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  <c r="AC423" s="19"/>
      <c r="AD423" s="19"/>
      <c r="AE423" s="19"/>
      <c r="AF423" s="19"/>
    </row>
    <row r="424" spans="1:32" ht="13.15" x14ac:dyDescent="0.4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  <c r="AC424" s="19"/>
      <c r="AD424" s="19"/>
      <c r="AE424" s="19"/>
      <c r="AF424" s="19"/>
    </row>
    <row r="425" spans="1:32" ht="13.15" x14ac:dyDescent="0.4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  <c r="AB425" s="19"/>
      <c r="AC425" s="19"/>
      <c r="AD425" s="19"/>
      <c r="AE425" s="19"/>
      <c r="AF425" s="19"/>
    </row>
    <row r="426" spans="1:32" ht="13.15" x14ac:dyDescent="0.4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  <c r="AB426" s="19"/>
      <c r="AC426" s="19"/>
      <c r="AD426" s="19"/>
      <c r="AE426" s="19"/>
      <c r="AF426" s="19"/>
    </row>
    <row r="427" spans="1:32" ht="13.15" x14ac:dyDescent="0.4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/>
      <c r="AC427" s="19"/>
      <c r="AD427" s="19"/>
      <c r="AE427" s="19"/>
      <c r="AF427" s="19"/>
    </row>
    <row r="428" spans="1:32" ht="13.15" x14ac:dyDescent="0.4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  <c r="AC428" s="19"/>
      <c r="AD428" s="19"/>
      <c r="AE428" s="19"/>
      <c r="AF428" s="19"/>
    </row>
    <row r="429" spans="1:32" ht="13.15" x14ac:dyDescent="0.4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  <c r="AC429" s="19"/>
      <c r="AD429" s="19"/>
      <c r="AE429" s="19"/>
      <c r="AF429" s="19"/>
    </row>
    <row r="430" spans="1:32" ht="13.15" x14ac:dyDescent="0.4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  <c r="AC430" s="19"/>
      <c r="AD430" s="19"/>
      <c r="AE430" s="19"/>
      <c r="AF430" s="19"/>
    </row>
    <row r="431" spans="1:32" ht="13.15" x14ac:dyDescent="0.4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  <c r="AC431" s="19"/>
      <c r="AD431" s="19"/>
      <c r="AE431" s="19"/>
      <c r="AF431" s="19"/>
    </row>
    <row r="432" spans="1:32" ht="13.15" x14ac:dyDescent="0.4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  <c r="AB432" s="19"/>
      <c r="AC432" s="19"/>
      <c r="AD432" s="19"/>
      <c r="AE432" s="19"/>
      <c r="AF432" s="19"/>
    </row>
    <row r="433" spans="1:32" ht="13.15" x14ac:dyDescent="0.4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  <c r="AC433" s="19"/>
      <c r="AD433" s="19"/>
      <c r="AE433" s="19"/>
      <c r="AF433" s="19"/>
    </row>
    <row r="434" spans="1:32" ht="13.15" x14ac:dyDescent="0.4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/>
      <c r="AC434" s="19"/>
      <c r="AD434" s="19"/>
      <c r="AE434" s="19"/>
      <c r="AF434" s="19"/>
    </row>
    <row r="435" spans="1:32" ht="13.15" x14ac:dyDescent="0.4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  <c r="AC435" s="19"/>
      <c r="AD435" s="19"/>
      <c r="AE435" s="19"/>
      <c r="AF435" s="19"/>
    </row>
    <row r="436" spans="1:32" ht="13.15" x14ac:dyDescent="0.4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  <c r="AC436" s="19"/>
      <c r="AD436" s="19"/>
      <c r="AE436" s="19"/>
      <c r="AF436" s="19"/>
    </row>
    <row r="437" spans="1:32" ht="13.15" x14ac:dyDescent="0.4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  <c r="AC437" s="19"/>
      <c r="AD437" s="19"/>
      <c r="AE437" s="19"/>
      <c r="AF437" s="19"/>
    </row>
    <row r="438" spans="1:32" ht="13.15" x14ac:dyDescent="0.4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  <c r="AC438" s="19"/>
      <c r="AD438" s="19"/>
      <c r="AE438" s="19"/>
      <c r="AF438" s="19"/>
    </row>
    <row r="439" spans="1:32" ht="13.15" x14ac:dyDescent="0.4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  <c r="AC439" s="19"/>
      <c r="AD439" s="19"/>
      <c r="AE439" s="19"/>
      <c r="AF439" s="19"/>
    </row>
    <row r="440" spans="1:32" ht="13.15" x14ac:dyDescent="0.4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  <c r="AC440" s="19"/>
      <c r="AD440" s="19"/>
      <c r="AE440" s="19"/>
      <c r="AF440" s="19"/>
    </row>
    <row r="441" spans="1:32" ht="13.15" x14ac:dyDescent="0.4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  <c r="AC441" s="19"/>
      <c r="AD441" s="19"/>
      <c r="AE441" s="19"/>
      <c r="AF441" s="19"/>
    </row>
    <row r="442" spans="1:32" ht="13.15" x14ac:dyDescent="0.4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  <c r="AC442" s="19"/>
      <c r="AD442" s="19"/>
      <c r="AE442" s="19"/>
      <c r="AF442" s="19"/>
    </row>
    <row r="443" spans="1:32" ht="13.15" x14ac:dyDescent="0.4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  <c r="AC443" s="19"/>
      <c r="AD443" s="19"/>
      <c r="AE443" s="19"/>
      <c r="AF443" s="19"/>
    </row>
    <row r="444" spans="1:32" ht="13.15" x14ac:dyDescent="0.4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  <c r="AC444" s="19"/>
      <c r="AD444" s="19"/>
      <c r="AE444" s="19"/>
      <c r="AF444" s="19"/>
    </row>
    <row r="445" spans="1:32" ht="13.15" x14ac:dyDescent="0.4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  <c r="AC445" s="19"/>
      <c r="AD445" s="19"/>
      <c r="AE445" s="19"/>
      <c r="AF445" s="19"/>
    </row>
    <row r="446" spans="1:32" ht="13.15" x14ac:dyDescent="0.4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  <c r="AB446" s="19"/>
      <c r="AC446" s="19"/>
      <c r="AD446" s="19"/>
      <c r="AE446" s="19"/>
      <c r="AF446" s="19"/>
    </row>
    <row r="447" spans="1:32" ht="13.15" x14ac:dyDescent="0.4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  <c r="AC447" s="19"/>
      <c r="AD447" s="19"/>
      <c r="AE447" s="19"/>
      <c r="AF447" s="19"/>
    </row>
    <row r="448" spans="1:32" ht="13.15" x14ac:dyDescent="0.4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  <c r="AC448" s="19"/>
      <c r="AD448" s="19"/>
      <c r="AE448" s="19"/>
      <c r="AF448" s="19"/>
    </row>
    <row r="449" spans="1:32" ht="13.15" x14ac:dyDescent="0.4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  <c r="AC449" s="19"/>
      <c r="AD449" s="19"/>
      <c r="AE449" s="19"/>
      <c r="AF449" s="19"/>
    </row>
    <row r="450" spans="1:32" ht="13.15" x14ac:dyDescent="0.4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/>
      <c r="AC450" s="19"/>
      <c r="AD450" s="19"/>
      <c r="AE450" s="19"/>
      <c r="AF450" s="19"/>
    </row>
    <row r="451" spans="1:32" ht="13.15" x14ac:dyDescent="0.4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  <c r="AB451" s="19"/>
      <c r="AC451" s="19"/>
      <c r="AD451" s="19"/>
      <c r="AE451" s="19"/>
      <c r="AF451" s="19"/>
    </row>
    <row r="452" spans="1:32" ht="13.15" x14ac:dyDescent="0.4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  <c r="AB452" s="19"/>
      <c r="AC452" s="19"/>
      <c r="AD452" s="19"/>
      <c r="AE452" s="19"/>
      <c r="AF452" s="19"/>
    </row>
    <row r="453" spans="1:32" ht="13.15" x14ac:dyDescent="0.4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  <c r="AB453" s="19"/>
      <c r="AC453" s="19"/>
      <c r="AD453" s="19"/>
      <c r="AE453" s="19"/>
      <c r="AF453" s="19"/>
    </row>
    <row r="454" spans="1:32" ht="13.15" x14ac:dyDescent="0.4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  <c r="AB454" s="19"/>
      <c r="AC454" s="19"/>
      <c r="AD454" s="19"/>
      <c r="AE454" s="19"/>
      <c r="AF454" s="19"/>
    </row>
    <row r="455" spans="1:32" ht="13.15" x14ac:dyDescent="0.4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  <c r="AB455" s="19"/>
      <c r="AC455" s="19"/>
      <c r="AD455" s="19"/>
      <c r="AE455" s="19"/>
      <c r="AF455" s="19"/>
    </row>
    <row r="456" spans="1:32" ht="13.15" x14ac:dyDescent="0.4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  <c r="AC456" s="19"/>
      <c r="AD456" s="19"/>
      <c r="AE456" s="19"/>
      <c r="AF456" s="19"/>
    </row>
    <row r="457" spans="1:32" ht="13.15" x14ac:dyDescent="0.4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  <c r="AA457" s="19"/>
      <c r="AB457" s="19"/>
      <c r="AC457" s="19"/>
      <c r="AD457" s="19"/>
      <c r="AE457" s="19"/>
      <c r="AF457" s="19"/>
    </row>
    <row r="458" spans="1:32" ht="13.15" x14ac:dyDescent="0.4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  <c r="AA458" s="19"/>
      <c r="AB458" s="19"/>
      <c r="AC458" s="19"/>
      <c r="AD458" s="19"/>
      <c r="AE458" s="19"/>
      <c r="AF458" s="19"/>
    </row>
    <row r="459" spans="1:32" ht="13.15" x14ac:dyDescent="0.4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  <c r="AB459" s="19"/>
      <c r="AC459" s="19"/>
      <c r="AD459" s="19"/>
      <c r="AE459" s="19"/>
      <c r="AF459" s="19"/>
    </row>
    <row r="460" spans="1:32" ht="13.15" x14ac:dyDescent="0.4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  <c r="AB460" s="19"/>
      <c r="AC460" s="19"/>
      <c r="AD460" s="19"/>
      <c r="AE460" s="19"/>
      <c r="AF460" s="19"/>
    </row>
    <row r="461" spans="1:32" ht="13.15" x14ac:dyDescent="0.4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  <c r="AB461" s="19"/>
      <c r="AC461" s="19"/>
      <c r="AD461" s="19"/>
      <c r="AE461" s="19"/>
      <c r="AF461" s="19"/>
    </row>
    <row r="462" spans="1:32" ht="13.15" x14ac:dyDescent="0.4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  <c r="AC462" s="19"/>
      <c r="AD462" s="19"/>
      <c r="AE462" s="19"/>
      <c r="AF462" s="19"/>
    </row>
    <row r="463" spans="1:32" ht="13.15" x14ac:dyDescent="0.4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  <c r="AB463" s="19"/>
      <c r="AC463" s="19"/>
      <c r="AD463" s="19"/>
      <c r="AE463" s="19"/>
      <c r="AF463" s="19"/>
    </row>
    <row r="464" spans="1:32" ht="13.15" x14ac:dyDescent="0.4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  <c r="AC464" s="19"/>
      <c r="AD464" s="19"/>
      <c r="AE464" s="19"/>
      <c r="AF464" s="19"/>
    </row>
    <row r="465" spans="1:32" ht="13.15" x14ac:dyDescent="0.4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/>
      <c r="AC465" s="19"/>
      <c r="AD465" s="19"/>
      <c r="AE465" s="19"/>
      <c r="AF465" s="19"/>
    </row>
    <row r="466" spans="1:32" ht="13.15" x14ac:dyDescent="0.4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  <c r="AB466" s="19"/>
      <c r="AC466" s="19"/>
      <c r="AD466" s="19"/>
      <c r="AE466" s="19"/>
      <c r="AF466" s="19"/>
    </row>
    <row r="467" spans="1:32" ht="13.15" x14ac:dyDescent="0.4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  <c r="AC467" s="19"/>
      <c r="AD467" s="19"/>
      <c r="AE467" s="19"/>
      <c r="AF467" s="19"/>
    </row>
    <row r="468" spans="1:32" ht="13.15" x14ac:dyDescent="0.4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  <c r="AB468" s="19"/>
      <c r="AC468" s="19"/>
      <c r="AD468" s="19"/>
      <c r="AE468" s="19"/>
      <c r="AF468" s="19"/>
    </row>
    <row r="469" spans="1:32" ht="13.15" x14ac:dyDescent="0.4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  <c r="AB469" s="19"/>
      <c r="AC469" s="19"/>
      <c r="AD469" s="19"/>
      <c r="AE469" s="19"/>
      <c r="AF469" s="19"/>
    </row>
    <row r="470" spans="1:32" ht="13.15" x14ac:dyDescent="0.4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  <c r="AB470" s="19"/>
      <c r="AC470" s="19"/>
      <c r="AD470" s="19"/>
      <c r="AE470" s="19"/>
      <c r="AF470" s="19"/>
    </row>
    <row r="471" spans="1:32" ht="13.15" x14ac:dyDescent="0.4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  <c r="AC471" s="19"/>
      <c r="AD471" s="19"/>
      <c r="AE471" s="19"/>
      <c r="AF471" s="19"/>
    </row>
    <row r="472" spans="1:32" ht="13.15" x14ac:dyDescent="0.4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  <c r="AB472" s="19"/>
      <c r="AC472" s="19"/>
      <c r="AD472" s="19"/>
      <c r="AE472" s="19"/>
      <c r="AF472" s="19"/>
    </row>
    <row r="473" spans="1:32" ht="13.15" x14ac:dyDescent="0.4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  <c r="AC473" s="19"/>
      <c r="AD473" s="19"/>
      <c r="AE473" s="19"/>
      <c r="AF473" s="19"/>
    </row>
    <row r="474" spans="1:32" ht="13.15" x14ac:dyDescent="0.4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/>
      <c r="AC474" s="19"/>
      <c r="AD474" s="19"/>
      <c r="AE474" s="19"/>
      <c r="AF474" s="19"/>
    </row>
    <row r="475" spans="1:32" ht="13.15" x14ac:dyDescent="0.4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  <c r="AC475" s="19"/>
      <c r="AD475" s="19"/>
      <c r="AE475" s="19"/>
      <c r="AF475" s="19"/>
    </row>
    <row r="476" spans="1:32" ht="13.15" x14ac:dyDescent="0.4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/>
      <c r="AC476" s="19"/>
      <c r="AD476" s="19"/>
      <c r="AE476" s="19"/>
      <c r="AF476" s="19"/>
    </row>
    <row r="477" spans="1:32" ht="13.15" x14ac:dyDescent="0.4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  <c r="AC477" s="19"/>
      <c r="AD477" s="19"/>
      <c r="AE477" s="19"/>
      <c r="AF477" s="19"/>
    </row>
    <row r="478" spans="1:32" ht="13.15" x14ac:dyDescent="0.4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  <c r="AC478" s="19"/>
      <c r="AD478" s="19"/>
      <c r="AE478" s="19"/>
      <c r="AF478" s="19"/>
    </row>
    <row r="479" spans="1:32" ht="13.15" x14ac:dyDescent="0.4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  <c r="AC479" s="19"/>
      <c r="AD479" s="19"/>
      <c r="AE479" s="19"/>
      <c r="AF479" s="19"/>
    </row>
    <row r="480" spans="1:32" ht="13.15" x14ac:dyDescent="0.4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  <c r="AC480" s="19"/>
      <c r="AD480" s="19"/>
      <c r="AE480" s="19"/>
      <c r="AF480" s="19"/>
    </row>
    <row r="481" spans="1:32" ht="13.15" x14ac:dyDescent="0.4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  <c r="AB481" s="19"/>
      <c r="AC481" s="19"/>
      <c r="AD481" s="19"/>
      <c r="AE481" s="19"/>
      <c r="AF481" s="19"/>
    </row>
    <row r="482" spans="1:32" ht="13.15" x14ac:dyDescent="0.4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  <c r="AC482" s="19"/>
      <c r="AD482" s="19"/>
      <c r="AE482" s="19"/>
      <c r="AF482" s="19"/>
    </row>
    <row r="483" spans="1:32" ht="13.15" x14ac:dyDescent="0.4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19"/>
      <c r="AC483" s="19"/>
      <c r="AD483" s="19"/>
      <c r="AE483" s="19"/>
      <c r="AF483" s="19"/>
    </row>
    <row r="484" spans="1:32" ht="13.15" x14ac:dyDescent="0.4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  <c r="AB484" s="19"/>
      <c r="AC484" s="19"/>
      <c r="AD484" s="19"/>
      <c r="AE484" s="19"/>
      <c r="AF484" s="19"/>
    </row>
    <row r="485" spans="1:32" ht="13.15" x14ac:dyDescent="0.4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  <c r="AA485" s="19"/>
      <c r="AB485" s="19"/>
      <c r="AC485" s="19"/>
      <c r="AD485" s="19"/>
      <c r="AE485" s="19"/>
      <c r="AF485" s="19"/>
    </row>
    <row r="486" spans="1:32" ht="13.15" x14ac:dyDescent="0.4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  <c r="AB486" s="19"/>
      <c r="AC486" s="19"/>
      <c r="AD486" s="19"/>
      <c r="AE486" s="19"/>
      <c r="AF486" s="19"/>
    </row>
    <row r="487" spans="1:32" ht="13.15" x14ac:dyDescent="0.4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  <c r="AA487" s="19"/>
      <c r="AB487" s="19"/>
      <c r="AC487" s="19"/>
      <c r="AD487" s="19"/>
      <c r="AE487" s="19"/>
      <c r="AF487" s="19"/>
    </row>
    <row r="488" spans="1:32" ht="13.15" x14ac:dyDescent="0.4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  <c r="AC488" s="19"/>
      <c r="AD488" s="19"/>
      <c r="AE488" s="19"/>
      <c r="AF488" s="19"/>
    </row>
    <row r="489" spans="1:32" ht="13.15" x14ac:dyDescent="0.4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  <c r="AB489" s="19"/>
      <c r="AC489" s="19"/>
      <c r="AD489" s="19"/>
      <c r="AE489" s="19"/>
      <c r="AF489" s="19"/>
    </row>
    <row r="490" spans="1:32" ht="13.15" x14ac:dyDescent="0.4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  <c r="AC490" s="19"/>
      <c r="AD490" s="19"/>
      <c r="AE490" s="19"/>
      <c r="AF490" s="19"/>
    </row>
    <row r="491" spans="1:32" ht="13.15" x14ac:dyDescent="0.4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  <c r="AB491" s="19"/>
      <c r="AC491" s="19"/>
      <c r="AD491" s="19"/>
      <c r="AE491" s="19"/>
      <c r="AF491" s="19"/>
    </row>
    <row r="492" spans="1:32" ht="13.15" x14ac:dyDescent="0.4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  <c r="AB492" s="19"/>
      <c r="AC492" s="19"/>
      <c r="AD492" s="19"/>
      <c r="AE492" s="19"/>
      <c r="AF492" s="19"/>
    </row>
    <row r="493" spans="1:32" ht="13.15" x14ac:dyDescent="0.4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  <c r="AB493" s="19"/>
      <c r="AC493" s="19"/>
      <c r="AD493" s="19"/>
      <c r="AE493" s="19"/>
      <c r="AF493" s="19"/>
    </row>
    <row r="494" spans="1:32" ht="13.15" x14ac:dyDescent="0.4">
      <c r="A494" s="19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  <c r="AA494" s="19"/>
      <c r="AB494" s="19"/>
      <c r="AC494" s="19"/>
      <c r="AD494" s="19"/>
      <c r="AE494" s="19"/>
      <c r="AF494" s="19"/>
    </row>
    <row r="495" spans="1:32" ht="13.15" x14ac:dyDescent="0.4">
      <c r="A495" s="19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  <c r="AA495" s="19"/>
      <c r="AB495" s="19"/>
      <c r="AC495" s="19"/>
      <c r="AD495" s="19"/>
      <c r="AE495" s="19"/>
      <c r="AF495" s="19"/>
    </row>
    <row r="496" spans="1:32" ht="13.15" x14ac:dyDescent="0.4">
      <c r="A496" s="19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  <c r="AA496" s="19"/>
      <c r="AB496" s="19"/>
      <c r="AC496" s="19"/>
      <c r="AD496" s="19"/>
      <c r="AE496" s="19"/>
      <c r="AF496" s="19"/>
    </row>
    <row r="497" spans="1:32" ht="13.15" x14ac:dyDescent="0.4">
      <c r="A497" s="19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  <c r="AA497" s="19"/>
      <c r="AB497" s="19"/>
      <c r="AC497" s="19"/>
      <c r="AD497" s="19"/>
      <c r="AE497" s="19"/>
      <c r="AF497" s="19"/>
    </row>
    <row r="498" spans="1:32" ht="13.15" x14ac:dyDescent="0.4">
      <c r="A498" s="19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  <c r="AA498" s="19"/>
      <c r="AB498" s="19"/>
      <c r="AC498" s="19"/>
      <c r="AD498" s="19"/>
      <c r="AE498" s="19"/>
      <c r="AF498" s="19"/>
    </row>
    <row r="499" spans="1:32" ht="13.15" x14ac:dyDescent="0.4">
      <c r="A499" s="19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  <c r="AB499" s="19"/>
      <c r="AC499" s="19"/>
      <c r="AD499" s="19"/>
      <c r="AE499" s="19"/>
      <c r="AF499" s="19"/>
    </row>
    <row r="500" spans="1:32" ht="13.15" x14ac:dyDescent="0.4">
      <c r="A500" s="19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  <c r="AA500" s="19"/>
      <c r="AB500" s="19"/>
      <c r="AC500" s="19"/>
      <c r="AD500" s="19"/>
      <c r="AE500" s="19"/>
      <c r="AF500" s="19"/>
    </row>
    <row r="501" spans="1:32" ht="13.15" x14ac:dyDescent="0.4">
      <c r="A501" s="19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  <c r="AA501" s="19"/>
      <c r="AB501" s="19"/>
      <c r="AC501" s="19"/>
      <c r="AD501" s="19"/>
      <c r="AE501" s="19"/>
      <c r="AF501" s="19"/>
    </row>
    <row r="502" spans="1:32" ht="13.15" x14ac:dyDescent="0.4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  <c r="AA502" s="19"/>
      <c r="AB502" s="19"/>
      <c r="AC502" s="19"/>
      <c r="AD502" s="19"/>
      <c r="AE502" s="19"/>
      <c r="AF502" s="19"/>
    </row>
    <row r="503" spans="1:32" ht="13.15" x14ac:dyDescent="0.4">
      <c r="A503" s="19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  <c r="AB503" s="19"/>
      <c r="AC503" s="19"/>
      <c r="AD503" s="19"/>
      <c r="AE503" s="19"/>
      <c r="AF503" s="19"/>
    </row>
    <row r="504" spans="1:32" ht="13.15" x14ac:dyDescent="0.4">
      <c r="A504" s="19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  <c r="AB504" s="19"/>
      <c r="AC504" s="19"/>
      <c r="AD504" s="19"/>
      <c r="AE504" s="19"/>
      <c r="AF504" s="19"/>
    </row>
    <row r="505" spans="1:32" ht="13.15" x14ac:dyDescent="0.4">
      <c r="A505" s="19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  <c r="AB505" s="19"/>
      <c r="AC505" s="19"/>
      <c r="AD505" s="19"/>
      <c r="AE505" s="19"/>
      <c r="AF505" s="19"/>
    </row>
    <row r="506" spans="1:32" ht="13.15" x14ac:dyDescent="0.4">
      <c r="A506" s="19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  <c r="AB506" s="19"/>
      <c r="AC506" s="19"/>
      <c r="AD506" s="19"/>
      <c r="AE506" s="19"/>
      <c r="AF506" s="19"/>
    </row>
    <row r="507" spans="1:32" ht="13.15" x14ac:dyDescent="0.4">
      <c r="A507" s="19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  <c r="AB507" s="19"/>
      <c r="AC507" s="19"/>
      <c r="AD507" s="19"/>
      <c r="AE507" s="19"/>
      <c r="AF507" s="19"/>
    </row>
    <row r="508" spans="1:32" ht="13.15" x14ac:dyDescent="0.4">
      <c r="A508" s="19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  <c r="AC508" s="19"/>
      <c r="AD508" s="19"/>
      <c r="AE508" s="19"/>
      <c r="AF508" s="19"/>
    </row>
    <row r="509" spans="1:32" ht="13.15" x14ac:dyDescent="0.4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AB509" s="19"/>
      <c r="AC509" s="19"/>
      <c r="AD509" s="19"/>
      <c r="AE509" s="19"/>
      <c r="AF509" s="19"/>
    </row>
    <row r="510" spans="1:32" ht="13.15" x14ac:dyDescent="0.4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  <c r="AC510" s="19"/>
      <c r="AD510" s="19"/>
      <c r="AE510" s="19"/>
      <c r="AF510" s="19"/>
    </row>
    <row r="511" spans="1:32" ht="13.15" x14ac:dyDescent="0.4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  <c r="AC511" s="19"/>
      <c r="AD511" s="19"/>
      <c r="AE511" s="19"/>
      <c r="AF511" s="19"/>
    </row>
    <row r="512" spans="1:32" ht="13.15" x14ac:dyDescent="0.4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  <c r="AC512" s="19"/>
      <c r="AD512" s="19"/>
      <c r="AE512" s="19"/>
      <c r="AF512" s="19"/>
    </row>
    <row r="513" spans="1:32" ht="13.15" x14ac:dyDescent="0.4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AB513" s="19"/>
      <c r="AC513" s="19"/>
      <c r="AD513" s="19"/>
      <c r="AE513" s="19"/>
      <c r="AF513" s="19"/>
    </row>
    <row r="514" spans="1:32" ht="13.15" x14ac:dyDescent="0.4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  <c r="AB514" s="19"/>
      <c r="AC514" s="19"/>
      <c r="AD514" s="19"/>
      <c r="AE514" s="19"/>
      <c r="AF514" s="19"/>
    </row>
    <row r="515" spans="1:32" ht="13.15" x14ac:dyDescent="0.4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/>
      <c r="AC515" s="19"/>
      <c r="AD515" s="19"/>
      <c r="AE515" s="19"/>
      <c r="AF515" s="19"/>
    </row>
    <row r="516" spans="1:32" ht="13.15" x14ac:dyDescent="0.4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  <c r="AC516" s="19"/>
      <c r="AD516" s="19"/>
      <c r="AE516" s="19"/>
      <c r="AF516" s="19"/>
    </row>
    <row r="517" spans="1:32" ht="13.15" x14ac:dyDescent="0.4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  <c r="AB517" s="19"/>
      <c r="AC517" s="19"/>
      <c r="AD517" s="19"/>
      <c r="AE517" s="19"/>
      <c r="AF517" s="19"/>
    </row>
    <row r="518" spans="1:32" ht="13.15" x14ac:dyDescent="0.4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  <c r="AB518" s="19"/>
      <c r="AC518" s="19"/>
      <c r="AD518" s="19"/>
      <c r="AE518" s="19"/>
      <c r="AF518" s="19"/>
    </row>
    <row r="519" spans="1:32" ht="13.15" x14ac:dyDescent="0.4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  <c r="AA519" s="19"/>
      <c r="AB519" s="19"/>
      <c r="AC519" s="19"/>
      <c r="AD519" s="19"/>
      <c r="AE519" s="19"/>
      <c r="AF519" s="19"/>
    </row>
    <row r="520" spans="1:32" ht="13.15" x14ac:dyDescent="0.4">
      <c r="A520" s="19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  <c r="AB520" s="19"/>
      <c r="AC520" s="19"/>
      <c r="AD520" s="19"/>
      <c r="AE520" s="19"/>
      <c r="AF520" s="19"/>
    </row>
    <row r="521" spans="1:32" ht="13.15" x14ac:dyDescent="0.4">
      <c r="A521" s="19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  <c r="AB521" s="19"/>
      <c r="AC521" s="19"/>
      <c r="AD521" s="19"/>
      <c r="AE521" s="19"/>
      <c r="AF521" s="19"/>
    </row>
    <row r="522" spans="1:32" ht="13.15" x14ac:dyDescent="0.4">
      <c r="A522" s="19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  <c r="AA522" s="19"/>
      <c r="AB522" s="19"/>
      <c r="AC522" s="19"/>
      <c r="AD522" s="19"/>
      <c r="AE522" s="19"/>
      <c r="AF522" s="19"/>
    </row>
    <row r="523" spans="1:32" ht="13.15" x14ac:dyDescent="0.4">
      <c r="A523" s="19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  <c r="AB523" s="19"/>
      <c r="AC523" s="19"/>
      <c r="AD523" s="19"/>
      <c r="AE523" s="19"/>
      <c r="AF523" s="19"/>
    </row>
    <row r="524" spans="1:32" ht="13.15" x14ac:dyDescent="0.4">
      <c r="A524" s="19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  <c r="AA524" s="19"/>
      <c r="AB524" s="19"/>
      <c r="AC524" s="19"/>
      <c r="AD524" s="19"/>
      <c r="AE524" s="19"/>
      <c r="AF524" s="19"/>
    </row>
    <row r="525" spans="1:32" ht="13.15" x14ac:dyDescent="0.4">
      <c r="A525" s="19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  <c r="AC525" s="19"/>
      <c r="AD525" s="19"/>
      <c r="AE525" s="19"/>
      <c r="AF525" s="19"/>
    </row>
    <row r="526" spans="1:32" ht="13.15" x14ac:dyDescent="0.4">
      <c r="A526" s="19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  <c r="AC526" s="19"/>
      <c r="AD526" s="19"/>
      <c r="AE526" s="19"/>
      <c r="AF526" s="19"/>
    </row>
    <row r="527" spans="1:32" ht="13.15" x14ac:dyDescent="0.4">
      <c r="A527" s="19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  <c r="AC527" s="19"/>
      <c r="AD527" s="19"/>
      <c r="AE527" s="19"/>
      <c r="AF527" s="19"/>
    </row>
    <row r="528" spans="1:32" ht="13.15" x14ac:dyDescent="0.4">
      <c r="A528" s="19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  <c r="AC528" s="19"/>
      <c r="AD528" s="19"/>
      <c r="AE528" s="19"/>
      <c r="AF528" s="19"/>
    </row>
    <row r="529" spans="1:32" ht="13.15" x14ac:dyDescent="0.4">
      <c r="A529" s="19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  <c r="AB529" s="19"/>
      <c r="AC529" s="19"/>
      <c r="AD529" s="19"/>
      <c r="AE529" s="19"/>
      <c r="AF529" s="19"/>
    </row>
    <row r="530" spans="1:32" ht="13.15" x14ac:dyDescent="0.4">
      <c r="A530" s="19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  <c r="AC530" s="19"/>
      <c r="AD530" s="19"/>
      <c r="AE530" s="19"/>
      <c r="AF530" s="19"/>
    </row>
    <row r="531" spans="1:32" ht="13.15" x14ac:dyDescent="0.4">
      <c r="A531" s="19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  <c r="AC531" s="19"/>
      <c r="AD531" s="19"/>
      <c r="AE531" s="19"/>
      <c r="AF531" s="19"/>
    </row>
    <row r="532" spans="1:32" ht="13.15" x14ac:dyDescent="0.4">
      <c r="A532" s="19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  <c r="AC532" s="19"/>
      <c r="AD532" s="19"/>
      <c r="AE532" s="19"/>
      <c r="AF532" s="19"/>
    </row>
    <row r="533" spans="1:32" ht="13.15" x14ac:dyDescent="0.4">
      <c r="A533" s="19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  <c r="AC533" s="19"/>
      <c r="AD533" s="19"/>
      <c r="AE533" s="19"/>
      <c r="AF533" s="19"/>
    </row>
    <row r="534" spans="1:32" ht="13.15" x14ac:dyDescent="0.4">
      <c r="A534" s="19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  <c r="AC534" s="19"/>
      <c r="AD534" s="19"/>
      <c r="AE534" s="19"/>
      <c r="AF534" s="19"/>
    </row>
    <row r="535" spans="1:32" ht="13.15" x14ac:dyDescent="0.4">
      <c r="A535" s="19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  <c r="AB535" s="19"/>
      <c r="AC535" s="19"/>
      <c r="AD535" s="19"/>
      <c r="AE535" s="19"/>
      <c r="AF535" s="19"/>
    </row>
    <row r="536" spans="1:32" ht="13.15" x14ac:dyDescent="0.4">
      <c r="A536" s="19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  <c r="AC536" s="19"/>
      <c r="AD536" s="19"/>
      <c r="AE536" s="19"/>
      <c r="AF536" s="19"/>
    </row>
    <row r="537" spans="1:32" ht="13.15" x14ac:dyDescent="0.4">
      <c r="A537" s="19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  <c r="AC537" s="19"/>
      <c r="AD537" s="19"/>
      <c r="AE537" s="19"/>
      <c r="AF537" s="19"/>
    </row>
    <row r="538" spans="1:32" ht="13.15" x14ac:dyDescent="0.4">
      <c r="A538" s="19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  <c r="AC538" s="19"/>
      <c r="AD538" s="19"/>
      <c r="AE538" s="19"/>
      <c r="AF538" s="19"/>
    </row>
    <row r="539" spans="1:32" ht="13.15" x14ac:dyDescent="0.4">
      <c r="A539" s="19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  <c r="AC539" s="19"/>
      <c r="AD539" s="19"/>
      <c r="AE539" s="19"/>
      <c r="AF539" s="19"/>
    </row>
    <row r="540" spans="1:32" ht="13.15" x14ac:dyDescent="0.4">
      <c r="A540" s="19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  <c r="AA540" s="19"/>
      <c r="AB540" s="19"/>
      <c r="AC540" s="19"/>
      <c r="AD540" s="19"/>
      <c r="AE540" s="19"/>
      <c r="AF540" s="19"/>
    </row>
    <row r="541" spans="1:32" ht="13.15" x14ac:dyDescent="0.4">
      <c r="A541" s="19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  <c r="AC541" s="19"/>
      <c r="AD541" s="19"/>
      <c r="AE541" s="19"/>
      <c r="AF541" s="19"/>
    </row>
    <row r="542" spans="1:32" ht="13.15" x14ac:dyDescent="0.4">
      <c r="A542" s="19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  <c r="AF542" s="19"/>
    </row>
    <row r="543" spans="1:32" ht="13.15" x14ac:dyDescent="0.4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  <c r="AB543" s="19"/>
      <c r="AC543" s="19"/>
      <c r="AD543" s="19"/>
      <c r="AE543" s="19"/>
      <c r="AF543" s="19"/>
    </row>
    <row r="544" spans="1:32" ht="13.15" x14ac:dyDescent="0.4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  <c r="AA544" s="19"/>
      <c r="AB544" s="19"/>
      <c r="AC544" s="19"/>
      <c r="AD544" s="19"/>
      <c r="AE544" s="19"/>
      <c r="AF544" s="19"/>
    </row>
    <row r="545" spans="1:32" ht="13.15" x14ac:dyDescent="0.4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  <c r="AA545" s="19"/>
      <c r="AB545" s="19"/>
      <c r="AC545" s="19"/>
      <c r="AD545" s="19"/>
      <c r="AE545" s="19"/>
      <c r="AF545" s="19"/>
    </row>
    <row r="546" spans="1:32" ht="13.15" x14ac:dyDescent="0.4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  <c r="AA546" s="19"/>
      <c r="AB546" s="19"/>
      <c r="AC546" s="19"/>
      <c r="AD546" s="19"/>
      <c r="AE546" s="19"/>
      <c r="AF546" s="19"/>
    </row>
    <row r="547" spans="1:32" ht="13.15" x14ac:dyDescent="0.4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  <c r="AC547" s="19"/>
      <c r="AD547" s="19"/>
      <c r="AE547" s="19"/>
      <c r="AF547" s="19"/>
    </row>
    <row r="548" spans="1:32" ht="13.15" x14ac:dyDescent="0.4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  <c r="AA548" s="19"/>
      <c r="AB548" s="19"/>
      <c r="AC548" s="19"/>
      <c r="AD548" s="19"/>
      <c r="AE548" s="19"/>
      <c r="AF548" s="19"/>
    </row>
    <row r="549" spans="1:32" ht="13.15" x14ac:dyDescent="0.4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  <c r="AA549" s="19"/>
      <c r="AB549" s="19"/>
      <c r="AC549" s="19"/>
      <c r="AD549" s="19"/>
      <c r="AE549" s="19"/>
      <c r="AF549" s="19"/>
    </row>
    <row r="550" spans="1:32" ht="13.15" x14ac:dyDescent="0.4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  <c r="AA550" s="19"/>
      <c r="AB550" s="19"/>
      <c r="AC550" s="19"/>
      <c r="AD550" s="19"/>
      <c r="AE550" s="19"/>
      <c r="AF550" s="19"/>
    </row>
    <row r="551" spans="1:32" ht="13.15" x14ac:dyDescent="0.4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  <c r="AA551" s="19"/>
      <c r="AB551" s="19"/>
      <c r="AC551" s="19"/>
      <c r="AD551" s="19"/>
      <c r="AE551" s="19"/>
      <c r="AF551" s="19"/>
    </row>
    <row r="552" spans="1:32" ht="13.15" x14ac:dyDescent="0.4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  <c r="AA552" s="19"/>
      <c r="AB552" s="19"/>
      <c r="AC552" s="19"/>
      <c r="AD552" s="19"/>
      <c r="AE552" s="19"/>
      <c r="AF552" s="19"/>
    </row>
    <row r="553" spans="1:32" ht="13.15" x14ac:dyDescent="0.4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  <c r="AA553" s="19"/>
      <c r="AB553" s="19"/>
      <c r="AC553" s="19"/>
      <c r="AD553" s="19"/>
      <c r="AE553" s="19"/>
      <c r="AF553" s="19"/>
    </row>
    <row r="554" spans="1:32" ht="13.15" x14ac:dyDescent="0.4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  <c r="AA554" s="19"/>
      <c r="AB554" s="19"/>
      <c r="AC554" s="19"/>
      <c r="AD554" s="19"/>
      <c r="AE554" s="19"/>
      <c r="AF554" s="19"/>
    </row>
    <row r="555" spans="1:32" ht="13.15" x14ac:dyDescent="0.4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  <c r="AA555" s="19"/>
      <c r="AB555" s="19"/>
      <c r="AC555" s="19"/>
      <c r="AD555" s="19"/>
      <c r="AE555" s="19"/>
      <c r="AF555" s="19"/>
    </row>
    <row r="556" spans="1:32" ht="13.15" x14ac:dyDescent="0.4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  <c r="AB556" s="19"/>
      <c r="AC556" s="19"/>
      <c r="AD556" s="19"/>
      <c r="AE556" s="19"/>
      <c r="AF556" s="19"/>
    </row>
    <row r="557" spans="1:32" ht="13.15" x14ac:dyDescent="0.4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  <c r="AA557" s="19"/>
      <c r="AB557" s="19"/>
      <c r="AC557" s="19"/>
      <c r="AD557" s="19"/>
      <c r="AE557" s="19"/>
      <c r="AF557" s="19"/>
    </row>
    <row r="558" spans="1:32" ht="13.15" x14ac:dyDescent="0.4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  <c r="AA558" s="19"/>
      <c r="AB558" s="19"/>
      <c r="AC558" s="19"/>
      <c r="AD558" s="19"/>
      <c r="AE558" s="19"/>
      <c r="AF558" s="19"/>
    </row>
    <row r="559" spans="1:32" ht="13.15" x14ac:dyDescent="0.4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  <c r="AA559" s="19"/>
      <c r="AB559" s="19"/>
      <c r="AC559" s="19"/>
      <c r="AD559" s="19"/>
      <c r="AE559" s="19"/>
      <c r="AF559" s="19"/>
    </row>
    <row r="560" spans="1:32" ht="13.15" x14ac:dyDescent="0.4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  <c r="AA560" s="19"/>
      <c r="AB560" s="19"/>
      <c r="AC560" s="19"/>
      <c r="AD560" s="19"/>
      <c r="AE560" s="19"/>
      <c r="AF560" s="19"/>
    </row>
    <row r="561" spans="1:32" ht="13.15" x14ac:dyDescent="0.4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  <c r="AA561" s="19"/>
      <c r="AB561" s="19"/>
      <c r="AC561" s="19"/>
      <c r="AD561" s="19"/>
      <c r="AE561" s="19"/>
      <c r="AF561" s="19"/>
    </row>
    <row r="562" spans="1:32" ht="13.15" x14ac:dyDescent="0.4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  <c r="AA562" s="19"/>
      <c r="AB562" s="19"/>
      <c r="AC562" s="19"/>
      <c r="AD562" s="19"/>
      <c r="AE562" s="19"/>
      <c r="AF562" s="19"/>
    </row>
    <row r="563" spans="1:32" ht="13.15" x14ac:dyDescent="0.4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  <c r="AB563" s="19"/>
      <c r="AC563" s="19"/>
      <c r="AD563" s="19"/>
      <c r="AE563" s="19"/>
      <c r="AF563" s="19"/>
    </row>
    <row r="564" spans="1:32" ht="13.15" x14ac:dyDescent="0.4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  <c r="AA564" s="19"/>
      <c r="AB564" s="19"/>
      <c r="AC564" s="19"/>
      <c r="AD564" s="19"/>
      <c r="AE564" s="19"/>
      <c r="AF564" s="19"/>
    </row>
    <row r="565" spans="1:32" ht="13.15" x14ac:dyDescent="0.4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  <c r="AA565" s="19"/>
      <c r="AB565" s="19"/>
      <c r="AC565" s="19"/>
      <c r="AD565" s="19"/>
      <c r="AE565" s="19"/>
      <c r="AF565" s="19"/>
    </row>
    <row r="566" spans="1:32" ht="13.15" x14ac:dyDescent="0.4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  <c r="AA566" s="19"/>
      <c r="AB566" s="19"/>
      <c r="AC566" s="19"/>
      <c r="AD566" s="19"/>
      <c r="AE566" s="19"/>
      <c r="AF566" s="19"/>
    </row>
    <row r="567" spans="1:32" ht="13.15" x14ac:dyDescent="0.4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  <c r="AA567" s="19"/>
      <c r="AB567" s="19"/>
      <c r="AC567" s="19"/>
      <c r="AD567" s="19"/>
      <c r="AE567" s="19"/>
      <c r="AF567" s="19"/>
    </row>
    <row r="568" spans="1:32" ht="13.15" x14ac:dyDescent="0.4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  <c r="AA568" s="19"/>
      <c r="AB568" s="19"/>
      <c r="AC568" s="19"/>
      <c r="AD568" s="19"/>
      <c r="AE568" s="19"/>
      <c r="AF568" s="19"/>
    </row>
    <row r="569" spans="1:32" ht="13.15" x14ac:dyDescent="0.4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  <c r="AC569" s="19"/>
      <c r="AD569" s="19"/>
      <c r="AE569" s="19"/>
      <c r="AF569" s="19"/>
    </row>
    <row r="570" spans="1:32" ht="13.15" x14ac:dyDescent="0.4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  <c r="AA570" s="19"/>
      <c r="AB570" s="19"/>
      <c r="AC570" s="19"/>
      <c r="AD570" s="19"/>
      <c r="AE570" s="19"/>
      <c r="AF570" s="19"/>
    </row>
    <row r="571" spans="1:32" ht="13.15" x14ac:dyDescent="0.4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  <c r="AA571" s="19"/>
      <c r="AB571" s="19"/>
      <c r="AC571" s="19"/>
      <c r="AD571" s="19"/>
      <c r="AE571" s="19"/>
      <c r="AF571" s="19"/>
    </row>
    <row r="572" spans="1:32" ht="13.15" x14ac:dyDescent="0.4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  <c r="AA572" s="19"/>
      <c r="AB572" s="19"/>
      <c r="AC572" s="19"/>
      <c r="AD572" s="19"/>
      <c r="AE572" s="19"/>
      <c r="AF572" s="19"/>
    </row>
    <row r="573" spans="1:32" ht="13.15" x14ac:dyDescent="0.4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  <c r="AA573" s="19"/>
      <c r="AB573" s="19"/>
      <c r="AC573" s="19"/>
      <c r="AD573" s="19"/>
      <c r="AE573" s="19"/>
      <c r="AF573" s="19"/>
    </row>
    <row r="574" spans="1:32" ht="13.15" x14ac:dyDescent="0.4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  <c r="AC574" s="19"/>
      <c r="AD574" s="19"/>
      <c r="AE574" s="19"/>
      <c r="AF574" s="19"/>
    </row>
    <row r="575" spans="1:32" ht="13.15" x14ac:dyDescent="0.4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  <c r="AA575" s="19"/>
      <c r="AB575" s="19"/>
      <c r="AC575" s="19"/>
      <c r="AD575" s="19"/>
      <c r="AE575" s="19"/>
      <c r="AF575" s="19"/>
    </row>
    <row r="576" spans="1:32" ht="13.15" x14ac:dyDescent="0.4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  <c r="AA576" s="19"/>
      <c r="AB576" s="19"/>
      <c r="AC576" s="19"/>
      <c r="AD576" s="19"/>
      <c r="AE576" s="19"/>
      <c r="AF576" s="19"/>
    </row>
    <row r="577" spans="1:32" ht="13.15" x14ac:dyDescent="0.4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  <c r="AA577" s="19"/>
      <c r="AB577" s="19"/>
      <c r="AC577" s="19"/>
      <c r="AD577" s="19"/>
      <c r="AE577" s="19"/>
      <c r="AF577" s="19"/>
    </row>
    <row r="578" spans="1:32" ht="13.15" x14ac:dyDescent="0.4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  <c r="AA578" s="19"/>
      <c r="AB578" s="19"/>
      <c r="AC578" s="19"/>
      <c r="AD578" s="19"/>
      <c r="AE578" s="19"/>
      <c r="AF578" s="19"/>
    </row>
    <row r="579" spans="1:32" ht="13.15" x14ac:dyDescent="0.4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  <c r="AA579" s="19"/>
      <c r="AB579" s="19"/>
      <c r="AC579" s="19"/>
      <c r="AD579" s="19"/>
      <c r="AE579" s="19"/>
      <c r="AF579" s="19"/>
    </row>
    <row r="580" spans="1:32" ht="13.15" x14ac:dyDescent="0.4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  <c r="AA580" s="19"/>
      <c r="AB580" s="19"/>
      <c r="AC580" s="19"/>
      <c r="AD580" s="19"/>
      <c r="AE580" s="19"/>
      <c r="AF580" s="19"/>
    </row>
    <row r="581" spans="1:32" ht="13.15" x14ac:dyDescent="0.4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  <c r="AA581" s="19"/>
      <c r="AB581" s="19"/>
      <c r="AC581" s="19"/>
      <c r="AD581" s="19"/>
      <c r="AE581" s="19"/>
      <c r="AF581" s="19"/>
    </row>
    <row r="582" spans="1:32" ht="13.15" x14ac:dyDescent="0.4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  <c r="AA582" s="19"/>
      <c r="AB582" s="19"/>
      <c r="AC582" s="19"/>
      <c r="AD582" s="19"/>
      <c r="AE582" s="19"/>
      <c r="AF582" s="19"/>
    </row>
    <row r="583" spans="1:32" ht="13.15" x14ac:dyDescent="0.4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  <c r="AB583" s="19"/>
      <c r="AC583" s="19"/>
      <c r="AD583" s="19"/>
      <c r="AE583" s="19"/>
      <c r="AF583" s="19"/>
    </row>
    <row r="584" spans="1:32" ht="13.15" x14ac:dyDescent="0.4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  <c r="AA584" s="19"/>
      <c r="AB584" s="19"/>
      <c r="AC584" s="19"/>
      <c r="AD584" s="19"/>
      <c r="AE584" s="19"/>
      <c r="AF584" s="19"/>
    </row>
    <row r="585" spans="1:32" ht="13.15" x14ac:dyDescent="0.4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  <c r="AA585" s="19"/>
      <c r="AB585" s="19"/>
      <c r="AC585" s="19"/>
      <c r="AD585" s="19"/>
      <c r="AE585" s="19"/>
      <c r="AF585" s="19"/>
    </row>
    <row r="586" spans="1:32" ht="13.15" x14ac:dyDescent="0.4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  <c r="AA586" s="19"/>
      <c r="AB586" s="19"/>
      <c r="AC586" s="19"/>
      <c r="AD586" s="19"/>
      <c r="AE586" s="19"/>
      <c r="AF586" s="19"/>
    </row>
    <row r="587" spans="1:32" ht="13.15" x14ac:dyDescent="0.4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  <c r="AA587" s="19"/>
      <c r="AB587" s="19"/>
      <c r="AC587" s="19"/>
      <c r="AD587" s="19"/>
      <c r="AE587" s="19"/>
      <c r="AF587" s="19"/>
    </row>
    <row r="588" spans="1:32" ht="13.15" x14ac:dyDescent="0.4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  <c r="AA588" s="19"/>
      <c r="AB588" s="19"/>
      <c r="AC588" s="19"/>
      <c r="AD588" s="19"/>
      <c r="AE588" s="19"/>
      <c r="AF588" s="19"/>
    </row>
    <row r="589" spans="1:32" ht="13.15" x14ac:dyDescent="0.4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  <c r="AA589" s="19"/>
      <c r="AB589" s="19"/>
      <c r="AC589" s="19"/>
      <c r="AD589" s="19"/>
      <c r="AE589" s="19"/>
      <c r="AF589" s="19"/>
    </row>
    <row r="590" spans="1:32" ht="13.15" x14ac:dyDescent="0.4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  <c r="AA590" s="19"/>
      <c r="AB590" s="19"/>
      <c r="AC590" s="19"/>
      <c r="AD590" s="19"/>
      <c r="AE590" s="19"/>
      <c r="AF590" s="19"/>
    </row>
    <row r="591" spans="1:32" ht="13.15" x14ac:dyDescent="0.4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  <c r="AA591" s="19"/>
      <c r="AB591" s="19"/>
      <c r="AC591" s="19"/>
      <c r="AD591" s="19"/>
      <c r="AE591" s="19"/>
      <c r="AF591" s="19"/>
    </row>
    <row r="592" spans="1:32" ht="13.15" x14ac:dyDescent="0.4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  <c r="AA592" s="19"/>
      <c r="AB592" s="19"/>
      <c r="AC592" s="19"/>
      <c r="AD592" s="19"/>
      <c r="AE592" s="19"/>
      <c r="AF592" s="19"/>
    </row>
    <row r="593" spans="1:32" ht="13.15" x14ac:dyDescent="0.4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  <c r="AA593" s="19"/>
      <c r="AB593" s="19"/>
      <c r="AC593" s="19"/>
      <c r="AD593" s="19"/>
      <c r="AE593" s="19"/>
      <c r="AF593" s="19"/>
    </row>
    <row r="594" spans="1:32" ht="13.15" x14ac:dyDescent="0.4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  <c r="AA594" s="19"/>
      <c r="AB594" s="19"/>
      <c r="AC594" s="19"/>
      <c r="AD594" s="19"/>
      <c r="AE594" s="19"/>
      <c r="AF594" s="19"/>
    </row>
    <row r="595" spans="1:32" ht="13.15" x14ac:dyDescent="0.4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  <c r="AA595" s="19"/>
      <c r="AB595" s="19"/>
      <c r="AC595" s="19"/>
      <c r="AD595" s="19"/>
      <c r="AE595" s="19"/>
      <c r="AF595" s="19"/>
    </row>
    <row r="596" spans="1:32" ht="13.15" x14ac:dyDescent="0.4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  <c r="AA596" s="19"/>
      <c r="AB596" s="19"/>
      <c r="AC596" s="19"/>
      <c r="AD596" s="19"/>
      <c r="AE596" s="19"/>
      <c r="AF596" s="19"/>
    </row>
    <row r="597" spans="1:32" ht="13.15" x14ac:dyDescent="0.4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  <c r="AA597" s="19"/>
      <c r="AB597" s="19"/>
      <c r="AC597" s="19"/>
      <c r="AD597" s="19"/>
      <c r="AE597" s="19"/>
      <c r="AF597" s="19"/>
    </row>
    <row r="598" spans="1:32" ht="13.15" x14ac:dyDescent="0.4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  <c r="AA598" s="19"/>
      <c r="AB598" s="19"/>
      <c r="AC598" s="19"/>
      <c r="AD598" s="19"/>
      <c r="AE598" s="19"/>
      <c r="AF598" s="19"/>
    </row>
    <row r="599" spans="1:32" ht="13.15" x14ac:dyDescent="0.4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  <c r="AA599" s="19"/>
      <c r="AB599" s="19"/>
      <c r="AC599" s="19"/>
      <c r="AD599" s="19"/>
      <c r="AE599" s="19"/>
      <c r="AF599" s="19"/>
    </row>
    <row r="600" spans="1:32" ht="13.15" x14ac:dyDescent="0.4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  <c r="AA600" s="19"/>
      <c r="AB600" s="19"/>
      <c r="AC600" s="19"/>
      <c r="AD600" s="19"/>
      <c r="AE600" s="19"/>
      <c r="AF600" s="19"/>
    </row>
    <row r="601" spans="1:32" ht="13.15" x14ac:dyDescent="0.4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  <c r="AB601" s="19"/>
      <c r="AC601" s="19"/>
      <c r="AD601" s="19"/>
      <c r="AE601" s="19"/>
      <c r="AF601" s="19"/>
    </row>
    <row r="602" spans="1:32" ht="13.15" x14ac:dyDescent="0.4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  <c r="AA602" s="19"/>
      <c r="AB602" s="19"/>
      <c r="AC602" s="19"/>
      <c r="AD602" s="19"/>
      <c r="AE602" s="19"/>
      <c r="AF602" s="19"/>
    </row>
    <row r="603" spans="1:32" ht="13.15" x14ac:dyDescent="0.4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  <c r="AA603" s="19"/>
      <c r="AB603" s="19"/>
      <c r="AC603" s="19"/>
      <c r="AD603" s="19"/>
      <c r="AE603" s="19"/>
      <c r="AF603" s="19"/>
    </row>
    <row r="604" spans="1:32" ht="13.15" x14ac:dyDescent="0.4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  <c r="AA604" s="19"/>
      <c r="AB604" s="19"/>
      <c r="AC604" s="19"/>
      <c r="AD604" s="19"/>
      <c r="AE604" s="19"/>
      <c r="AF604" s="19"/>
    </row>
    <row r="605" spans="1:32" ht="13.15" x14ac:dyDescent="0.4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  <c r="AA605" s="19"/>
      <c r="AB605" s="19"/>
      <c r="AC605" s="19"/>
      <c r="AD605" s="19"/>
      <c r="AE605" s="19"/>
      <c r="AF605" s="19"/>
    </row>
    <row r="606" spans="1:32" ht="13.15" x14ac:dyDescent="0.4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  <c r="AA606" s="19"/>
      <c r="AB606" s="19"/>
      <c r="AC606" s="19"/>
      <c r="AD606" s="19"/>
      <c r="AE606" s="19"/>
      <c r="AF606" s="19"/>
    </row>
    <row r="607" spans="1:32" ht="13.15" x14ac:dyDescent="0.4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  <c r="AA607" s="19"/>
      <c r="AB607" s="19"/>
      <c r="AC607" s="19"/>
      <c r="AD607" s="19"/>
      <c r="AE607" s="19"/>
      <c r="AF607" s="19"/>
    </row>
    <row r="608" spans="1:32" ht="13.15" x14ac:dyDescent="0.4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  <c r="AB608" s="19"/>
      <c r="AC608" s="19"/>
      <c r="AD608" s="19"/>
      <c r="AE608" s="19"/>
      <c r="AF608" s="19"/>
    </row>
    <row r="609" spans="1:32" ht="13.15" x14ac:dyDescent="0.4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  <c r="AA609" s="19"/>
      <c r="AB609" s="19"/>
      <c r="AC609" s="19"/>
      <c r="AD609" s="19"/>
      <c r="AE609" s="19"/>
      <c r="AF609" s="19"/>
    </row>
    <row r="610" spans="1:32" ht="13.15" x14ac:dyDescent="0.4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  <c r="AA610" s="19"/>
      <c r="AB610" s="19"/>
      <c r="AC610" s="19"/>
      <c r="AD610" s="19"/>
      <c r="AE610" s="19"/>
      <c r="AF610" s="19"/>
    </row>
    <row r="611" spans="1:32" ht="13.15" x14ac:dyDescent="0.4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  <c r="AA611" s="19"/>
      <c r="AB611" s="19"/>
      <c r="AC611" s="19"/>
      <c r="AD611" s="19"/>
      <c r="AE611" s="19"/>
      <c r="AF611" s="19"/>
    </row>
    <row r="612" spans="1:32" ht="13.15" x14ac:dyDescent="0.4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  <c r="AA612" s="19"/>
      <c r="AB612" s="19"/>
      <c r="AC612" s="19"/>
      <c r="AD612" s="19"/>
      <c r="AE612" s="19"/>
      <c r="AF612" s="19"/>
    </row>
    <row r="613" spans="1:32" ht="13.15" x14ac:dyDescent="0.4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  <c r="AC613" s="19"/>
      <c r="AD613" s="19"/>
      <c r="AE613" s="19"/>
      <c r="AF613" s="19"/>
    </row>
    <row r="614" spans="1:32" ht="13.15" x14ac:dyDescent="0.4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  <c r="AC614" s="19"/>
      <c r="AD614" s="19"/>
      <c r="AE614" s="19"/>
      <c r="AF614" s="19"/>
    </row>
    <row r="615" spans="1:32" ht="13.15" x14ac:dyDescent="0.4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  <c r="AC615" s="19"/>
      <c r="AD615" s="19"/>
      <c r="AE615" s="19"/>
      <c r="AF615" s="19"/>
    </row>
    <row r="616" spans="1:32" ht="13.15" x14ac:dyDescent="0.4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  <c r="AC616" s="19"/>
      <c r="AD616" s="19"/>
      <c r="AE616" s="19"/>
      <c r="AF616" s="19"/>
    </row>
    <row r="617" spans="1:32" ht="13.15" x14ac:dyDescent="0.4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  <c r="AA617" s="19"/>
      <c r="AB617" s="19"/>
      <c r="AC617" s="19"/>
      <c r="AD617" s="19"/>
      <c r="AE617" s="19"/>
      <c r="AF617" s="19"/>
    </row>
    <row r="618" spans="1:32" ht="13.15" x14ac:dyDescent="0.4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  <c r="AA618" s="19"/>
      <c r="AB618" s="19"/>
      <c r="AC618" s="19"/>
      <c r="AD618" s="19"/>
      <c r="AE618" s="19"/>
      <c r="AF618" s="19"/>
    </row>
    <row r="619" spans="1:32" ht="13.15" x14ac:dyDescent="0.4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  <c r="AA619" s="19"/>
      <c r="AB619" s="19"/>
      <c r="AC619" s="19"/>
      <c r="AD619" s="19"/>
      <c r="AE619" s="19"/>
      <c r="AF619" s="19"/>
    </row>
    <row r="620" spans="1:32" ht="13.15" x14ac:dyDescent="0.4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  <c r="AB620" s="19"/>
      <c r="AC620" s="19"/>
      <c r="AD620" s="19"/>
      <c r="AE620" s="19"/>
      <c r="AF620" s="19"/>
    </row>
    <row r="621" spans="1:32" ht="13.15" x14ac:dyDescent="0.4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  <c r="AA621" s="19"/>
      <c r="AB621" s="19"/>
      <c r="AC621" s="19"/>
      <c r="AD621" s="19"/>
      <c r="AE621" s="19"/>
      <c r="AF621" s="19"/>
    </row>
    <row r="622" spans="1:32" ht="13.15" x14ac:dyDescent="0.4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  <c r="AA622" s="19"/>
      <c r="AB622" s="19"/>
      <c r="AC622" s="19"/>
      <c r="AD622" s="19"/>
      <c r="AE622" s="19"/>
      <c r="AF622" s="19"/>
    </row>
    <row r="623" spans="1:32" ht="13.15" x14ac:dyDescent="0.4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  <c r="AA623" s="19"/>
      <c r="AB623" s="19"/>
      <c r="AC623" s="19"/>
      <c r="AD623" s="19"/>
      <c r="AE623" s="19"/>
      <c r="AF623" s="19"/>
    </row>
    <row r="624" spans="1:32" ht="13.15" x14ac:dyDescent="0.4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  <c r="AA624" s="19"/>
      <c r="AB624" s="19"/>
      <c r="AC624" s="19"/>
      <c r="AD624" s="19"/>
      <c r="AE624" s="19"/>
      <c r="AF624" s="19"/>
    </row>
    <row r="625" spans="1:32" ht="13.15" x14ac:dyDescent="0.4">
      <c r="A625" s="19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  <c r="AA625" s="19"/>
      <c r="AB625" s="19"/>
      <c r="AC625" s="19"/>
      <c r="AD625" s="19"/>
      <c r="AE625" s="19"/>
      <c r="AF625" s="19"/>
    </row>
    <row r="626" spans="1:32" ht="13.15" x14ac:dyDescent="0.4">
      <c r="A626" s="19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  <c r="AA626" s="19"/>
      <c r="AB626" s="19"/>
      <c r="AC626" s="19"/>
      <c r="AD626" s="19"/>
      <c r="AE626" s="19"/>
      <c r="AF626" s="19"/>
    </row>
    <row r="627" spans="1:32" ht="13.15" x14ac:dyDescent="0.4">
      <c r="A627" s="19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  <c r="AA627" s="19"/>
      <c r="AB627" s="19"/>
      <c r="AC627" s="19"/>
      <c r="AD627" s="19"/>
      <c r="AE627" s="19"/>
      <c r="AF627" s="19"/>
    </row>
    <row r="628" spans="1:32" ht="13.15" x14ac:dyDescent="0.4">
      <c r="A628" s="19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  <c r="AA628" s="19"/>
      <c r="AB628" s="19"/>
      <c r="AC628" s="19"/>
      <c r="AD628" s="19"/>
      <c r="AE628" s="19"/>
      <c r="AF628" s="19"/>
    </row>
    <row r="629" spans="1:32" ht="13.15" x14ac:dyDescent="0.4">
      <c r="A629" s="19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  <c r="AA629" s="19"/>
      <c r="AB629" s="19"/>
      <c r="AC629" s="19"/>
      <c r="AD629" s="19"/>
      <c r="AE629" s="19"/>
      <c r="AF629" s="19"/>
    </row>
    <row r="630" spans="1:32" ht="13.15" x14ac:dyDescent="0.4">
      <c r="A630" s="19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  <c r="AA630" s="19"/>
      <c r="AB630" s="19"/>
      <c r="AC630" s="19"/>
      <c r="AD630" s="19"/>
      <c r="AE630" s="19"/>
      <c r="AF630" s="19"/>
    </row>
    <row r="631" spans="1:32" ht="13.15" x14ac:dyDescent="0.4">
      <c r="A631" s="19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  <c r="AC631" s="19"/>
      <c r="AD631" s="19"/>
      <c r="AE631" s="19"/>
      <c r="AF631" s="19"/>
    </row>
    <row r="632" spans="1:32" ht="13.15" x14ac:dyDescent="0.4">
      <c r="A632" s="19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  <c r="AA632" s="19"/>
      <c r="AB632" s="19"/>
      <c r="AC632" s="19"/>
      <c r="AD632" s="19"/>
      <c r="AE632" s="19"/>
      <c r="AF632" s="19"/>
    </row>
    <row r="633" spans="1:32" ht="13.15" x14ac:dyDescent="0.4">
      <c r="A633" s="19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  <c r="AA633" s="19"/>
      <c r="AB633" s="19"/>
      <c r="AC633" s="19"/>
      <c r="AD633" s="19"/>
      <c r="AE633" s="19"/>
      <c r="AF633" s="19"/>
    </row>
    <row r="634" spans="1:32" ht="13.15" x14ac:dyDescent="0.4">
      <c r="A634" s="19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  <c r="AA634" s="19"/>
      <c r="AB634" s="19"/>
      <c r="AC634" s="19"/>
      <c r="AD634" s="19"/>
      <c r="AE634" s="19"/>
      <c r="AF634" s="19"/>
    </row>
    <row r="635" spans="1:32" ht="13.15" x14ac:dyDescent="0.4">
      <c r="A635" s="19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  <c r="AA635" s="19"/>
      <c r="AB635" s="19"/>
      <c r="AC635" s="19"/>
      <c r="AD635" s="19"/>
      <c r="AE635" s="19"/>
      <c r="AF635" s="19"/>
    </row>
    <row r="636" spans="1:32" ht="13.15" x14ac:dyDescent="0.4">
      <c r="A636" s="19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  <c r="AA636" s="19"/>
      <c r="AB636" s="19"/>
      <c r="AC636" s="19"/>
      <c r="AD636" s="19"/>
      <c r="AE636" s="19"/>
      <c r="AF636" s="19"/>
    </row>
    <row r="637" spans="1:32" ht="13.15" x14ac:dyDescent="0.4">
      <c r="A637" s="19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  <c r="AA637" s="19"/>
      <c r="AB637" s="19"/>
      <c r="AC637" s="19"/>
      <c r="AD637" s="19"/>
      <c r="AE637" s="19"/>
      <c r="AF637" s="19"/>
    </row>
    <row r="638" spans="1:32" ht="13.15" x14ac:dyDescent="0.4">
      <c r="A638" s="19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  <c r="AA638" s="19"/>
      <c r="AB638" s="19"/>
      <c r="AC638" s="19"/>
      <c r="AD638" s="19"/>
      <c r="AE638" s="19"/>
      <c r="AF638" s="19"/>
    </row>
    <row r="639" spans="1:32" ht="13.15" x14ac:dyDescent="0.4">
      <c r="A639" s="19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  <c r="AA639" s="19"/>
      <c r="AB639" s="19"/>
      <c r="AC639" s="19"/>
      <c r="AD639" s="19"/>
      <c r="AE639" s="19"/>
      <c r="AF639" s="19"/>
    </row>
    <row r="640" spans="1:32" ht="13.15" x14ac:dyDescent="0.4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  <c r="AA640" s="19"/>
      <c r="AB640" s="19"/>
      <c r="AC640" s="19"/>
      <c r="AD640" s="19"/>
      <c r="AE640" s="19"/>
      <c r="AF640" s="19"/>
    </row>
    <row r="641" spans="1:32" ht="13.15" x14ac:dyDescent="0.4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  <c r="AA641" s="19"/>
      <c r="AB641" s="19"/>
      <c r="AC641" s="19"/>
      <c r="AD641" s="19"/>
      <c r="AE641" s="19"/>
      <c r="AF641" s="19"/>
    </row>
    <row r="642" spans="1:32" ht="13.15" x14ac:dyDescent="0.4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  <c r="AA642" s="19"/>
      <c r="AB642" s="19"/>
      <c r="AC642" s="19"/>
      <c r="AD642" s="19"/>
      <c r="AE642" s="19"/>
      <c r="AF642" s="19"/>
    </row>
    <row r="643" spans="1:32" ht="13.15" x14ac:dyDescent="0.4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  <c r="AA643" s="19"/>
      <c r="AB643" s="19"/>
      <c r="AC643" s="19"/>
      <c r="AD643" s="19"/>
      <c r="AE643" s="19"/>
      <c r="AF643" s="19"/>
    </row>
    <row r="644" spans="1:32" ht="13.15" x14ac:dyDescent="0.4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  <c r="AA644" s="19"/>
      <c r="AB644" s="19"/>
      <c r="AC644" s="19"/>
      <c r="AD644" s="19"/>
      <c r="AE644" s="19"/>
      <c r="AF644" s="19"/>
    </row>
    <row r="645" spans="1:32" ht="13.15" x14ac:dyDescent="0.4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  <c r="AA645" s="19"/>
      <c r="AB645" s="19"/>
      <c r="AC645" s="19"/>
      <c r="AD645" s="19"/>
      <c r="AE645" s="19"/>
      <c r="AF645" s="19"/>
    </row>
    <row r="646" spans="1:32" ht="13.15" x14ac:dyDescent="0.4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  <c r="AB646" s="19"/>
      <c r="AC646" s="19"/>
      <c r="AD646" s="19"/>
      <c r="AE646" s="19"/>
      <c r="AF646" s="19"/>
    </row>
    <row r="647" spans="1:32" ht="13.15" x14ac:dyDescent="0.4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  <c r="AA647" s="19"/>
      <c r="AB647" s="19"/>
      <c r="AC647" s="19"/>
      <c r="AD647" s="19"/>
      <c r="AE647" s="19"/>
      <c r="AF647" s="19"/>
    </row>
    <row r="648" spans="1:32" ht="13.15" x14ac:dyDescent="0.4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  <c r="AA648" s="19"/>
      <c r="AB648" s="19"/>
      <c r="AC648" s="19"/>
      <c r="AD648" s="19"/>
      <c r="AE648" s="19"/>
      <c r="AF648" s="19"/>
    </row>
    <row r="649" spans="1:32" ht="13.15" x14ac:dyDescent="0.4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  <c r="AA649" s="19"/>
      <c r="AB649" s="19"/>
      <c r="AC649" s="19"/>
      <c r="AD649" s="19"/>
      <c r="AE649" s="19"/>
      <c r="AF649" s="19"/>
    </row>
    <row r="650" spans="1:32" ht="13.15" x14ac:dyDescent="0.4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  <c r="AA650" s="19"/>
      <c r="AB650" s="19"/>
      <c r="AC650" s="19"/>
      <c r="AD650" s="19"/>
      <c r="AE650" s="19"/>
      <c r="AF650" s="19"/>
    </row>
    <row r="651" spans="1:32" ht="13.15" x14ac:dyDescent="0.4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  <c r="AA651" s="19"/>
      <c r="AB651" s="19"/>
      <c r="AC651" s="19"/>
      <c r="AD651" s="19"/>
      <c r="AE651" s="19"/>
      <c r="AF651" s="19"/>
    </row>
    <row r="652" spans="1:32" ht="13.15" x14ac:dyDescent="0.4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  <c r="AA652" s="19"/>
      <c r="AB652" s="19"/>
      <c r="AC652" s="19"/>
      <c r="AD652" s="19"/>
      <c r="AE652" s="19"/>
      <c r="AF652" s="19"/>
    </row>
    <row r="653" spans="1:32" ht="13.15" x14ac:dyDescent="0.4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  <c r="AA653" s="19"/>
      <c r="AB653" s="19"/>
      <c r="AC653" s="19"/>
      <c r="AD653" s="19"/>
      <c r="AE653" s="19"/>
      <c r="AF653" s="19"/>
    </row>
    <row r="654" spans="1:32" ht="13.15" x14ac:dyDescent="0.4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  <c r="AA654" s="19"/>
      <c r="AB654" s="19"/>
      <c r="AC654" s="19"/>
      <c r="AD654" s="19"/>
      <c r="AE654" s="19"/>
      <c r="AF654" s="19"/>
    </row>
    <row r="655" spans="1:32" ht="13.15" x14ac:dyDescent="0.4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  <c r="AA655" s="19"/>
      <c r="AB655" s="19"/>
      <c r="AC655" s="19"/>
      <c r="AD655" s="19"/>
      <c r="AE655" s="19"/>
      <c r="AF655" s="19"/>
    </row>
    <row r="656" spans="1:32" ht="13.15" x14ac:dyDescent="0.4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  <c r="AA656" s="19"/>
      <c r="AB656" s="19"/>
      <c r="AC656" s="19"/>
      <c r="AD656" s="19"/>
      <c r="AE656" s="19"/>
      <c r="AF656" s="19"/>
    </row>
    <row r="657" spans="1:32" ht="13.15" x14ac:dyDescent="0.4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  <c r="AA657" s="19"/>
      <c r="AB657" s="19"/>
      <c r="AC657" s="19"/>
      <c r="AD657" s="19"/>
      <c r="AE657" s="19"/>
      <c r="AF657" s="19"/>
    </row>
    <row r="658" spans="1:32" ht="13.15" x14ac:dyDescent="0.4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  <c r="AA658" s="19"/>
      <c r="AB658" s="19"/>
      <c r="AC658" s="19"/>
      <c r="AD658" s="19"/>
      <c r="AE658" s="19"/>
      <c r="AF658" s="19"/>
    </row>
    <row r="659" spans="1:32" ht="13.15" x14ac:dyDescent="0.4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  <c r="AA659" s="19"/>
      <c r="AB659" s="19"/>
      <c r="AC659" s="19"/>
      <c r="AD659" s="19"/>
      <c r="AE659" s="19"/>
      <c r="AF659" s="19"/>
    </row>
    <row r="660" spans="1:32" ht="13.15" x14ac:dyDescent="0.4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  <c r="AA660" s="19"/>
      <c r="AB660" s="19"/>
      <c r="AC660" s="19"/>
      <c r="AD660" s="19"/>
      <c r="AE660" s="19"/>
      <c r="AF660" s="19"/>
    </row>
    <row r="661" spans="1:32" ht="13.15" x14ac:dyDescent="0.4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  <c r="AA661" s="19"/>
      <c r="AB661" s="19"/>
      <c r="AC661" s="19"/>
      <c r="AD661" s="19"/>
      <c r="AE661" s="19"/>
      <c r="AF661" s="19"/>
    </row>
    <row r="662" spans="1:32" ht="13.15" x14ac:dyDescent="0.4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  <c r="AA662" s="19"/>
      <c r="AB662" s="19"/>
      <c r="AC662" s="19"/>
      <c r="AD662" s="19"/>
      <c r="AE662" s="19"/>
      <c r="AF662" s="19"/>
    </row>
    <row r="663" spans="1:32" ht="13.15" x14ac:dyDescent="0.4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  <c r="AA663" s="19"/>
      <c r="AB663" s="19"/>
      <c r="AC663" s="19"/>
      <c r="AD663" s="19"/>
      <c r="AE663" s="19"/>
      <c r="AF663" s="19"/>
    </row>
    <row r="664" spans="1:32" ht="13.15" x14ac:dyDescent="0.4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  <c r="AA664" s="19"/>
      <c r="AB664" s="19"/>
      <c r="AC664" s="19"/>
      <c r="AD664" s="19"/>
      <c r="AE664" s="19"/>
      <c r="AF664" s="19"/>
    </row>
    <row r="665" spans="1:32" ht="13.15" x14ac:dyDescent="0.4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  <c r="AA665" s="19"/>
      <c r="AB665" s="19"/>
      <c r="AC665" s="19"/>
      <c r="AD665" s="19"/>
      <c r="AE665" s="19"/>
      <c r="AF665" s="19"/>
    </row>
    <row r="666" spans="1:32" ht="13.15" x14ac:dyDescent="0.4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  <c r="AA666" s="19"/>
      <c r="AB666" s="19"/>
      <c r="AC666" s="19"/>
      <c r="AD666" s="19"/>
      <c r="AE666" s="19"/>
      <c r="AF666" s="19"/>
    </row>
    <row r="667" spans="1:32" ht="13.15" x14ac:dyDescent="0.4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  <c r="AA667" s="19"/>
      <c r="AB667" s="19"/>
      <c r="AC667" s="19"/>
      <c r="AD667" s="19"/>
      <c r="AE667" s="19"/>
      <c r="AF667" s="19"/>
    </row>
    <row r="668" spans="1:32" ht="13.15" x14ac:dyDescent="0.4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  <c r="AA668" s="19"/>
      <c r="AB668" s="19"/>
      <c r="AC668" s="19"/>
      <c r="AD668" s="19"/>
      <c r="AE668" s="19"/>
      <c r="AF668" s="19"/>
    </row>
    <row r="669" spans="1:32" ht="13.15" x14ac:dyDescent="0.4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  <c r="AA669" s="19"/>
      <c r="AB669" s="19"/>
      <c r="AC669" s="19"/>
      <c r="AD669" s="19"/>
      <c r="AE669" s="19"/>
      <c r="AF669" s="19"/>
    </row>
    <row r="670" spans="1:32" ht="13.15" x14ac:dyDescent="0.4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  <c r="AA670" s="19"/>
      <c r="AB670" s="19"/>
      <c r="AC670" s="19"/>
      <c r="AD670" s="19"/>
      <c r="AE670" s="19"/>
      <c r="AF670" s="19"/>
    </row>
    <row r="671" spans="1:32" ht="13.15" x14ac:dyDescent="0.4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  <c r="AA671" s="19"/>
      <c r="AB671" s="19"/>
      <c r="AC671" s="19"/>
      <c r="AD671" s="19"/>
      <c r="AE671" s="19"/>
      <c r="AF671" s="19"/>
    </row>
    <row r="672" spans="1:32" ht="13.15" x14ac:dyDescent="0.4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  <c r="AA672" s="19"/>
      <c r="AB672" s="19"/>
      <c r="AC672" s="19"/>
      <c r="AD672" s="19"/>
      <c r="AE672" s="19"/>
      <c r="AF672" s="19"/>
    </row>
    <row r="673" spans="1:32" ht="13.15" x14ac:dyDescent="0.4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  <c r="AA673" s="19"/>
      <c r="AB673" s="19"/>
      <c r="AC673" s="19"/>
      <c r="AD673" s="19"/>
      <c r="AE673" s="19"/>
      <c r="AF673" s="19"/>
    </row>
    <row r="674" spans="1:32" ht="13.15" x14ac:dyDescent="0.4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  <c r="AA674" s="19"/>
      <c r="AB674" s="19"/>
      <c r="AC674" s="19"/>
      <c r="AD674" s="19"/>
      <c r="AE674" s="19"/>
      <c r="AF674" s="19"/>
    </row>
    <row r="675" spans="1:32" ht="13.15" x14ac:dyDescent="0.4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  <c r="AA675" s="19"/>
      <c r="AB675" s="19"/>
      <c r="AC675" s="19"/>
      <c r="AD675" s="19"/>
      <c r="AE675" s="19"/>
      <c r="AF675" s="19"/>
    </row>
    <row r="676" spans="1:32" ht="13.15" x14ac:dyDescent="0.4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  <c r="AA676" s="19"/>
      <c r="AB676" s="19"/>
      <c r="AC676" s="19"/>
      <c r="AD676" s="19"/>
      <c r="AE676" s="19"/>
      <c r="AF676" s="19"/>
    </row>
    <row r="677" spans="1:32" ht="13.15" x14ac:dyDescent="0.4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  <c r="AA677" s="19"/>
      <c r="AB677" s="19"/>
      <c r="AC677" s="19"/>
      <c r="AD677" s="19"/>
      <c r="AE677" s="19"/>
      <c r="AF677" s="19"/>
    </row>
    <row r="678" spans="1:32" ht="13.15" x14ac:dyDescent="0.4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  <c r="AA678" s="19"/>
      <c r="AB678" s="19"/>
      <c r="AC678" s="19"/>
      <c r="AD678" s="19"/>
      <c r="AE678" s="19"/>
      <c r="AF678" s="19"/>
    </row>
    <row r="679" spans="1:32" ht="13.15" x14ac:dyDescent="0.4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A679" s="19"/>
      <c r="AB679" s="19"/>
      <c r="AC679" s="19"/>
      <c r="AD679" s="19"/>
      <c r="AE679" s="19"/>
      <c r="AF679" s="19"/>
    </row>
    <row r="680" spans="1:32" ht="13.15" x14ac:dyDescent="0.4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  <c r="AA680" s="19"/>
      <c r="AB680" s="19"/>
      <c r="AC680" s="19"/>
      <c r="AD680" s="19"/>
      <c r="AE680" s="19"/>
      <c r="AF680" s="19"/>
    </row>
    <row r="681" spans="1:32" ht="13.15" x14ac:dyDescent="0.4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  <c r="AA681" s="19"/>
      <c r="AB681" s="19"/>
      <c r="AC681" s="19"/>
      <c r="AD681" s="19"/>
      <c r="AE681" s="19"/>
      <c r="AF681" s="19"/>
    </row>
    <row r="682" spans="1:32" ht="13.15" x14ac:dyDescent="0.4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  <c r="AA682" s="19"/>
      <c r="AB682" s="19"/>
      <c r="AC682" s="19"/>
      <c r="AD682" s="19"/>
      <c r="AE682" s="19"/>
      <c r="AF682" s="19"/>
    </row>
    <row r="683" spans="1:32" ht="13.15" x14ac:dyDescent="0.4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  <c r="AA683" s="19"/>
      <c r="AB683" s="19"/>
      <c r="AC683" s="19"/>
      <c r="AD683" s="19"/>
      <c r="AE683" s="19"/>
      <c r="AF683" s="19"/>
    </row>
    <row r="684" spans="1:32" ht="13.15" x14ac:dyDescent="0.4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  <c r="AA684" s="19"/>
      <c r="AB684" s="19"/>
      <c r="AC684" s="19"/>
      <c r="AD684" s="19"/>
      <c r="AE684" s="19"/>
      <c r="AF684" s="19"/>
    </row>
    <row r="685" spans="1:32" ht="13.15" x14ac:dyDescent="0.4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  <c r="AA685" s="19"/>
      <c r="AB685" s="19"/>
      <c r="AC685" s="19"/>
      <c r="AD685" s="19"/>
      <c r="AE685" s="19"/>
      <c r="AF685" s="19"/>
    </row>
    <row r="686" spans="1:32" ht="13.15" x14ac:dyDescent="0.4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  <c r="AA686" s="19"/>
      <c r="AB686" s="19"/>
      <c r="AC686" s="19"/>
      <c r="AD686" s="19"/>
      <c r="AE686" s="19"/>
      <c r="AF686" s="19"/>
    </row>
    <row r="687" spans="1:32" ht="13.15" x14ac:dyDescent="0.4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  <c r="AA687" s="19"/>
      <c r="AB687" s="19"/>
      <c r="AC687" s="19"/>
      <c r="AD687" s="19"/>
      <c r="AE687" s="19"/>
      <c r="AF687" s="19"/>
    </row>
    <row r="688" spans="1:32" ht="13.15" x14ac:dyDescent="0.4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  <c r="AA688" s="19"/>
      <c r="AB688" s="19"/>
      <c r="AC688" s="19"/>
      <c r="AD688" s="19"/>
      <c r="AE688" s="19"/>
      <c r="AF688" s="19"/>
    </row>
    <row r="689" spans="1:32" ht="13.15" x14ac:dyDescent="0.4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  <c r="AA689" s="19"/>
      <c r="AB689" s="19"/>
      <c r="AC689" s="19"/>
      <c r="AD689" s="19"/>
      <c r="AE689" s="19"/>
      <c r="AF689" s="19"/>
    </row>
    <row r="690" spans="1:32" ht="13.15" x14ac:dyDescent="0.4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  <c r="AA690" s="19"/>
      <c r="AB690" s="19"/>
      <c r="AC690" s="19"/>
      <c r="AD690" s="19"/>
      <c r="AE690" s="19"/>
      <c r="AF690" s="19"/>
    </row>
    <row r="691" spans="1:32" ht="13.15" x14ac:dyDescent="0.4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  <c r="AA691" s="19"/>
      <c r="AB691" s="19"/>
      <c r="AC691" s="19"/>
      <c r="AD691" s="19"/>
      <c r="AE691" s="19"/>
      <c r="AF691" s="19"/>
    </row>
    <row r="692" spans="1:32" ht="13.15" x14ac:dyDescent="0.4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  <c r="AA692" s="19"/>
      <c r="AB692" s="19"/>
      <c r="AC692" s="19"/>
      <c r="AD692" s="19"/>
      <c r="AE692" s="19"/>
      <c r="AF692" s="19"/>
    </row>
    <row r="693" spans="1:32" ht="13.15" x14ac:dyDescent="0.4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  <c r="AA693" s="19"/>
      <c r="AB693" s="19"/>
      <c r="AC693" s="19"/>
      <c r="AD693" s="19"/>
      <c r="AE693" s="19"/>
      <c r="AF693" s="19"/>
    </row>
    <row r="694" spans="1:32" ht="13.15" x14ac:dyDescent="0.4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  <c r="AA694" s="19"/>
      <c r="AB694" s="19"/>
      <c r="AC694" s="19"/>
      <c r="AD694" s="19"/>
      <c r="AE694" s="19"/>
      <c r="AF694" s="19"/>
    </row>
    <row r="695" spans="1:32" ht="13.15" x14ac:dyDescent="0.4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  <c r="AA695" s="19"/>
      <c r="AB695" s="19"/>
      <c r="AC695" s="19"/>
      <c r="AD695" s="19"/>
      <c r="AE695" s="19"/>
      <c r="AF695" s="19"/>
    </row>
    <row r="696" spans="1:32" ht="13.15" x14ac:dyDescent="0.4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  <c r="AA696" s="19"/>
      <c r="AB696" s="19"/>
      <c r="AC696" s="19"/>
      <c r="AD696" s="19"/>
      <c r="AE696" s="19"/>
      <c r="AF696" s="19"/>
    </row>
    <row r="697" spans="1:32" ht="13.15" x14ac:dyDescent="0.4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  <c r="AA697" s="19"/>
      <c r="AB697" s="19"/>
      <c r="AC697" s="19"/>
      <c r="AD697" s="19"/>
      <c r="AE697" s="19"/>
      <c r="AF697" s="19"/>
    </row>
    <row r="698" spans="1:32" ht="13.15" x14ac:dyDescent="0.4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  <c r="AA698" s="19"/>
      <c r="AB698" s="19"/>
      <c r="AC698" s="19"/>
      <c r="AD698" s="19"/>
      <c r="AE698" s="19"/>
      <c r="AF698" s="19"/>
    </row>
    <row r="699" spans="1:32" ht="13.15" x14ac:dyDescent="0.4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  <c r="AA699" s="19"/>
      <c r="AB699" s="19"/>
      <c r="AC699" s="19"/>
      <c r="AD699" s="19"/>
      <c r="AE699" s="19"/>
      <c r="AF699" s="19"/>
    </row>
    <row r="700" spans="1:32" ht="13.15" x14ac:dyDescent="0.4">
      <c r="A700" s="19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  <c r="AA700" s="19"/>
      <c r="AB700" s="19"/>
      <c r="AC700" s="19"/>
      <c r="AD700" s="19"/>
      <c r="AE700" s="19"/>
      <c r="AF700" s="19"/>
    </row>
    <row r="701" spans="1:32" ht="13.15" x14ac:dyDescent="0.4">
      <c r="A701" s="19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  <c r="AA701" s="19"/>
      <c r="AB701" s="19"/>
      <c r="AC701" s="19"/>
      <c r="AD701" s="19"/>
      <c r="AE701" s="19"/>
      <c r="AF701" s="19"/>
    </row>
    <row r="702" spans="1:32" ht="13.15" x14ac:dyDescent="0.4">
      <c r="A702" s="19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  <c r="AA702" s="19"/>
      <c r="AB702" s="19"/>
      <c r="AC702" s="19"/>
      <c r="AD702" s="19"/>
      <c r="AE702" s="19"/>
      <c r="AF702" s="19"/>
    </row>
    <row r="703" spans="1:32" ht="13.15" x14ac:dyDescent="0.4">
      <c r="A703" s="19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  <c r="AA703" s="19"/>
      <c r="AB703" s="19"/>
      <c r="AC703" s="19"/>
      <c r="AD703" s="19"/>
      <c r="AE703" s="19"/>
      <c r="AF703" s="19"/>
    </row>
    <row r="704" spans="1:32" ht="13.15" x14ac:dyDescent="0.4">
      <c r="A704" s="19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  <c r="AA704" s="19"/>
      <c r="AB704" s="19"/>
      <c r="AC704" s="19"/>
      <c r="AD704" s="19"/>
      <c r="AE704" s="19"/>
      <c r="AF704" s="19"/>
    </row>
    <row r="705" spans="1:32" ht="13.15" x14ac:dyDescent="0.4">
      <c r="A705" s="19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  <c r="AA705" s="19"/>
      <c r="AB705" s="19"/>
      <c r="AC705" s="19"/>
      <c r="AD705" s="19"/>
      <c r="AE705" s="19"/>
      <c r="AF705" s="19"/>
    </row>
    <row r="706" spans="1:32" ht="13.15" x14ac:dyDescent="0.4">
      <c r="A706" s="19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A706" s="19"/>
      <c r="AB706" s="19"/>
      <c r="AC706" s="19"/>
      <c r="AD706" s="19"/>
      <c r="AE706" s="19"/>
      <c r="AF706" s="19"/>
    </row>
    <row r="707" spans="1:32" ht="13.15" x14ac:dyDescent="0.4">
      <c r="A707" s="19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  <c r="AA707" s="19"/>
      <c r="AB707" s="19"/>
      <c r="AC707" s="19"/>
      <c r="AD707" s="19"/>
      <c r="AE707" s="19"/>
      <c r="AF707" s="19"/>
    </row>
    <row r="708" spans="1:32" ht="13.15" x14ac:dyDescent="0.4">
      <c r="A708" s="19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  <c r="AA708" s="19"/>
      <c r="AB708" s="19"/>
      <c r="AC708" s="19"/>
      <c r="AD708" s="19"/>
      <c r="AE708" s="19"/>
      <c r="AF708" s="19"/>
    </row>
    <row r="709" spans="1:32" ht="13.15" x14ac:dyDescent="0.4">
      <c r="A709" s="19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  <c r="AA709" s="19"/>
      <c r="AB709" s="19"/>
      <c r="AC709" s="19"/>
      <c r="AD709" s="19"/>
      <c r="AE709" s="19"/>
      <c r="AF709" s="19"/>
    </row>
    <row r="710" spans="1:32" ht="13.15" x14ac:dyDescent="0.4">
      <c r="A710" s="19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  <c r="AA710" s="19"/>
      <c r="AB710" s="19"/>
      <c r="AC710" s="19"/>
      <c r="AD710" s="19"/>
      <c r="AE710" s="19"/>
      <c r="AF710" s="19"/>
    </row>
    <row r="711" spans="1:32" ht="13.15" x14ac:dyDescent="0.4">
      <c r="A711" s="19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  <c r="AB711" s="19"/>
      <c r="AC711" s="19"/>
      <c r="AD711" s="19"/>
      <c r="AE711" s="19"/>
      <c r="AF711" s="19"/>
    </row>
    <row r="712" spans="1:32" ht="13.15" x14ac:dyDescent="0.4">
      <c r="A712" s="19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  <c r="AA712" s="19"/>
      <c r="AB712" s="19"/>
      <c r="AC712" s="19"/>
      <c r="AD712" s="19"/>
      <c r="AE712" s="19"/>
      <c r="AF712" s="19"/>
    </row>
    <row r="713" spans="1:32" ht="13.15" x14ac:dyDescent="0.4">
      <c r="A713" s="19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  <c r="AA713" s="19"/>
      <c r="AB713" s="19"/>
      <c r="AC713" s="19"/>
      <c r="AD713" s="19"/>
      <c r="AE713" s="19"/>
      <c r="AF713" s="19"/>
    </row>
    <row r="714" spans="1:32" ht="13.15" x14ac:dyDescent="0.4">
      <c r="A714" s="19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  <c r="AA714" s="19"/>
      <c r="AB714" s="19"/>
      <c r="AC714" s="19"/>
      <c r="AD714" s="19"/>
      <c r="AE714" s="19"/>
      <c r="AF714" s="19"/>
    </row>
    <row r="715" spans="1:32" ht="13.15" x14ac:dyDescent="0.4">
      <c r="A715" s="19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  <c r="AA715" s="19"/>
      <c r="AB715" s="19"/>
      <c r="AC715" s="19"/>
      <c r="AD715" s="19"/>
      <c r="AE715" s="19"/>
      <c r="AF715" s="19"/>
    </row>
    <row r="716" spans="1:32" ht="13.15" x14ac:dyDescent="0.4">
      <c r="A716" s="19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  <c r="AA716" s="19"/>
      <c r="AB716" s="19"/>
      <c r="AC716" s="19"/>
      <c r="AD716" s="19"/>
      <c r="AE716" s="19"/>
      <c r="AF716" s="19"/>
    </row>
    <row r="717" spans="1:32" ht="13.15" x14ac:dyDescent="0.4">
      <c r="A717" s="19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  <c r="AA717" s="19"/>
      <c r="AB717" s="19"/>
      <c r="AC717" s="19"/>
      <c r="AD717" s="19"/>
      <c r="AE717" s="19"/>
      <c r="AF717" s="19"/>
    </row>
    <row r="718" spans="1:32" ht="13.15" x14ac:dyDescent="0.4">
      <c r="A718" s="19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  <c r="AA718" s="19"/>
      <c r="AB718" s="19"/>
      <c r="AC718" s="19"/>
      <c r="AD718" s="19"/>
      <c r="AE718" s="19"/>
      <c r="AF718" s="19"/>
    </row>
    <row r="719" spans="1:32" ht="13.15" x14ac:dyDescent="0.4">
      <c r="A719" s="19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  <c r="AA719" s="19"/>
      <c r="AB719" s="19"/>
      <c r="AC719" s="19"/>
      <c r="AD719" s="19"/>
      <c r="AE719" s="19"/>
      <c r="AF719" s="19"/>
    </row>
    <row r="720" spans="1:32" ht="13.15" x14ac:dyDescent="0.4">
      <c r="A720" s="19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  <c r="AA720" s="19"/>
      <c r="AB720" s="19"/>
      <c r="AC720" s="19"/>
      <c r="AD720" s="19"/>
      <c r="AE720" s="19"/>
      <c r="AF720" s="19"/>
    </row>
    <row r="721" spans="1:32" ht="13.15" x14ac:dyDescent="0.4">
      <c r="A721" s="19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  <c r="AA721" s="19"/>
      <c r="AB721" s="19"/>
      <c r="AC721" s="19"/>
      <c r="AD721" s="19"/>
      <c r="AE721" s="19"/>
      <c r="AF721" s="19"/>
    </row>
    <row r="722" spans="1:32" ht="13.15" x14ac:dyDescent="0.4">
      <c r="A722" s="19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  <c r="AA722" s="19"/>
      <c r="AB722" s="19"/>
      <c r="AC722" s="19"/>
      <c r="AD722" s="19"/>
      <c r="AE722" s="19"/>
      <c r="AF722" s="19"/>
    </row>
    <row r="723" spans="1:32" ht="13.15" x14ac:dyDescent="0.4">
      <c r="A723" s="19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  <c r="AA723" s="19"/>
      <c r="AB723" s="19"/>
      <c r="AC723" s="19"/>
      <c r="AD723" s="19"/>
      <c r="AE723" s="19"/>
      <c r="AF723" s="19"/>
    </row>
    <row r="724" spans="1:32" ht="13.15" x14ac:dyDescent="0.4">
      <c r="A724" s="19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  <c r="AA724" s="19"/>
      <c r="AB724" s="19"/>
      <c r="AC724" s="19"/>
      <c r="AD724" s="19"/>
      <c r="AE724" s="19"/>
      <c r="AF724" s="19"/>
    </row>
    <row r="725" spans="1:32" ht="13.15" x14ac:dyDescent="0.4">
      <c r="A725" s="19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  <c r="AA725" s="19"/>
      <c r="AB725" s="19"/>
      <c r="AC725" s="19"/>
      <c r="AD725" s="19"/>
      <c r="AE725" s="19"/>
      <c r="AF725" s="19"/>
    </row>
    <row r="726" spans="1:32" ht="13.15" x14ac:dyDescent="0.4">
      <c r="A726" s="19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  <c r="AA726" s="19"/>
      <c r="AB726" s="19"/>
      <c r="AC726" s="19"/>
      <c r="AD726" s="19"/>
      <c r="AE726" s="19"/>
      <c r="AF726" s="19"/>
    </row>
    <row r="727" spans="1:32" ht="13.15" x14ac:dyDescent="0.4">
      <c r="A727" s="19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  <c r="AA727" s="19"/>
      <c r="AB727" s="19"/>
      <c r="AC727" s="19"/>
      <c r="AD727" s="19"/>
      <c r="AE727" s="19"/>
      <c r="AF727" s="19"/>
    </row>
    <row r="728" spans="1:32" ht="13.15" x14ac:dyDescent="0.4">
      <c r="A728" s="19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  <c r="AB728" s="19"/>
      <c r="AC728" s="19"/>
      <c r="AD728" s="19"/>
      <c r="AE728" s="19"/>
      <c r="AF728" s="19"/>
    </row>
    <row r="729" spans="1:32" ht="13.15" x14ac:dyDescent="0.4">
      <c r="A729" s="19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A729" s="19"/>
      <c r="AB729" s="19"/>
      <c r="AC729" s="19"/>
      <c r="AD729" s="19"/>
      <c r="AE729" s="19"/>
      <c r="AF729" s="19"/>
    </row>
    <row r="730" spans="1:32" ht="13.15" x14ac:dyDescent="0.4">
      <c r="A730" s="19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  <c r="AA730" s="19"/>
      <c r="AB730" s="19"/>
      <c r="AC730" s="19"/>
      <c r="AD730" s="19"/>
      <c r="AE730" s="19"/>
      <c r="AF730" s="19"/>
    </row>
    <row r="731" spans="1:32" ht="13.15" x14ac:dyDescent="0.4">
      <c r="A731" s="19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  <c r="AA731" s="19"/>
      <c r="AB731" s="19"/>
      <c r="AC731" s="19"/>
      <c r="AD731" s="19"/>
      <c r="AE731" s="19"/>
      <c r="AF731" s="19"/>
    </row>
    <row r="732" spans="1:32" ht="13.15" x14ac:dyDescent="0.4">
      <c r="A732" s="19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  <c r="AA732" s="19"/>
      <c r="AB732" s="19"/>
      <c r="AC732" s="19"/>
      <c r="AD732" s="19"/>
      <c r="AE732" s="19"/>
      <c r="AF732" s="19"/>
    </row>
    <row r="733" spans="1:32" ht="13.15" x14ac:dyDescent="0.4">
      <c r="A733" s="19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  <c r="AA733" s="19"/>
      <c r="AB733" s="19"/>
      <c r="AC733" s="19"/>
      <c r="AD733" s="19"/>
      <c r="AE733" s="19"/>
      <c r="AF733" s="19"/>
    </row>
    <row r="734" spans="1:32" ht="13.15" x14ac:dyDescent="0.4">
      <c r="A734" s="19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  <c r="AA734" s="19"/>
      <c r="AB734" s="19"/>
      <c r="AC734" s="19"/>
      <c r="AD734" s="19"/>
      <c r="AE734" s="19"/>
      <c r="AF734" s="19"/>
    </row>
    <row r="735" spans="1:32" ht="13.15" x14ac:dyDescent="0.4">
      <c r="A735" s="19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  <c r="AA735" s="19"/>
      <c r="AB735" s="19"/>
      <c r="AC735" s="19"/>
      <c r="AD735" s="19"/>
      <c r="AE735" s="19"/>
      <c r="AF735" s="19"/>
    </row>
    <row r="736" spans="1:32" ht="13.15" x14ac:dyDescent="0.4">
      <c r="A736" s="19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  <c r="AA736" s="19"/>
      <c r="AB736" s="19"/>
      <c r="AC736" s="19"/>
      <c r="AD736" s="19"/>
      <c r="AE736" s="19"/>
      <c r="AF736" s="19"/>
    </row>
    <row r="737" spans="1:32" ht="13.15" x14ac:dyDescent="0.4">
      <c r="A737" s="19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  <c r="AA737" s="19"/>
      <c r="AB737" s="19"/>
      <c r="AC737" s="19"/>
      <c r="AD737" s="19"/>
      <c r="AE737" s="19"/>
      <c r="AF737" s="19"/>
    </row>
    <row r="738" spans="1:32" ht="13.15" x14ac:dyDescent="0.4">
      <c r="A738" s="19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  <c r="AA738" s="19"/>
      <c r="AB738" s="19"/>
      <c r="AC738" s="19"/>
      <c r="AD738" s="19"/>
      <c r="AE738" s="19"/>
      <c r="AF738" s="19"/>
    </row>
    <row r="739" spans="1:32" ht="13.15" x14ac:dyDescent="0.4">
      <c r="A739" s="19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  <c r="AA739" s="19"/>
      <c r="AB739" s="19"/>
      <c r="AC739" s="19"/>
      <c r="AD739" s="19"/>
      <c r="AE739" s="19"/>
      <c r="AF739" s="19"/>
    </row>
    <row r="740" spans="1:32" ht="13.15" x14ac:dyDescent="0.4">
      <c r="A740" s="19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  <c r="AA740" s="19"/>
      <c r="AB740" s="19"/>
      <c r="AC740" s="19"/>
      <c r="AD740" s="19"/>
      <c r="AE740" s="19"/>
      <c r="AF740" s="19"/>
    </row>
    <row r="741" spans="1:32" ht="13.15" x14ac:dyDescent="0.4">
      <c r="A741" s="19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  <c r="AA741" s="19"/>
      <c r="AB741" s="19"/>
      <c r="AC741" s="19"/>
      <c r="AD741" s="19"/>
      <c r="AE741" s="19"/>
      <c r="AF741" s="19"/>
    </row>
    <row r="742" spans="1:32" ht="13.15" x14ac:dyDescent="0.4">
      <c r="A742" s="19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  <c r="AA742" s="19"/>
      <c r="AB742" s="19"/>
      <c r="AC742" s="19"/>
      <c r="AD742" s="19"/>
      <c r="AE742" s="19"/>
      <c r="AF742" s="19"/>
    </row>
    <row r="743" spans="1:32" ht="13.15" x14ac:dyDescent="0.4">
      <c r="A743" s="19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  <c r="AA743" s="19"/>
      <c r="AB743" s="19"/>
      <c r="AC743" s="19"/>
      <c r="AD743" s="19"/>
      <c r="AE743" s="19"/>
      <c r="AF743" s="19"/>
    </row>
    <row r="744" spans="1:32" ht="13.15" x14ac:dyDescent="0.4">
      <c r="A744" s="19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  <c r="AA744" s="19"/>
      <c r="AB744" s="19"/>
      <c r="AC744" s="19"/>
      <c r="AD744" s="19"/>
      <c r="AE744" s="19"/>
      <c r="AF744" s="19"/>
    </row>
    <row r="745" spans="1:32" ht="13.15" x14ac:dyDescent="0.4">
      <c r="A745" s="19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  <c r="AA745" s="19"/>
      <c r="AB745" s="19"/>
      <c r="AC745" s="19"/>
      <c r="AD745" s="19"/>
      <c r="AE745" s="19"/>
      <c r="AF745" s="19"/>
    </row>
    <row r="746" spans="1:32" ht="13.15" x14ac:dyDescent="0.4">
      <c r="A746" s="19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  <c r="AA746" s="19"/>
      <c r="AB746" s="19"/>
      <c r="AC746" s="19"/>
      <c r="AD746" s="19"/>
      <c r="AE746" s="19"/>
      <c r="AF746" s="19"/>
    </row>
    <row r="747" spans="1:32" ht="13.15" x14ac:dyDescent="0.4">
      <c r="A747" s="19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  <c r="AA747" s="19"/>
      <c r="AB747" s="19"/>
      <c r="AC747" s="19"/>
      <c r="AD747" s="19"/>
      <c r="AE747" s="19"/>
      <c r="AF747" s="19"/>
    </row>
    <row r="748" spans="1:32" ht="13.15" x14ac:dyDescent="0.4">
      <c r="A748" s="19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  <c r="AA748" s="19"/>
      <c r="AB748" s="19"/>
      <c r="AC748" s="19"/>
      <c r="AD748" s="19"/>
      <c r="AE748" s="19"/>
      <c r="AF748" s="19"/>
    </row>
    <row r="749" spans="1:32" ht="13.15" x14ac:dyDescent="0.4">
      <c r="A749" s="19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  <c r="AA749" s="19"/>
      <c r="AB749" s="19"/>
      <c r="AC749" s="19"/>
      <c r="AD749" s="19"/>
      <c r="AE749" s="19"/>
      <c r="AF749" s="19"/>
    </row>
    <row r="750" spans="1:32" ht="13.15" x14ac:dyDescent="0.4">
      <c r="A750" s="19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  <c r="AA750" s="19"/>
      <c r="AB750" s="19"/>
      <c r="AC750" s="19"/>
      <c r="AD750" s="19"/>
      <c r="AE750" s="19"/>
      <c r="AF750" s="19"/>
    </row>
    <row r="751" spans="1:32" ht="13.15" x14ac:dyDescent="0.4">
      <c r="A751" s="19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  <c r="AA751" s="19"/>
      <c r="AB751" s="19"/>
      <c r="AC751" s="19"/>
      <c r="AD751" s="19"/>
      <c r="AE751" s="19"/>
      <c r="AF751" s="19"/>
    </row>
    <row r="752" spans="1:32" ht="13.15" x14ac:dyDescent="0.4">
      <c r="A752" s="19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  <c r="AA752" s="19"/>
      <c r="AB752" s="19"/>
      <c r="AC752" s="19"/>
      <c r="AD752" s="19"/>
      <c r="AE752" s="19"/>
      <c r="AF752" s="19"/>
    </row>
    <row r="753" spans="1:32" ht="13.15" x14ac:dyDescent="0.4">
      <c r="A753" s="19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  <c r="AA753" s="19"/>
      <c r="AB753" s="19"/>
      <c r="AC753" s="19"/>
      <c r="AD753" s="19"/>
      <c r="AE753" s="19"/>
      <c r="AF753" s="19"/>
    </row>
    <row r="754" spans="1:32" ht="13.15" x14ac:dyDescent="0.4">
      <c r="A754" s="19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  <c r="AA754" s="19"/>
      <c r="AB754" s="19"/>
      <c r="AC754" s="19"/>
      <c r="AD754" s="19"/>
      <c r="AE754" s="19"/>
      <c r="AF754" s="19"/>
    </row>
    <row r="755" spans="1:32" ht="13.15" x14ac:dyDescent="0.4">
      <c r="A755" s="19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  <c r="AA755" s="19"/>
      <c r="AB755" s="19"/>
      <c r="AC755" s="19"/>
      <c r="AD755" s="19"/>
      <c r="AE755" s="19"/>
      <c r="AF755" s="19"/>
    </row>
    <row r="756" spans="1:32" ht="13.15" x14ac:dyDescent="0.4">
      <c r="A756" s="19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  <c r="AA756" s="19"/>
      <c r="AB756" s="19"/>
      <c r="AC756" s="19"/>
      <c r="AD756" s="19"/>
      <c r="AE756" s="19"/>
      <c r="AF756" s="19"/>
    </row>
    <row r="757" spans="1:32" ht="13.15" x14ac:dyDescent="0.4">
      <c r="A757" s="19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  <c r="AA757" s="19"/>
      <c r="AB757" s="19"/>
      <c r="AC757" s="19"/>
      <c r="AD757" s="19"/>
      <c r="AE757" s="19"/>
      <c r="AF757" s="19"/>
    </row>
    <row r="758" spans="1:32" ht="13.15" x14ac:dyDescent="0.4">
      <c r="A758" s="19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  <c r="AA758" s="19"/>
      <c r="AB758" s="19"/>
      <c r="AC758" s="19"/>
      <c r="AD758" s="19"/>
      <c r="AE758" s="19"/>
      <c r="AF758" s="19"/>
    </row>
    <row r="759" spans="1:32" ht="13.15" x14ac:dyDescent="0.4">
      <c r="A759" s="19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  <c r="AA759" s="19"/>
      <c r="AB759" s="19"/>
      <c r="AC759" s="19"/>
      <c r="AD759" s="19"/>
      <c r="AE759" s="19"/>
      <c r="AF759" s="19"/>
    </row>
    <row r="760" spans="1:32" ht="13.15" x14ac:dyDescent="0.4">
      <c r="A760" s="19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  <c r="AA760" s="19"/>
      <c r="AB760" s="19"/>
      <c r="AC760" s="19"/>
      <c r="AD760" s="19"/>
      <c r="AE760" s="19"/>
      <c r="AF760" s="19"/>
    </row>
    <row r="761" spans="1:32" ht="13.15" x14ac:dyDescent="0.4">
      <c r="A761" s="19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  <c r="AA761" s="19"/>
      <c r="AB761" s="19"/>
      <c r="AC761" s="19"/>
      <c r="AD761" s="19"/>
      <c r="AE761" s="19"/>
      <c r="AF761" s="19"/>
    </row>
    <row r="762" spans="1:32" ht="13.15" x14ac:dyDescent="0.4">
      <c r="A762" s="19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  <c r="AB762" s="19"/>
      <c r="AC762" s="19"/>
      <c r="AD762" s="19"/>
      <c r="AE762" s="19"/>
      <c r="AF762" s="19"/>
    </row>
    <row r="763" spans="1:32" ht="13.15" x14ac:dyDescent="0.4">
      <c r="A763" s="19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  <c r="AA763" s="19"/>
      <c r="AB763" s="19"/>
      <c r="AC763" s="19"/>
      <c r="AD763" s="19"/>
      <c r="AE763" s="19"/>
      <c r="AF763" s="19"/>
    </row>
    <row r="764" spans="1:32" ht="13.15" x14ac:dyDescent="0.4">
      <c r="A764" s="19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  <c r="AA764" s="19"/>
      <c r="AB764" s="19"/>
      <c r="AC764" s="19"/>
      <c r="AD764" s="19"/>
      <c r="AE764" s="19"/>
      <c r="AF764" s="19"/>
    </row>
    <row r="765" spans="1:32" ht="13.15" x14ac:dyDescent="0.4">
      <c r="A765" s="19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  <c r="AA765" s="19"/>
      <c r="AB765" s="19"/>
      <c r="AC765" s="19"/>
      <c r="AD765" s="19"/>
      <c r="AE765" s="19"/>
      <c r="AF765" s="19"/>
    </row>
    <row r="766" spans="1:32" ht="13.15" x14ac:dyDescent="0.4">
      <c r="A766" s="19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  <c r="AA766" s="19"/>
      <c r="AB766" s="19"/>
      <c r="AC766" s="19"/>
      <c r="AD766" s="19"/>
      <c r="AE766" s="19"/>
      <c r="AF766" s="19"/>
    </row>
    <row r="767" spans="1:32" ht="13.15" x14ac:dyDescent="0.4">
      <c r="A767" s="19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  <c r="AA767" s="19"/>
      <c r="AB767" s="19"/>
      <c r="AC767" s="19"/>
      <c r="AD767" s="19"/>
      <c r="AE767" s="19"/>
      <c r="AF767" s="19"/>
    </row>
    <row r="768" spans="1:32" ht="13.15" x14ac:dyDescent="0.4">
      <c r="A768" s="19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  <c r="AA768" s="19"/>
      <c r="AB768" s="19"/>
      <c r="AC768" s="19"/>
      <c r="AD768" s="19"/>
      <c r="AE768" s="19"/>
      <c r="AF768" s="19"/>
    </row>
    <row r="769" spans="1:32" ht="13.15" x14ac:dyDescent="0.4">
      <c r="A769" s="19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  <c r="AA769" s="19"/>
      <c r="AB769" s="19"/>
      <c r="AC769" s="19"/>
      <c r="AD769" s="19"/>
      <c r="AE769" s="19"/>
      <c r="AF769" s="19"/>
    </row>
    <row r="770" spans="1:32" ht="13.15" x14ac:dyDescent="0.4">
      <c r="A770" s="19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  <c r="AA770" s="19"/>
      <c r="AB770" s="19"/>
      <c r="AC770" s="19"/>
      <c r="AD770" s="19"/>
      <c r="AE770" s="19"/>
      <c r="AF770" s="19"/>
    </row>
    <row r="771" spans="1:32" ht="13.15" x14ac:dyDescent="0.4">
      <c r="A771" s="19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  <c r="AA771" s="19"/>
      <c r="AB771" s="19"/>
      <c r="AC771" s="19"/>
      <c r="AD771" s="19"/>
      <c r="AE771" s="19"/>
      <c r="AF771" s="19"/>
    </row>
    <row r="772" spans="1:32" ht="13.15" x14ac:dyDescent="0.4">
      <c r="A772" s="19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  <c r="AA772" s="19"/>
      <c r="AB772" s="19"/>
      <c r="AC772" s="19"/>
      <c r="AD772" s="19"/>
      <c r="AE772" s="19"/>
      <c r="AF772" s="19"/>
    </row>
    <row r="773" spans="1:32" ht="13.15" x14ac:dyDescent="0.4">
      <c r="A773" s="19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  <c r="AA773" s="19"/>
      <c r="AB773" s="19"/>
      <c r="AC773" s="19"/>
      <c r="AD773" s="19"/>
      <c r="AE773" s="19"/>
      <c r="AF773" s="19"/>
    </row>
    <row r="774" spans="1:32" ht="13.15" x14ac:dyDescent="0.4">
      <c r="A774" s="19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  <c r="AA774" s="19"/>
      <c r="AB774" s="19"/>
      <c r="AC774" s="19"/>
      <c r="AD774" s="19"/>
      <c r="AE774" s="19"/>
      <c r="AF774" s="19"/>
    </row>
    <row r="775" spans="1:32" ht="13.15" x14ac:dyDescent="0.4">
      <c r="A775" s="19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  <c r="AA775" s="19"/>
      <c r="AB775" s="19"/>
      <c r="AC775" s="19"/>
      <c r="AD775" s="19"/>
      <c r="AE775" s="19"/>
      <c r="AF775" s="19"/>
    </row>
    <row r="776" spans="1:32" ht="13.15" x14ac:dyDescent="0.4">
      <c r="A776" s="19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  <c r="AA776" s="19"/>
      <c r="AB776" s="19"/>
      <c r="AC776" s="19"/>
      <c r="AD776" s="19"/>
      <c r="AE776" s="19"/>
      <c r="AF776" s="19"/>
    </row>
    <row r="777" spans="1:32" ht="13.15" x14ac:dyDescent="0.4">
      <c r="A777" s="19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  <c r="AA777" s="19"/>
      <c r="AB777" s="19"/>
      <c r="AC777" s="19"/>
      <c r="AD777" s="19"/>
      <c r="AE777" s="19"/>
      <c r="AF777" s="19"/>
    </row>
    <row r="778" spans="1:32" ht="13.15" x14ac:dyDescent="0.4">
      <c r="A778" s="19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  <c r="AA778" s="19"/>
      <c r="AB778" s="19"/>
      <c r="AC778" s="19"/>
      <c r="AD778" s="19"/>
      <c r="AE778" s="19"/>
      <c r="AF778" s="19"/>
    </row>
    <row r="779" spans="1:32" ht="13.15" x14ac:dyDescent="0.4">
      <c r="A779" s="19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  <c r="AA779" s="19"/>
      <c r="AB779" s="19"/>
      <c r="AC779" s="19"/>
      <c r="AD779" s="19"/>
      <c r="AE779" s="19"/>
      <c r="AF779" s="19"/>
    </row>
    <row r="780" spans="1:32" ht="13.15" x14ac:dyDescent="0.4">
      <c r="A780" s="19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  <c r="AA780" s="19"/>
      <c r="AB780" s="19"/>
      <c r="AC780" s="19"/>
      <c r="AD780" s="19"/>
      <c r="AE780" s="19"/>
      <c r="AF780" s="19"/>
    </row>
    <row r="781" spans="1:32" ht="13.15" x14ac:dyDescent="0.4">
      <c r="A781" s="19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  <c r="AA781" s="19"/>
      <c r="AB781" s="19"/>
      <c r="AC781" s="19"/>
      <c r="AD781" s="19"/>
      <c r="AE781" s="19"/>
      <c r="AF781" s="19"/>
    </row>
    <row r="782" spans="1:32" ht="13.15" x14ac:dyDescent="0.4">
      <c r="A782" s="19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  <c r="AA782" s="19"/>
      <c r="AB782" s="19"/>
      <c r="AC782" s="19"/>
      <c r="AD782" s="19"/>
      <c r="AE782" s="19"/>
      <c r="AF782" s="19"/>
    </row>
    <row r="783" spans="1:32" ht="13.15" x14ac:dyDescent="0.4">
      <c r="A783" s="19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  <c r="AA783" s="19"/>
      <c r="AB783" s="19"/>
      <c r="AC783" s="19"/>
      <c r="AD783" s="19"/>
      <c r="AE783" s="19"/>
      <c r="AF783" s="19"/>
    </row>
    <row r="784" spans="1:32" ht="13.15" x14ac:dyDescent="0.4">
      <c r="A784" s="19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  <c r="AA784" s="19"/>
      <c r="AB784" s="19"/>
      <c r="AC784" s="19"/>
      <c r="AD784" s="19"/>
      <c r="AE784" s="19"/>
      <c r="AF784" s="19"/>
    </row>
    <row r="785" spans="1:32" ht="13.15" x14ac:dyDescent="0.4">
      <c r="A785" s="19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  <c r="AA785" s="19"/>
      <c r="AB785" s="19"/>
      <c r="AC785" s="19"/>
      <c r="AD785" s="19"/>
      <c r="AE785" s="19"/>
      <c r="AF785" s="19"/>
    </row>
    <row r="786" spans="1:32" ht="13.15" x14ac:dyDescent="0.4">
      <c r="A786" s="19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  <c r="AA786" s="19"/>
      <c r="AB786" s="19"/>
      <c r="AC786" s="19"/>
      <c r="AD786" s="19"/>
      <c r="AE786" s="19"/>
      <c r="AF786" s="19"/>
    </row>
    <row r="787" spans="1:32" ht="13.15" x14ac:dyDescent="0.4">
      <c r="A787" s="19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  <c r="AA787" s="19"/>
      <c r="AB787" s="19"/>
      <c r="AC787" s="19"/>
      <c r="AD787" s="19"/>
      <c r="AE787" s="19"/>
      <c r="AF787" s="19"/>
    </row>
    <row r="788" spans="1:32" ht="13.15" x14ac:dyDescent="0.4">
      <c r="A788" s="19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  <c r="AA788" s="19"/>
      <c r="AB788" s="19"/>
      <c r="AC788" s="19"/>
      <c r="AD788" s="19"/>
      <c r="AE788" s="19"/>
      <c r="AF788" s="19"/>
    </row>
    <row r="789" spans="1:32" ht="13.15" x14ac:dyDescent="0.4">
      <c r="A789" s="19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  <c r="AA789" s="19"/>
      <c r="AB789" s="19"/>
      <c r="AC789" s="19"/>
      <c r="AD789" s="19"/>
      <c r="AE789" s="19"/>
      <c r="AF789" s="19"/>
    </row>
    <row r="790" spans="1:32" ht="13.15" x14ac:dyDescent="0.4">
      <c r="A790" s="19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  <c r="AA790" s="19"/>
      <c r="AB790" s="19"/>
      <c r="AC790" s="19"/>
      <c r="AD790" s="19"/>
      <c r="AE790" s="19"/>
      <c r="AF790" s="19"/>
    </row>
    <row r="791" spans="1:32" ht="13.15" x14ac:dyDescent="0.4">
      <c r="A791" s="19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  <c r="AA791" s="19"/>
      <c r="AB791" s="19"/>
      <c r="AC791" s="19"/>
      <c r="AD791" s="19"/>
      <c r="AE791" s="19"/>
      <c r="AF791" s="19"/>
    </row>
    <row r="792" spans="1:32" ht="13.15" x14ac:dyDescent="0.4">
      <c r="A792" s="19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  <c r="AA792" s="19"/>
      <c r="AB792" s="19"/>
      <c r="AC792" s="19"/>
      <c r="AD792" s="19"/>
      <c r="AE792" s="19"/>
      <c r="AF792" s="19"/>
    </row>
    <row r="793" spans="1:32" ht="13.15" x14ac:dyDescent="0.4">
      <c r="A793" s="19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  <c r="AA793" s="19"/>
      <c r="AB793" s="19"/>
      <c r="AC793" s="19"/>
      <c r="AD793" s="19"/>
      <c r="AE793" s="19"/>
      <c r="AF793" s="19"/>
    </row>
    <row r="794" spans="1:32" ht="13.15" x14ac:dyDescent="0.4">
      <c r="A794" s="19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  <c r="AA794" s="19"/>
      <c r="AB794" s="19"/>
      <c r="AC794" s="19"/>
      <c r="AD794" s="19"/>
      <c r="AE794" s="19"/>
      <c r="AF794" s="19"/>
    </row>
    <row r="795" spans="1:32" ht="13.15" x14ac:dyDescent="0.4">
      <c r="A795" s="19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  <c r="AA795" s="19"/>
      <c r="AB795" s="19"/>
      <c r="AC795" s="19"/>
      <c r="AD795" s="19"/>
      <c r="AE795" s="19"/>
      <c r="AF795" s="19"/>
    </row>
    <row r="796" spans="1:32" ht="13.15" x14ac:dyDescent="0.4">
      <c r="A796" s="19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  <c r="AA796" s="19"/>
      <c r="AB796" s="19"/>
      <c r="AC796" s="19"/>
      <c r="AD796" s="19"/>
      <c r="AE796" s="19"/>
      <c r="AF796" s="19"/>
    </row>
    <row r="797" spans="1:32" ht="13.15" x14ac:dyDescent="0.4">
      <c r="A797" s="19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  <c r="AA797" s="19"/>
      <c r="AB797" s="19"/>
      <c r="AC797" s="19"/>
      <c r="AD797" s="19"/>
      <c r="AE797" s="19"/>
      <c r="AF797" s="19"/>
    </row>
    <row r="798" spans="1:32" ht="13.15" x14ac:dyDescent="0.4">
      <c r="A798" s="19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  <c r="AA798" s="19"/>
      <c r="AB798" s="19"/>
      <c r="AC798" s="19"/>
      <c r="AD798" s="19"/>
      <c r="AE798" s="19"/>
      <c r="AF798" s="19"/>
    </row>
    <row r="799" spans="1:32" ht="13.15" x14ac:dyDescent="0.4">
      <c r="A799" s="19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  <c r="AA799" s="19"/>
      <c r="AB799" s="19"/>
      <c r="AC799" s="19"/>
      <c r="AD799" s="19"/>
      <c r="AE799" s="19"/>
      <c r="AF799" s="19"/>
    </row>
    <row r="800" spans="1:32" ht="13.15" x14ac:dyDescent="0.4">
      <c r="A800" s="19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  <c r="AA800" s="19"/>
      <c r="AB800" s="19"/>
      <c r="AC800" s="19"/>
      <c r="AD800" s="19"/>
      <c r="AE800" s="19"/>
      <c r="AF800" s="19"/>
    </row>
    <row r="801" spans="1:32" ht="13.15" x14ac:dyDescent="0.4">
      <c r="A801" s="19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  <c r="AA801" s="19"/>
      <c r="AB801" s="19"/>
      <c r="AC801" s="19"/>
      <c r="AD801" s="19"/>
      <c r="AE801" s="19"/>
      <c r="AF801" s="19"/>
    </row>
    <row r="802" spans="1:32" ht="13.15" x14ac:dyDescent="0.4">
      <c r="A802" s="19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  <c r="AA802" s="19"/>
      <c r="AB802" s="19"/>
      <c r="AC802" s="19"/>
      <c r="AD802" s="19"/>
      <c r="AE802" s="19"/>
      <c r="AF802" s="19"/>
    </row>
    <row r="803" spans="1:32" ht="13.15" x14ac:dyDescent="0.4">
      <c r="A803" s="19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  <c r="AA803" s="19"/>
      <c r="AB803" s="19"/>
      <c r="AC803" s="19"/>
      <c r="AD803" s="19"/>
      <c r="AE803" s="19"/>
      <c r="AF803" s="19"/>
    </row>
    <row r="804" spans="1:32" ht="13.15" x14ac:dyDescent="0.4">
      <c r="A804" s="19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  <c r="AA804" s="19"/>
      <c r="AB804" s="19"/>
      <c r="AC804" s="19"/>
      <c r="AD804" s="19"/>
      <c r="AE804" s="19"/>
      <c r="AF804" s="19"/>
    </row>
    <row r="805" spans="1:32" ht="13.15" x14ac:dyDescent="0.4">
      <c r="A805" s="19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  <c r="AA805" s="19"/>
      <c r="AB805" s="19"/>
      <c r="AC805" s="19"/>
      <c r="AD805" s="19"/>
      <c r="AE805" s="19"/>
      <c r="AF805" s="19"/>
    </row>
    <row r="806" spans="1:32" ht="13.15" x14ac:dyDescent="0.4">
      <c r="A806" s="19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  <c r="AA806" s="19"/>
      <c r="AB806" s="19"/>
      <c r="AC806" s="19"/>
      <c r="AD806" s="19"/>
      <c r="AE806" s="19"/>
      <c r="AF806" s="19"/>
    </row>
    <row r="807" spans="1:32" ht="13.15" x14ac:dyDescent="0.4">
      <c r="A807" s="19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  <c r="AA807" s="19"/>
      <c r="AB807" s="19"/>
      <c r="AC807" s="19"/>
      <c r="AD807" s="19"/>
      <c r="AE807" s="19"/>
      <c r="AF807" s="19"/>
    </row>
    <row r="808" spans="1:32" ht="13.15" x14ac:dyDescent="0.4">
      <c r="A808" s="19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  <c r="AA808" s="19"/>
      <c r="AB808" s="19"/>
      <c r="AC808" s="19"/>
      <c r="AD808" s="19"/>
      <c r="AE808" s="19"/>
      <c r="AF808" s="19"/>
    </row>
    <row r="809" spans="1:32" ht="13.15" x14ac:dyDescent="0.4">
      <c r="A809" s="19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  <c r="AA809" s="19"/>
      <c r="AB809" s="19"/>
      <c r="AC809" s="19"/>
      <c r="AD809" s="19"/>
      <c r="AE809" s="19"/>
      <c r="AF809" s="19"/>
    </row>
    <row r="810" spans="1:32" ht="13.15" x14ac:dyDescent="0.4">
      <c r="A810" s="19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  <c r="AA810" s="19"/>
      <c r="AB810" s="19"/>
      <c r="AC810" s="19"/>
      <c r="AD810" s="19"/>
      <c r="AE810" s="19"/>
      <c r="AF810" s="19"/>
    </row>
    <row r="811" spans="1:32" ht="13.15" x14ac:dyDescent="0.4">
      <c r="A811" s="19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  <c r="AA811" s="19"/>
      <c r="AB811" s="19"/>
      <c r="AC811" s="19"/>
      <c r="AD811" s="19"/>
      <c r="AE811" s="19"/>
      <c r="AF811" s="19"/>
    </row>
    <row r="812" spans="1:32" ht="13.15" x14ac:dyDescent="0.4">
      <c r="A812" s="19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  <c r="AA812" s="19"/>
      <c r="AB812" s="19"/>
      <c r="AC812" s="19"/>
      <c r="AD812" s="19"/>
      <c r="AE812" s="19"/>
      <c r="AF812" s="19"/>
    </row>
    <row r="813" spans="1:32" ht="13.15" x14ac:dyDescent="0.4">
      <c r="A813" s="19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  <c r="AA813" s="19"/>
      <c r="AB813" s="19"/>
      <c r="AC813" s="19"/>
      <c r="AD813" s="19"/>
      <c r="AE813" s="19"/>
      <c r="AF813" s="19"/>
    </row>
    <row r="814" spans="1:32" ht="13.15" x14ac:dyDescent="0.4">
      <c r="A814" s="19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  <c r="AA814" s="19"/>
      <c r="AB814" s="19"/>
      <c r="AC814" s="19"/>
      <c r="AD814" s="19"/>
      <c r="AE814" s="19"/>
      <c r="AF814" s="19"/>
    </row>
    <row r="815" spans="1:32" ht="13.15" x14ac:dyDescent="0.4">
      <c r="A815" s="19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  <c r="AA815" s="19"/>
      <c r="AB815" s="19"/>
      <c r="AC815" s="19"/>
      <c r="AD815" s="19"/>
      <c r="AE815" s="19"/>
      <c r="AF815" s="19"/>
    </row>
    <row r="816" spans="1:32" ht="13.15" x14ac:dyDescent="0.4">
      <c r="A816" s="19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  <c r="AA816" s="19"/>
      <c r="AB816" s="19"/>
      <c r="AC816" s="19"/>
      <c r="AD816" s="19"/>
      <c r="AE816" s="19"/>
      <c r="AF816" s="19"/>
    </row>
    <row r="817" spans="1:32" ht="13.15" x14ac:dyDescent="0.4">
      <c r="A817" s="19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  <c r="AA817" s="19"/>
      <c r="AB817" s="19"/>
      <c r="AC817" s="19"/>
      <c r="AD817" s="19"/>
      <c r="AE817" s="19"/>
      <c r="AF817" s="19"/>
    </row>
    <row r="818" spans="1:32" ht="13.15" x14ac:dyDescent="0.4">
      <c r="A818" s="19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  <c r="AA818" s="19"/>
      <c r="AB818" s="19"/>
      <c r="AC818" s="19"/>
      <c r="AD818" s="19"/>
      <c r="AE818" s="19"/>
      <c r="AF818" s="19"/>
    </row>
    <row r="819" spans="1:32" ht="13.15" x14ac:dyDescent="0.4">
      <c r="A819" s="19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  <c r="AA819" s="19"/>
      <c r="AB819" s="19"/>
      <c r="AC819" s="19"/>
      <c r="AD819" s="19"/>
      <c r="AE819" s="19"/>
      <c r="AF819" s="19"/>
    </row>
    <row r="820" spans="1:32" ht="13.15" x14ac:dyDescent="0.4">
      <c r="A820" s="19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  <c r="AA820" s="19"/>
      <c r="AB820" s="19"/>
      <c r="AC820" s="19"/>
      <c r="AD820" s="19"/>
      <c r="AE820" s="19"/>
      <c r="AF820" s="19"/>
    </row>
    <row r="821" spans="1:32" ht="13.15" x14ac:dyDescent="0.4">
      <c r="A821" s="19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  <c r="AA821" s="19"/>
      <c r="AB821" s="19"/>
      <c r="AC821" s="19"/>
      <c r="AD821" s="19"/>
      <c r="AE821" s="19"/>
      <c r="AF821" s="19"/>
    </row>
    <row r="822" spans="1:32" ht="13.15" x14ac:dyDescent="0.4">
      <c r="A822" s="19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  <c r="AA822" s="19"/>
      <c r="AB822" s="19"/>
      <c r="AC822" s="19"/>
      <c r="AD822" s="19"/>
      <c r="AE822" s="19"/>
      <c r="AF822" s="19"/>
    </row>
    <row r="823" spans="1:32" ht="13.15" x14ac:dyDescent="0.4">
      <c r="A823" s="19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  <c r="AA823" s="19"/>
      <c r="AB823" s="19"/>
      <c r="AC823" s="19"/>
      <c r="AD823" s="19"/>
      <c r="AE823" s="19"/>
      <c r="AF823" s="19"/>
    </row>
    <row r="824" spans="1:32" ht="13.15" x14ac:dyDescent="0.4">
      <c r="A824" s="19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  <c r="AA824" s="19"/>
      <c r="AB824" s="19"/>
      <c r="AC824" s="19"/>
      <c r="AD824" s="19"/>
      <c r="AE824" s="19"/>
      <c r="AF824" s="19"/>
    </row>
    <row r="825" spans="1:32" ht="13.15" x14ac:dyDescent="0.4">
      <c r="A825" s="19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  <c r="AA825" s="19"/>
      <c r="AB825" s="19"/>
      <c r="AC825" s="19"/>
      <c r="AD825" s="19"/>
      <c r="AE825" s="19"/>
      <c r="AF825" s="19"/>
    </row>
    <row r="826" spans="1:32" ht="13.15" x14ac:dyDescent="0.4">
      <c r="A826" s="19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  <c r="AA826" s="19"/>
      <c r="AB826" s="19"/>
      <c r="AC826" s="19"/>
      <c r="AD826" s="19"/>
      <c r="AE826" s="19"/>
      <c r="AF826" s="19"/>
    </row>
    <row r="827" spans="1:32" ht="13.15" x14ac:dyDescent="0.4">
      <c r="A827" s="19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  <c r="AA827" s="19"/>
      <c r="AB827" s="19"/>
      <c r="AC827" s="19"/>
      <c r="AD827" s="19"/>
      <c r="AE827" s="19"/>
      <c r="AF827" s="19"/>
    </row>
    <row r="828" spans="1:32" ht="13.15" x14ac:dyDescent="0.4">
      <c r="A828" s="19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  <c r="AA828" s="19"/>
      <c r="AB828" s="19"/>
      <c r="AC828" s="19"/>
      <c r="AD828" s="19"/>
      <c r="AE828" s="19"/>
      <c r="AF828" s="19"/>
    </row>
    <row r="829" spans="1:32" ht="13.15" x14ac:dyDescent="0.4">
      <c r="A829" s="19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  <c r="AA829" s="19"/>
      <c r="AB829" s="19"/>
      <c r="AC829" s="19"/>
      <c r="AD829" s="19"/>
      <c r="AE829" s="19"/>
      <c r="AF829" s="19"/>
    </row>
    <row r="830" spans="1:32" ht="13.15" x14ac:dyDescent="0.4">
      <c r="A830" s="19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  <c r="AA830" s="19"/>
      <c r="AB830" s="19"/>
      <c r="AC830" s="19"/>
      <c r="AD830" s="19"/>
      <c r="AE830" s="19"/>
      <c r="AF830" s="19"/>
    </row>
    <row r="831" spans="1:32" ht="13.15" x14ac:dyDescent="0.4">
      <c r="A831" s="19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  <c r="AA831" s="19"/>
      <c r="AB831" s="19"/>
      <c r="AC831" s="19"/>
      <c r="AD831" s="19"/>
      <c r="AE831" s="19"/>
      <c r="AF831" s="19"/>
    </row>
    <row r="832" spans="1:32" ht="13.15" x14ac:dyDescent="0.4">
      <c r="A832" s="19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  <c r="AA832" s="19"/>
      <c r="AB832" s="19"/>
      <c r="AC832" s="19"/>
      <c r="AD832" s="19"/>
      <c r="AE832" s="19"/>
      <c r="AF832" s="19"/>
    </row>
    <row r="833" spans="1:32" ht="13.15" x14ac:dyDescent="0.4">
      <c r="A833" s="19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  <c r="AA833" s="19"/>
      <c r="AB833" s="19"/>
      <c r="AC833" s="19"/>
      <c r="AD833" s="19"/>
      <c r="AE833" s="19"/>
      <c r="AF833" s="19"/>
    </row>
    <row r="834" spans="1:32" ht="13.15" x14ac:dyDescent="0.4">
      <c r="A834" s="19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  <c r="AA834" s="19"/>
      <c r="AB834" s="19"/>
      <c r="AC834" s="19"/>
      <c r="AD834" s="19"/>
      <c r="AE834" s="19"/>
      <c r="AF834" s="19"/>
    </row>
    <row r="835" spans="1:32" ht="13.15" x14ac:dyDescent="0.4">
      <c r="A835" s="19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  <c r="AA835" s="19"/>
      <c r="AB835" s="19"/>
      <c r="AC835" s="19"/>
      <c r="AD835" s="19"/>
      <c r="AE835" s="19"/>
      <c r="AF835" s="19"/>
    </row>
    <row r="836" spans="1:32" ht="13.15" x14ac:dyDescent="0.4">
      <c r="A836" s="19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  <c r="AA836" s="19"/>
      <c r="AB836" s="19"/>
      <c r="AC836" s="19"/>
      <c r="AD836" s="19"/>
      <c r="AE836" s="19"/>
      <c r="AF836" s="19"/>
    </row>
    <row r="837" spans="1:32" ht="13.15" x14ac:dyDescent="0.4">
      <c r="A837" s="19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  <c r="AA837" s="19"/>
      <c r="AB837" s="19"/>
      <c r="AC837" s="19"/>
      <c r="AD837" s="19"/>
      <c r="AE837" s="19"/>
      <c r="AF837" s="19"/>
    </row>
    <row r="838" spans="1:32" ht="13.15" x14ac:dyDescent="0.4">
      <c r="A838" s="19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  <c r="AA838" s="19"/>
      <c r="AB838" s="19"/>
      <c r="AC838" s="19"/>
      <c r="AD838" s="19"/>
      <c r="AE838" s="19"/>
      <c r="AF838" s="19"/>
    </row>
    <row r="839" spans="1:32" ht="13.15" x14ac:dyDescent="0.4">
      <c r="A839" s="19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  <c r="AA839" s="19"/>
      <c r="AB839" s="19"/>
      <c r="AC839" s="19"/>
      <c r="AD839" s="19"/>
      <c r="AE839" s="19"/>
      <c r="AF839" s="19"/>
    </row>
    <row r="840" spans="1:32" ht="13.15" x14ac:dyDescent="0.4">
      <c r="A840" s="19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  <c r="AA840" s="19"/>
      <c r="AB840" s="19"/>
      <c r="AC840" s="19"/>
      <c r="AD840" s="19"/>
      <c r="AE840" s="19"/>
      <c r="AF840" s="19"/>
    </row>
    <row r="841" spans="1:32" ht="13.15" x14ac:dyDescent="0.4">
      <c r="A841" s="19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  <c r="AA841" s="19"/>
      <c r="AB841" s="19"/>
      <c r="AC841" s="19"/>
      <c r="AD841" s="19"/>
      <c r="AE841" s="19"/>
      <c r="AF841" s="19"/>
    </row>
    <row r="842" spans="1:32" ht="13.15" x14ac:dyDescent="0.4">
      <c r="A842" s="19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  <c r="AA842" s="19"/>
      <c r="AB842" s="19"/>
      <c r="AC842" s="19"/>
      <c r="AD842" s="19"/>
      <c r="AE842" s="19"/>
      <c r="AF842" s="19"/>
    </row>
    <row r="843" spans="1:32" ht="13.15" x14ac:dyDescent="0.4">
      <c r="A843" s="19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  <c r="AA843" s="19"/>
      <c r="AB843" s="19"/>
      <c r="AC843" s="19"/>
      <c r="AD843" s="19"/>
      <c r="AE843" s="19"/>
      <c r="AF843" s="19"/>
    </row>
    <row r="844" spans="1:32" ht="13.15" x14ac:dyDescent="0.4">
      <c r="A844" s="19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  <c r="AA844" s="19"/>
      <c r="AB844" s="19"/>
      <c r="AC844" s="19"/>
      <c r="AD844" s="19"/>
      <c r="AE844" s="19"/>
      <c r="AF844" s="19"/>
    </row>
    <row r="845" spans="1:32" ht="13.15" x14ac:dyDescent="0.4">
      <c r="A845" s="19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  <c r="AA845" s="19"/>
      <c r="AB845" s="19"/>
      <c r="AC845" s="19"/>
      <c r="AD845" s="19"/>
      <c r="AE845" s="19"/>
      <c r="AF845" s="19"/>
    </row>
    <row r="846" spans="1:32" ht="13.15" x14ac:dyDescent="0.4">
      <c r="A846" s="19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  <c r="AA846" s="19"/>
      <c r="AB846" s="19"/>
      <c r="AC846" s="19"/>
      <c r="AD846" s="19"/>
      <c r="AE846" s="19"/>
      <c r="AF846" s="19"/>
    </row>
    <row r="847" spans="1:32" ht="13.15" x14ac:dyDescent="0.4">
      <c r="A847" s="19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  <c r="AA847" s="19"/>
      <c r="AB847" s="19"/>
      <c r="AC847" s="19"/>
      <c r="AD847" s="19"/>
      <c r="AE847" s="19"/>
      <c r="AF847" s="19"/>
    </row>
    <row r="848" spans="1:32" ht="13.15" x14ac:dyDescent="0.4">
      <c r="A848" s="19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  <c r="AA848" s="19"/>
      <c r="AB848" s="19"/>
      <c r="AC848" s="19"/>
      <c r="AD848" s="19"/>
      <c r="AE848" s="19"/>
      <c r="AF848" s="19"/>
    </row>
    <row r="849" spans="1:32" ht="13.15" x14ac:dyDescent="0.4">
      <c r="A849" s="19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  <c r="AA849" s="19"/>
      <c r="AB849" s="19"/>
      <c r="AC849" s="19"/>
      <c r="AD849" s="19"/>
      <c r="AE849" s="19"/>
      <c r="AF849" s="19"/>
    </row>
    <row r="850" spans="1:32" ht="13.15" x14ac:dyDescent="0.4">
      <c r="A850" s="19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  <c r="AA850" s="19"/>
      <c r="AB850" s="19"/>
      <c r="AC850" s="19"/>
      <c r="AD850" s="19"/>
      <c r="AE850" s="19"/>
      <c r="AF850" s="19"/>
    </row>
    <row r="851" spans="1:32" ht="13.15" x14ac:dyDescent="0.4">
      <c r="A851" s="19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  <c r="AA851" s="19"/>
      <c r="AB851" s="19"/>
      <c r="AC851" s="19"/>
      <c r="AD851" s="19"/>
      <c r="AE851" s="19"/>
      <c r="AF851" s="19"/>
    </row>
    <row r="852" spans="1:32" ht="13.15" x14ac:dyDescent="0.4">
      <c r="A852" s="19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  <c r="AA852" s="19"/>
      <c r="AB852" s="19"/>
      <c r="AC852" s="19"/>
      <c r="AD852" s="19"/>
      <c r="AE852" s="19"/>
      <c r="AF852" s="19"/>
    </row>
    <row r="853" spans="1:32" ht="13.15" x14ac:dyDescent="0.4">
      <c r="A853" s="19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  <c r="AA853" s="19"/>
      <c r="AB853" s="19"/>
      <c r="AC853" s="19"/>
      <c r="AD853" s="19"/>
      <c r="AE853" s="19"/>
      <c r="AF853" s="19"/>
    </row>
    <row r="854" spans="1:32" ht="13.15" x14ac:dyDescent="0.4">
      <c r="A854" s="19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  <c r="AA854" s="19"/>
      <c r="AB854" s="19"/>
      <c r="AC854" s="19"/>
      <c r="AD854" s="19"/>
      <c r="AE854" s="19"/>
      <c r="AF854" s="19"/>
    </row>
    <row r="855" spans="1:32" ht="13.15" x14ac:dyDescent="0.4">
      <c r="A855" s="19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  <c r="AA855" s="19"/>
      <c r="AB855" s="19"/>
      <c r="AC855" s="19"/>
      <c r="AD855" s="19"/>
      <c r="AE855" s="19"/>
      <c r="AF855" s="19"/>
    </row>
    <row r="856" spans="1:32" ht="13.15" x14ac:dyDescent="0.4">
      <c r="A856" s="19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  <c r="AA856" s="19"/>
      <c r="AB856" s="19"/>
      <c r="AC856" s="19"/>
      <c r="AD856" s="19"/>
      <c r="AE856" s="19"/>
      <c r="AF856" s="19"/>
    </row>
    <row r="857" spans="1:32" ht="13.15" x14ac:dyDescent="0.4">
      <c r="A857" s="19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  <c r="AA857" s="19"/>
      <c r="AB857" s="19"/>
      <c r="AC857" s="19"/>
      <c r="AD857" s="19"/>
      <c r="AE857" s="19"/>
      <c r="AF857" s="19"/>
    </row>
    <row r="858" spans="1:32" ht="13.15" x14ac:dyDescent="0.4">
      <c r="A858" s="19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  <c r="AA858" s="19"/>
      <c r="AB858" s="19"/>
      <c r="AC858" s="19"/>
      <c r="AD858" s="19"/>
      <c r="AE858" s="19"/>
      <c r="AF858" s="19"/>
    </row>
    <row r="859" spans="1:32" ht="13.15" x14ac:dyDescent="0.4">
      <c r="A859" s="19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  <c r="AA859" s="19"/>
      <c r="AB859" s="19"/>
      <c r="AC859" s="19"/>
      <c r="AD859" s="19"/>
      <c r="AE859" s="19"/>
      <c r="AF859" s="19"/>
    </row>
    <row r="860" spans="1:32" ht="13.15" x14ac:dyDescent="0.4">
      <c r="A860" s="19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  <c r="AA860" s="19"/>
      <c r="AB860" s="19"/>
      <c r="AC860" s="19"/>
      <c r="AD860" s="19"/>
      <c r="AE860" s="19"/>
      <c r="AF860" s="19"/>
    </row>
    <row r="861" spans="1:32" ht="13.15" x14ac:dyDescent="0.4">
      <c r="A861" s="19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  <c r="AA861" s="19"/>
      <c r="AB861" s="19"/>
      <c r="AC861" s="19"/>
      <c r="AD861" s="19"/>
      <c r="AE861" s="19"/>
      <c r="AF861" s="19"/>
    </row>
    <row r="862" spans="1:32" ht="13.15" x14ac:dyDescent="0.4">
      <c r="A862" s="19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  <c r="AA862" s="19"/>
      <c r="AB862" s="19"/>
      <c r="AC862" s="19"/>
      <c r="AD862" s="19"/>
      <c r="AE862" s="19"/>
      <c r="AF862" s="19"/>
    </row>
    <row r="863" spans="1:32" ht="13.15" x14ac:dyDescent="0.4">
      <c r="A863" s="19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  <c r="AA863" s="19"/>
      <c r="AB863" s="19"/>
      <c r="AC863" s="19"/>
      <c r="AD863" s="19"/>
      <c r="AE863" s="19"/>
      <c r="AF863" s="19"/>
    </row>
    <row r="864" spans="1:32" ht="13.15" x14ac:dyDescent="0.4">
      <c r="A864" s="19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  <c r="AA864" s="19"/>
      <c r="AB864" s="19"/>
      <c r="AC864" s="19"/>
      <c r="AD864" s="19"/>
      <c r="AE864" s="19"/>
      <c r="AF864" s="19"/>
    </row>
    <row r="865" spans="1:32" ht="13.15" x14ac:dyDescent="0.4">
      <c r="A865" s="19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  <c r="AA865" s="19"/>
      <c r="AB865" s="19"/>
      <c r="AC865" s="19"/>
      <c r="AD865" s="19"/>
      <c r="AE865" s="19"/>
      <c r="AF865" s="19"/>
    </row>
    <row r="866" spans="1:32" ht="13.15" x14ac:dyDescent="0.4">
      <c r="A866" s="19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  <c r="AA866" s="19"/>
      <c r="AB866" s="19"/>
      <c r="AC866" s="19"/>
      <c r="AD866" s="19"/>
      <c r="AE866" s="19"/>
      <c r="AF866" s="19"/>
    </row>
    <row r="867" spans="1:32" ht="13.15" x14ac:dyDescent="0.4">
      <c r="A867" s="19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  <c r="AA867" s="19"/>
      <c r="AB867" s="19"/>
      <c r="AC867" s="19"/>
      <c r="AD867" s="19"/>
      <c r="AE867" s="19"/>
      <c r="AF867" s="19"/>
    </row>
    <row r="868" spans="1:32" ht="13.15" x14ac:dyDescent="0.4">
      <c r="A868" s="19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  <c r="AA868" s="19"/>
      <c r="AB868" s="19"/>
      <c r="AC868" s="19"/>
      <c r="AD868" s="19"/>
      <c r="AE868" s="19"/>
      <c r="AF868" s="19"/>
    </row>
    <row r="869" spans="1:32" ht="13.15" x14ac:dyDescent="0.4">
      <c r="A869" s="19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  <c r="AA869" s="19"/>
      <c r="AB869" s="19"/>
      <c r="AC869" s="19"/>
      <c r="AD869" s="19"/>
      <c r="AE869" s="19"/>
      <c r="AF869" s="19"/>
    </row>
    <row r="870" spans="1:32" ht="13.15" x14ac:dyDescent="0.4">
      <c r="A870" s="19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  <c r="AA870" s="19"/>
      <c r="AB870" s="19"/>
      <c r="AC870" s="19"/>
      <c r="AD870" s="19"/>
      <c r="AE870" s="19"/>
      <c r="AF870" s="19"/>
    </row>
    <row r="871" spans="1:32" ht="13.15" x14ac:dyDescent="0.4">
      <c r="A871" s="19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  <c r="AA871" s="19"/>
      <c r="AB871" s="19"/>
      <c r="AC871" s="19"/>
      <c r="AD871" s="19"/>
      <c r="AE871" s="19"/>
      <c r="AF871" s="19"/>
    </row>
    <row r="872" spans="1:32" ht="13.15" x14ac:dyDescent="0.4">
      <c r="A872" s="19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  <c r="AA872" s="19"/>
      <c r="AB872" s="19"/>
      <c r="AC872" s="19"/>
      <c r="AD872" s="19"/>
      <c r="AE872" s="19"/>
      <c r="AF872" s="19"/>
    </row>
    <row r="873" spans="1:32" ht="13.15" x14ac:dyDescent="0.4">
      <c r="A873" s="19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  <c r="AA873" s="19"/>
      <c r="AB873" s="19"/>
      <c r="AC873" s="19"/>
      <c r="AD873" s="19"/>
      <c r="AE873" s="19"/>
      <c r="AF873" s="19"/>
    </row>
    <row r="874" spans="1:32" ht="13.15" x14ac:dyDescent="0.4">
      <c r="A874" s="19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  <c r="AA874" s="19"/>
      <c r="AB874" s="19"/>
      <c r="AC874" s="19"/>
      <c r="AD874" s="19"/>
      <c r="AE874" s="19"/>
      <c r="AF874" s="19"/>
    </row>
    <row r="875" spans="1:32" ht="13.15" x14ac:dyDescent="0.4">
      <c r="A875" s="19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  <c r="AA875" s="19"/>
      <c r="AB875" s="19"/>
      <c r="AC875" s="19"/>
      <c r="AD875" s="19"/>
      <c r="AE875" s="19"/>
      <c r="AF875" s="19"/>
    </row>
    <row r="876" spans="1:32" ht="13.15" x14ac:dyDescent="0.4">
      <c r="A876" s="19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  <c r="AA876" s="19"/>
      <c r="AB876" s="19"/>
      <c r="AC876" s="19"/>
      <c r="AD876" s="19"/>
      <c r="AE876" s="19"/>
      <c r="AF876" s="19"/>
    </row>
    <row r="877" spans="1:32" ht="13.15" x14ac:dyDescent="0.4">
      <c r="A877" s="19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  <c r="AA877" s="19"/>
      <c r="AB877" s="19"/>
      <c r="AC877" s="19"/>
      <c r="AD877" s="19"/>
      <c r="AE877" s="19"/>
      <c r="AF877" s="19"/>
    </row>
    <row r="878" spans="1:32" ht="13.15" x14ac:dyDescent="0.4">
      <c r="A878" s="19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  <c r="AA878" s="19"/>
      <c r="AB878" s="19"/>
      <c r="AC878" s="19"/>
      <c r="AD878" s="19"/>
      <c r="AE878" s="19"/>
      <c r="AF878" s="19"/>
    </row>
    <row r="879" spans="1:32" ht="13.15" x14ac:dyDescent="0.4">
      <c r="A879" s="19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  <c r="AA879" s="19"/>
      <c r="AB879" s="19"/>
      <c r="AC879" s="19"/>
      <c r="AD879" s="19"/>
      <c r="AE879" s="19"/>
      <c r="AF879" s="19"/>
    </row>
    <row r="880" spans="1:32" ht="13.15" x14ac:dyDescent="0.4">
      <c r="A880" s="19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  <c r="AA880" s="19"/>
      <c r="AB880" s="19"/>
      <c r="AC880" s="19"/>
      <c r="AD880" s="19"/>
      <c r="AE880" s="19"/>
      <c r="AF880" s="19"/>
    </row>
    <row r="881" spans="1:32" ht="13.15" x14ac:dyDescent="0.4">
      <c r="A881" s="19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  <c r="AA881" s="19"/>
      <c r="AB881" s="19"/>
      <c r="AC881" s="19"/>
      <c r="AD881" s="19"/>
      <c r="AE881" s="19"/>
      <c r="AF881" s="19"/>
    </row>
    <row r="882" spans="1:32" ht="13.15" x14ac:dyDescent="0.4">
      <c r="A882" s="19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  <c r="AA882" s="19"/>
      <c r="AB882" s="19"/>
      <c r="AC882" s="19"/>
      <c r="AD882" s="19"/>
      <c r="AE882" s="19"/>
      <c r="AF882" s="19"/>
    </row>
    <row r="883" spans="1:32" ht="13.15" x14ac:dyDescent="0.4">
      <c r="A883" s="19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  <c r="AA883" s="19"/>
      <c r="AB883" s="19"/>
      <c r="AC883" s="19"/>
      <c r="AD883" s="19"/>
      <c r="AE883" s="19"/>
      <c r="AF883" s="19"/>
    </row>
    <row r="884" spans="1:32" ht="13.15" x14ac:dyDescent="0.4">
      <c r="A884" s="19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  <c r="AA884" s="19"/>
      <c r="AB884" s="19"/>
      <c r="AC884" s="19"/>
      <c r="AD884" s="19"/>
      <c r="AE884" s="19"/>
      <c r="AF884" s="19"/>
    </row>
    <row r="885" spans="1:32" ht="13.15" x14ac:dyDescent="0.4">
      <c r="A885" s="19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  <c r="AA885" s="19"/>
      <c r="AB885" s="19"/>
      <c r="AC885" s="19"/>
      <c r="AD885" s="19"/>
      <c r="AE885" s="19"/>
      <c r="AF885" s="19"/>
    </row>
    <row r="886" spans="1:32" ht="13.15" x14ac:dyDescent="0.4">
      <c r="A886" s="19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  <c r="AA886" s="19"/>
      <c r="AB886" s="19"/>
      <c r="AC886" s="19"/>
      <c r="AD886" s="19"/>
      <c r="AE886" s="19"/>
      <c r="AF886" s="19"/>
    </row>
    <row r="887" spans="1:32" ht="13.15" x14ac:dyDescent="0.4">
      <c r="A887" s="19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  <c r="AA887" s="19"/>
      <c r="AB887" s="19"/>
      <c r="AC887" s="19"/>
      <c r="AD887" s="19"/>
      <c r="AE887" s="19"/>
      <c r="AF887" s="19"/>
    </row>
    <row r="888" spans="1:32" ht="13.15" x14ac:dyDescent="0.4">
      <c r="A888" s="19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  <c r="AA888" s="19"/>
      <c r="AB888" s="19"/>
      <c r="AC888" s="19"/>
      <c r="AD888" s="19"/>
      <c r="AE888" s="19"/>
      <c r="AF888" s="19"/>
    </row>
    <row r="889" spans="1:32" ht="13.15" x14ac:dyDescent="0.4">
      <c r="A889" s="19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  <c r="AA889" s="19"/>
      <c r="AB889" s="19"/>
      <c r="AC889" s="19"/>
      <c r="AD889" s="19"/>
      <c r="AE889" s="19"/>
      <c r="AF889" s="19"/>
    </row>
    <row r="890" spans="1:32" ht="13.15" x14ac:dyDescent="0.4">
      <c r="A890" s="19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  <c r="AA890" s="19"/>
      <c r="AB890" s="19"/>
      <c r="AC890" s="19"/>
      <c r="AD890" s="19"/>
      <c r="AE890" s="19"/>
      <c r="AF890" s="19"/>
    </row>
    <row r="891" spans="1:32" ht="13.15" x14ac:dyDescent="0.4">
      <c r="A891" s="19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  <c r="AA891" s="19"/>
      <c r="AB891" s="19"/>
      <c r="AC891" s="19"/>
      <c r="AD891" s="19"/>
      <c r="AE891" s="19"/>
      <c r="AF891" s="19"/>
    </row>
    <row r="892" spans="1:32" ht="13.15" x14ac:dyDescent="0.4">
      <c r="A892" s="19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  <c r="AA892" s="19"/>
      <c r="AB892" s="19"/>
      <c r="AC892" s="19"/>
      <c r="AD892" s="19"/>
      <c r="AE892" s="19"/>
      <c r="AF892" s="19"/>
    </row>
    <row r="893" spans="1:32" ht="13.15" x14ac:dyDescent="0.4">
      <c r="A893" s="19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  <c r="AA893" s="19"/>
      <c r="AB893" s="19"/>
      <c r="AC893" s="19"/>
      <c r="AD893" s="19"/>
      <c r="AE893" s="19"/>
      <c r="AF893" s="19"/>
    </row>
    <row r="894" spans="1:32" ht="13.15" x14ac:dyDescent="0.4">
      <c r="A894" s="19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  <c r="AA894" s="19"/>
      <c r="AB894" s="19"/>
      <c r="AC894" s="19"/>
      <c r="AD894" s="19"/>
      <c r="AE894" s="19"/>
      <c r="AF894" s="19"/>
    </row>
    <row r="895" spans="1:32" ht="13.15" x14ac:dyDescent="0.4">
      <c r="A895" s="19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  <c r="AA895" s="19"/>
      <c r="AB895" s="19"/>
      <c r="AC895" s="19"/>
      <c r="AD895" s="19"/>
      <c r="AE895" s="19"/>
      <c r="AF895" s="19"/>
    </row>
    <row r="896" spans="1:32" ht="13.15" x14ac:dyDescent="0.4">
      <c r="A896" s="19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  <c r="AA896" s="19"/>
      <c r="AB896" s="19"/>
      <c r="AC896" s="19"/>
      <c r="AD896" s="19"/>
      <c r="AE896" s="19"/>
      <c r="AF896" s="19"/>
    </row>
    <row r="897" spans="1:32" ht="13.15" x14ac:dyDescent="0.4">
      <c r="A897" s="19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  <c r="AA897" s="19"/>
      <c r="AB897" s="19"/>
      <c r="AC897" s="19"/>
      <c r="AD897" s="19"/>
      <c r="AE897" s="19"/>
      <c r="AF897" s="19"/>
    </row>
    <row r="898" spans="1:32" ht="13.15" x14ac:dyDescent="0.4">
      <c r="A898" s="19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  <c r="AA898" s="19"/>
      <c r="AB898" s="19"/>
      <c r="AC898" s="19"/>
      <c r="AD898" s="19"/>
      <c r="AE898" s="19"/>
      <c r="AF898" s="19"/>
    </row>
    <row r="899" spans="1:32" ht="13.15" x14ac:dyDescent="0.4">
      <c r="A899" s="19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  <c r="AA899" s="19"/>
      <c r="AB899" s="19"/>
      <c r="AC899" s="19"/>
      <c r="AD899" s="19"/>
      <c r="AE899" s="19"/>
      <c r="AF899" s="19"/>
    </row>
    <row r="900" spans="1:32" ht="13.15" x14ac:dyDescent="0.4">
      <c r="A900" s="19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  <c r="AA900" s="19"/>
      <c r="AB900" s="19"/>
      <c r="AC900" s="19"/>
      <c r="AD900" s="19"/>
      <c r="AE900" s="19"/>
      <c r="AF900" s="19"/>
    </row>
    <row r="901" spans="1:32" ht="13.15" x14ac:dyDescent="0.4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  <c r="AA901" s="19"/>
      <c r="AB901" s="19"/>
      <c r="AC901" s="19"/>
      <c r="AD901" s="19"/>
      <c r="AE901" s="19"/>
      <c r="AF901" s="19"/>
    </row>
    <row r="902" spans="1:32" ht="13.15" x14ac:dyDescent="0.4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  <c r="AA902" s="19"/>
      <c r="AB902" s="19"/>
      <c r="AC902" s="19"/>
      <c r="AD902" s="19"/>
      <c r="AE902" s="19"/>
      <c r="AF902" s="19"/>
    </row>
    <row r="903" spans="1:32" ht="13.15" x14ac:dyDescent="0.4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  <c r="AA903" s="19"/>
      <c r="AB903" s="19"/>
      <c r="AC903" s="19"/>
      <c r="AD903" s="19"/>
      <c r="AE903" s="19"/>
      <c r="AF903" s="19"/>
    </row>
    <row r="904" spans="1:32" ht="13.15" x14ac:dyDescent="0.4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  <c r="AA904" s="19"/>
      <c r="AB904" s="19"/>
      <c r="AC904" s="19"/>
      <c r="AD904" s="19"/>
      <c r="AE904" s="19"/>
      <c r="AF904" s="19"/>
    </row>
    <row r="905" spans="1:32" ht="13.15" x14ac:dyDescent="0.4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  <c r="AA905" s="19"/>
      <c r="AB905" s="19"/>
      <c r="AC905" s="19"/>
      <c r="AD905" s="19"/>
      <c r="AE905" s="19"/>
      <c r="AF905" s="19"/>
    </row>
    <row r="906" spans="1:32" ht="13.15" x14ac:dyDescent="0.4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  <c r="AA906" s="19"/>
      <c r="AB906" s="19"/>
      <c r="AC906" s="19"/>
      <c r="AD906" s="19"/>
      <c r="AE906" s="19"/>
      <c r="AF906" s="19"/>
    </row>
    <row r="907" spans="1:32" ht="13.15" x14ac:dyDescent="0.4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  <c r="AA907" s="19"/>
      <c r="AB907" s="19"/>
      <c r="AC907" s="19"/>
      <c r="AD907" s="19"/>
      <c r="AE907" s="19"/>
      <c r="AF907" s="19"/>
    </row>
    <row r="908" spans="1:32" ht="13.15" x14ac:dyDescent="0.4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  <c r="AA908" s="19"/>
      <c r="AB908" s="19"/>
      <c r="AC908" s="19"/>
      <c r="AD908" s="19"/>
      <c r="AE908" s="19"/>
      <c r="AF908" s="19"/>
    </row>
    <row r="909" spans="1:32" ht="13.15" x14ac:dyDescent="0.4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  <c r="AA909" s="19"/>
      <c r="AB909" s="19"/>
      <c r="AC909" s="19"/>
      <c r="AD909" s="19"/>
      <c r="AE909" s="19"/>
      <c r="AF909" s="19"/>
    </row>
    <row r="910" spans="1:32" ht="13.15" x14ac:dyDescent="0.4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  <c r="AB910" s="19"/>
      <c r="AC910" s="19"/>
      <c r="AD910" s="19"/>
      <c r="AE910" s="19"/>
      <c r="AF910" s="19"/>
    </row>
    <row r="911" spans="1:32" ht="13.15" x14ac:dyDescent="0.4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  <c r="AA911" s="19"/>
      <c r="AB911" s="19"/>
      <c r="AC911" s="19"/>
      <c r="AD911" s="19"/>
      <c r="AE911" s="19"/>
      <c r="AF911" s="19"/>
    </row>
    <row r="912" spans="1:32" ht="13.15" x14ac:dyDescent="0.4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  <c r="AA912" s="19"/>
      <c r="AB912" s="19"/>
      <c r="AC912" s="19"/>
      <c r="AD912" s="19"/>
      <c r="AE912" s="19"/>
      <c r="AF912" s="19"/>
    </row>
    <row r="913" spans="1:32" ht="13.15" x14ac:dyDescent="0.4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  <c r="AA913" s="19"/>
      <c r="AB913" s="19"/>
      <c r="AC913" s="19"/>
      <c r="AD913" s="19"/>
      <c r="AE913" s="19"/>
      <c r="AF913" s="19"/>
    </row>
    <row r="914" spans="1:32" ht="13.15" x14ac:dyDescent="0.4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  <c r="AA914" s="19"/>
      <c r="AB914" s="19"/>
      <c r="AC914" s="19"/>
      <c r="AD914" s="19"/>
      <c r="AE914" s="19"/>
      <c r="AF914" s="19"/>
    </row>
    <row r="915" spans="1:32" ht="13.15" x14ac:dyDescent="0.4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  <c r="AA915" s="19"/>
      <c r="AB915" s="19"/>
      <c r="AC915" s="19"/>
      <c r="AD915" s="19"/>
      <c r="AE915" s="19"/>
      <c r="AF915" s="19"/>
    </row>
    <row r="916" spans="1:32" ht="13.15" x14ac:dyDescent="0.4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  <c r="AA916" s="19"/>
      <c r="AB916" s="19"/>
      <c r="AC916" s="19"/>
      <c r="AD916" s="19"/>
      <c r="AE916" s="19"/>
      <c r="AF916" s="19"/>
    </row>
    <row r="917" spans="1:32" ht="13.15" x14ac:dyDescent="0.4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  <c r="AA917" s="19"/>
      <c r="AB917" s="19"/>
      <c r="AC917" s="19"/>
      <c r="AD917" s="19"/>
      <c r="AE917" s="19"/>
      <c r="AF917" s="19"/>
    </row>
    <row r="918" spans="1:32" ht="13.15" x14ac:dyDescent="0.4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  <c r="AB918" s="19"/>
      <c r="AC918" s="19"/>
      <c r="AD918" s="19"/>
      <c r="AE918" s="19"/>
      <c r="AF918" s="19"/>
    </row>
    <row r="919" spans="1:32" ht="13.15" x14ac:dyDescent="0.4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  <c r="AA919" s="19"/>
      <c r="AB919" s="19"/>
      <c r="AC919" s="19"/>
      <c r="AD919" s="19"/>
      <c r="AE919" s="19"/>
      <c r="AF919" s="19"/>
    </row>
    <row r="920" spans="1:32" ht="13.15" x14ac:dyDescent="0.4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  <c r="AA920" s="19"/>
      <c r="AB920" s="19"/>
      <c r="AC920" s="19"/>
      <c r="AD920" s="19"/>
      <c r="AE920" s="19"/>
      <c r="AF920" s="19"/>
    </row>
    <row r="921" spans="1:32" ht="13.15" x14ac:dyDescent="0.4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  <c r="AA921" s="19"/>
      <c r="AB921" s="19"/>
      <c r="AC921" s="19"/>
      <c r="AD921" s="19"/>
      <c r="AE921" s="19"/>
      <c r="AF921" s="19"/>
    </row>
    <row r="922" spans="1:32" ht="13.15" x14ac:dyDescent="0.4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  <c r="AA922" s="19"/>
      <c r="AB922" s="19"/>
      <c r="AC922" s="19"/>
      <c r="AD922" s="19"/>
      <c r="AE922" s="19"/>
      <c r="AF922" s="19"/>
    </row>
    <row r="923" spans="1:32" ht="13.15" x14ac:dyDescent="0.4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  <c r="AA923" s="19"/>
      <c r="AB923" s="19"/>
      <c r="AC923" s="19"/>
      <c r="AD923" s="19"/>
      <c r="AE923" s="19"/>
      <c r="AF923" s="19"/>
    </row>
    <row r="924" spans="1:32" ht="13.15" x14ac:dyDescent="0.4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  <c r="AA924" s="19"/>
      <c r="AB924" s="19"/>
      <c r="AC924" s="19"/>
      <c r="AD924" s="19"/>
      <c r="AE924" s="19"/>
      <c r="AF924" s="19"/>
    </row>
    <row r="925" spans="1:32" ht="13.15" x14ac:dyDescent="0.4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  <c r="AA925" s="19"/>
      <c r="AB925" s="19"/>
      <c r="AC925" s="19"/>
      <c r="AD925" s="19"/>
      <c r="AE925" s="19"/>
      <c r="AF925" s="19"/>
    </row>
    <row r="926" spans="1:32" ht="13.15" x14ac:dyDescent="0.4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  <c r="AA926" s="19"/>
      <c r="AB926" s="19"/>
      <c r="AC926" s="19"/>
      <c r="AD926" s="19"/>
      <c r="AE926" s="19"/>
      <c r="AF926" s="19"/>
    </row>
    <row r="927" spans="1:32" ht="13.15" x14ac:dyDescent="0.4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  <c r="AA927" s="19"/>
      <c r="AB927" s="19"/>
      <c r="AC927" s="19"/>
      <c r="AD927" s="19"/>
      <c r="AE927" s="19"/>
      <c r="AF927" s="19"/>
    </row>
    <row r="928" spans="1:32" ht="13.15" x14ac:dyDescent="0.4">
      <c r="A928" s="19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  <c r="AA928" s="19"/>
      <c r="AB928" s="19"/>
      <c r="AC928" s="19"/>
      <c r="AD928" s="19"/>
      <c r="AE928" s="19"/>
      <c r="AF928" s="19"/>
    </row>
    <row r="929" spans="1:32" ht="13.15" x14ac:dyDescent="0.4">
      <c r="A929" s="19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  <c r="AA929" s="19"/>
      <c r="AB929" s="19"/>
      <c r="AC929" s="19"/>
      <c r="AD929" s="19"/>
      <c r="AE929" s="19"/>
      <c r="AF929" s="19"/>
    </row>
    <row r="930" spans="1:32" ht="13.15" x14ac:dyDescent="0.4">
      <c r="A930" s="19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  <c r="AA930" s="19"/>
      <c r="AB930" s="19"/>
      <c r="AC930" s="19"/>
      <c r="AD930" s="19"/>
      <c r="AE930" s="19"/>
      <c r="AF930" s="19"/>
    </row>
    <row r="931" spans="1:32" ht="13.15" x14ac:dyDescent="0.4">
      <c r="A931" s="19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  <c r="AA931" s="19"/>
      <c r="AB931" s="19"/>
      <c r="AC931" s="19"/>
      <c r="AD931" s="19"/>
      <c r="AE931" s="19"/>
      <c r="AF931" s="19"/>
    </row>
    <row r="932" spans="1:32" ht="13.15" x14ac:dyDescent="0.4">
      <c r="A932" s="19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  <c r="AA932" s="19"/>
      <c r="AB932" s="19"/>
      <c r="AC932" s="19"/>
      <c r="AD932" s="19"/>
      <c r="AE932" s="19"/>
      <c r="AF932" s="19"/>
    </row>
    <row r="933" spans="1:32" ht="13.15" x14ac:dyDescent="0.4">
      <c r="A933" s="19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  <c r="AA933" s="19"/>
      <c r="AB933" s="19"/>
      <c r="AC933" s="19"/>
      <c r="AD933" s="19"/>
      <c r="AE933" s="19"/>
      <c r="AF933" s="19"/>
    </row>
    <row r="934" spans="1:32" ht="13.15" x14ac:dyDescent="0.4">
      <c r="A934" s="19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  <c r="AA934" s="19"/>
      <c r="AB934" s="19"/>
      <c r="AC934" s="19"/>
      <c r="AD934" s="19"/>
      <c r="AE934" s="19"/>
      <c r="AF934" s="19"/>
    </row>
    <row r="935" spans="1:32" ht="13.15" x14ac:dyDescent="0.4">
      <c r="A935" s="19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  <c r="AA935" s="19"/>
      <c r="AB935" s="19"/>
      <c r="AC935" s="19"/>
      <c r="AD935" s="19"/>
      <c r="AE935" s="19"/>
      <c r="AF935" s="19"/>
    </row>
    <row r="936" spans="1:32" ht="13.15" x14ac:dyDescent="0.4">
      <c r="A936" s="19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  <c r="AA936" s="19"/>
      <c r="AB936" s="19"/>
      <c r="AC936" s="19"/>
      <c r="AD936" s="19"/>
      <c r="AE936" s="19"/>
      <c r="AF936" s="19"/>
    </row>
    <row r="937" spans="1:32" ht="13.15" x14ac:dyDescent="0.4">
      <c r="A937" s="19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  <c r="AA937" s="19"/>
      <c r="AB937" s="19"/>
      <c r="AC937" s="19"/>
      <c r="AD937" s="19"/>
      <c r="AE937" s="19"/>
      <c r="AF937" s="19"/>
    </row>
    <row r="938" spans="1:32" ht="13.15" x14ac:dyDescent="0.4">
      <c r="A938" s="19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  <c r="AA938" s="19"/>
      <c r="AB938" s="19"/>
      <c r="AC938" s="19"/>
      <c r="AD938" s="19"/>
      <c r="AE938" s="19"/>
      <c r="AF938" s="19"/>
    </row>
    <row r="939" spans="1:32" ht="13.15" x14ac:dyDescent="0.4">
      <c r="A939" s="19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  <c r="AA939" s="19"/>
      <c r="AB939" s="19"/>
      <c r="AC939" s="19"/>
      <c r="AD939" s="19"/>
      <c r="AE939" s="19"/>
      <c r="AF939" s="19"/>
    </row>
    <row r="940" spans="1:32" ht="13.15" x14ac:dyDescent="0.4">
      <c r="A940" s="19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  <c r="AB940" s="19"/>
      <c r="AC940" s="19"/>
      <c r="AD940" s="19"/>
      <c r="AE940" s="19"/>
      <c r="AF940" s="19"/>
    </row>
    <row r="941" spans="1:32" ht="13.15" x14ac:dyDescent="0.4">
      <c r="A941" s="19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  <c r="AA941" s="19"/>
      <c r="AB941" s="19"/>
      <c r="AC941" s="19"/>
      <c r="AD941" s="19"/>
      <c r="AE941" s="19"/>
      <c r="AF941" s="19"/>
    </row>
    <row r="942" spans="1:32" ht="13.15" x14ac:dyDescent="0.4">
      <c r="A942" s="19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  <c r="AA942" s="19"/>
      <c r="AB942" s="19"/>
      <c r="AC942" s="19"/>
      <c r="AD942" s="19"/>
      <c r="AE942" s="19"/>
      <c r="AF942" s="19"/>
    </row>
    <row r="943" spans="1:32" ht="13.15" x14ac:dyDescent="0.4">
      <c r="A943" s="19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  <c r="AA943" s="19"/>
      <c r="AB943" s="19"/>
      <c r="AC943" s="19"/>
      <c r="AD943" s="19"/>
      <c r="AE943" s="19"/>
      <c r="AF943" s="19"/>
    </row>
    <row r="944" spans="1:32" ht="13.15" x14ac:dyDescent="0.4">
      <c r="A944" s="19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  <c r="AA944" s="19"/>
      <c r="AB944" s="19"/>
      <c r="AC944" s="19"/>
      <c r="AD944" s="19"/>
      <c r="AE944" s="19"/>
      <c r="AF944" s="19"/>
    </row>
    <row r="945" spans="1:32" ht="13.15" x14ac:dyDescent="0.4">
      <c r="A945" s="19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  <c r="AA945" s="19"/>
      <c r="AB945" s="19"/>
      <c r="AC945" s="19"/>
      <c r="AD945" s="19"/>
      <c r="AE945" s="19"/>
      <c r="AF945" s="19"/>
    </row>
    <row r="946" spans="1:32" ht="13.15" x14ac:dyDescent="0.4">
      <c r="A946" s="19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  <c r="AA946" s="19"/>
      <c r="AB946" s="19"/>
      <c r="AC946" s="19"/>
      <c r="AD946" s="19"/>
      <c r="AE946" s="19"/>
      <c r="AF946" s="19"/>
    </row>
    <row r="947" spans="1:32" ht="13.15" x14ac:dyDescent="0.4">
      <c r="A947" s="19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  <c r="AA947" s="19"/>
      <c r="AB947" s="19"/>
      <c r="AC947" s="19"/>
      <c r="AD947" s="19"/>
      <c r="AE947" s="19"/>
      <c r="AF947" s="19"/>
    </row>
    <row r="948" spans="1:32" ht="13.15" x14ac:dyDescent="0.4">
      <c r="A948" s="19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  <c r="AA948" s="19"/>
      <c r="AB948" s="19"/>
      <c r="AC948" s="19"/>
      <c r="AD948" s="19"/>
      <c r="AE948" s="19"/>
      <c r="AF948" s="19"/>
    </row>
    <row r="949" spans="1:32" ht="13.15" x14ac:dyDescent="0.4">
      <c r="A949" s="19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  <c r="AA949" s="19"/>
      <c r="AB949" s="19"/>
      <c r="AC949" s="19"/>
      <c r="AD949" s="19"/>
      <c r="AE949" s="19"/>
      <c r="AF949" s="19"/>
    </row>
    <row r="950" spans="1:32" ht="13.15" x14ac:dyDescent="0.4">
      <c r="A950" s="19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  <c r="AA950" s="19"/>
      <c r="AB950" s="19"/>
      <c r="AC950" s="19"/>
      <c r="AD950" s="19"/>
      <c r="AE950" s="19"/>
      <c r="AF950" s="19"/>
    </row>
    <row r="951" spans="1:32" ht="13.15" x14ac:dyDescent="0.4">
      <c r="A951" s="19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  <c r="AA951" s="19"/>
      <c r="AB951" s="19"/>
      <c r="AC951" s="19"/>
      <c r="AD951" s="19"/>
      <c r="AE951" s="19"/>
      <c r="AF951" s="19"/>
    </row>
    <row r="952" spans="1:32" ht="13.15" x14ac:dyDescent="0.4">
      <c r="A952" s="19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  <c r="AA952" s="19"/>
      <c r="AB952" s="19"/>
      <c r="AC952" s="19"/>
      <c r="AD952" s="19"/>
      <c r="AE952" s="19"/>
      <c r="AF952" s="19"/>
    </row>
    <row r="953" spans="1:32" ht="13.15" x14ac:dyDescent="0.4">
      <c r="A953" s="19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  <c r="AA953" s="19"/>
      <c r="AB953" s="19"/>
      <c r="AC953" s="19"/>
      <c r="AD953" s="19"/>
      <c r="AE953" s="19"/>
      <c r="AF953" s="19"/>
    </row>
    <row r="954" spans="1:32" ht="13.15" x14ac:dyDescent="0.4">
      <c r="A954" s="19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  <c r="AA954" s="19"/>
      <c r="AB954" s="19"/>
      <c r="AC954" s="19"/>
      <c r="AD954" s="19"/>
      <c r="AE954" s="19"/>
      <c r="AF954" s="19"/>
    </row>
    <row r="955" spans="1:32" ht="13.15" x14ac:dyDescent="0.4">
      <c r="A955" s="19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  <c r="AA955" s="19"/>
      <c r="AB955" s="19"/>
      <c r="AC955" s="19"/>
      <c r="AD955" s="19"/>
      <c r="AE955" s="19"/>
      <c r="AF955" s="19"/>
    </row>
    <row r="956" spans="1:32" ht="13.15" x14ac:dyDescent="0.4">
      <c r="A956" s="19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  <c r="AA956" s="19"/>
      <c r="AB956" s="19"/>
      <c r="AC956" s="19"/>
      <c r="AD956" s="19"/>
      <c r="AE956" s="19"/>
      <c r="AF956" s="19"/>
    </row>
    <row r="957" spans="1:32" ht="13.15" x14ac:dyDescent="0.4">
      <c r="A957" s="19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  <c r="AA957" s="19"/>
      <c r="AB957" s="19"/>
      <c r="AC957" s="19"/>
      <c r="AD957" s="19"/>
      <c r="AE957" s="19"/>
      <c r="AF957" s="19"/>
    </row>
    <row r="958" spans="1:32" ht="13.15" x14ac:dyDescent="0.4">
      <c r="A958" s="19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  <c r="AA958" s="19"/>
      <c r="AB958" s="19"/>
      <c r="AC958" s="19"/>
      <c r="AD958" s="19"/>
      <c r="AE958" s="19"/>
      <c r="AF958" s="19"/>
    </row>
    <row r="959" spans="1:32" ht="13.15" x14ac:dyDescent="0.4">
      <c r="A959" s="19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  <c r="AA959" s="19"/>
      <c r="AB959" s="19"/>
      <c r="AC959" s="19"/>
      <c r="AD959" s="19"/>
      <c r="AE959" s="19"/>
      <c r="AF959" s="19"/>
    </row>
    <row r="960" spans="1:32" ht="13.15" x14ac:dyDescent="0.4">
      <c r="A960" s="19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  <c r="AA960" s="19"/>
      <c r="AB960" s="19"/>
      <c r="AC960" s="19"/>
      <c r="AD960" s="19"/>
      <c r="AE960" s="19"/>
      <c r="AF960" s="19"/>
    </row>
    <row r="961" spans="1:32" ht="13.15" x14ac:dyDescent="0.4">
      <c r="A961" s="19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  <c r="AA961" s="19"/>
      <c r="AB961" s="19"/>
      <c r="AC961" s="19"/>
      <c r="AD961" s="19"/>
      <c r="AE961" s="19"/>
      <c r="AF961" s="19"/>
    </row>
    <row r="962" spans="1:32" ht="13.15" x14ac:dyDescent="0.4">
      <c r="A962" s="19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  <c r="AA962" s="19"/>
      <c r="AB962" s="19"/>
      <c r="AC962" s="19"/>
      <c r="AD962" s="19"/>
      <c r="AE962" s="19"/>
      <c r="AF962" s="19"/>
    </row>
    <row r="963" spans="1:32" ht="13.15" x14ac:dyDescent="0.4">
      <c r="A963" s="19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  <c r="AB963" s="19"/>
      <c r="AC963" s="19"/>
      <c r="AD963" s="19"/>
      <c r="AE963" s="19"/>
      <c r="AF963" s="19"/>
    </row>
    <row r="964" spans="1:32" ht="13.15" x14ac:dyDescent="0.4">
      <c r="A964" s="19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  <c r="AA964" s="19"/>
      <c r="AB964" s="19"/>
      <c r="AC964" s="19"/>
      <c r="AD964" s="19"/>
      <c r="AE964" s="19"/>
      <c r="AF964" s="19"/>
    </row>
    <row r="965" spans="1:32" ht="13.15" x14ac:dyDescent="0.4">
      <c r="A965" s="19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  <c r="AA965" s="19"/>
      <c r="AB965" s="19"/>
      <c r="AC965" s="19"/>
      <c r="AD965" s="19"/>
      <c r="AE965" s="19"/>
      <c r="AF965" s="19"/>
    </row>
    <row r="966" spans="1:32" ht="13.15" x14ac:dyDescent="0.4">
      <c r="A966" s="19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  <c r="AA966" s="19"/>
      <c r="AB966" s="19"/>
      <c r="AC966" s="19"/>
      <c r="AD966" s="19"/>
      <c r="AE966" s="19"/>
      <c r="AF966" s="19"/>
    </row>
    <row r="967" spans="1:32" ht="13.15" x14ac:dyDescent="0.4">
      <c r="A967" s="19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  <c r="AA967" s="19"/>
      <c r="AB967" s="19"/>
      <c r="AC967" s="19"/>
      <c r="AD967" s="19"/>
      <c r="AE967" s="19"/>
      <c r="AF967" s="19"/>
    </row>
    <row r="968" spans="1:32" ht="13.15" x14ac:dyDescent="0.4">
      <c r="A968" s="19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  <c r="AA968" s="19"/>
      <c r="AB968" s="19"/>
      <c r="AC968" s="19"/>
      <c r="AD968" s="19"/>
      <c r="AE968" s="19"/>
      <c r="AF968" s="19"/>
    </row>
    <row r="969" spans="1:32" ht="13.15" x14ac:dyDescent="0.4">
      <c r="A969" s="19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  <c r="AA969" s="19"/>
      <c r="AB969" s="19"/>
      <c r="AC969" s="19"/>
      <c r="AD969" s="19"/>
      <c r="AE969" s="19"/>
      <c r="AF969" s="19"/>
    </row>
    <row r="970" spans="1:32" ht="13.15" x14ac:dyDescent="0.4">
      <c r="A970" s="19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  <c r="AA970" s="19"/>
      <c r="AB970" s="19"/>
      <c r="AC970" s="19"/>
      <c r="AD970" s="19"/>
      <c r="AE970" s="19"/>
      <c r="AF970" s="19"/>
    </row>
    <row r="971" spans="1:32" ht="13.15" x14ac:dyDescent="0.4">
      <c r="A971" s="19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  <c r="AA971" s="19"/>
      <c r="AB971" s="19"/>
      <c r="AC971" s="19"/>
      <c r="AD971" s="19"/>
      <c r="AE971" s="19"/>
      <c r="AF971" s="19"/>
    </row>
    <row r="972" spans="1:32" ht="13.15" x14ac:dyDescent="0.4">
      <c r="A972" s="19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  <c r="AA972" s="19"/>
      <c r="AB972" s="19"/>
      <c r="AC972" s="19"/>
      <c r="AD972" s="19"/>
      <c r="AE972" s="19"/>
      <c r="AF972" s="19"/>
    </row>
    <row r="973" spans="1:32" ht="13.15" x14ac:dyDescent="0.4">
      <c r="A973" s="19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  <c r="AA973" s="19"/>
      <c r="AB973" s="19"/>
      <c r="AC973" s="19"/>
      <c r="AD973" s="19"/>
      <c r="AE973" s="19"/>
      <c r="AF973" s="19"/>
    </row>
    <row r="974" spans="1:32" ht="13.15" x14ac:dyDescent="0.4">
      <c r="A974" s="19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  <c r="AA974" s="19"/>
      <c r="AB974" s="19"/>
      <c r="AC974" s="19"/>
      <c r="AD974" s="19"/>
      <c r="AE974" s="19"/>
      <c r="AF974" s="19"/>
    </row>
    <row r="975" spans="1:32" ht="13.15" x14ac:dyDescent="0.4">
      <c r="A975" s="19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  <c r="AA975" s="19"/>
      <c r="AB975" s="19"/>
      <c r="AC975" s="19"/>
      <c r="AD975" s="19"/>
      <c r="AE975" s="19"/>
      <c r="AF975" s="19"/>
    </row>
    <row r="976" spans="1:32" ht="13.15" x14ac:dyDescent="0.4">
      <c r="A976" s="19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  <c r="AA976" s="19"/>
      <c r="AB976" s="19"/>
      <c r="AC976" s="19"/>
      <c r="AD976" s="19"/>
      <c r="AE976" s="19"/>
      <c r="AF976" s="19"/>
    </row>
    <row r="977" spans="1:32" ht="13.15" x14ac:dyDescent="0.4">
      <c r="A977" s="19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  <c r="AA977" s="19"/>
      <c r="AB977" s="19"/>
      <c r="AC977" s="19"/>
      <c r="AD977" s="19"/>
      <c r="AE977" s="19"/>
      <c r="AF977" s="19"/>
    </row>
    <row r="978" spans="1:32" ht="13.15" x14ac:dyDescent="0.4">
      <c r="A978" s="19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  <c r="AA978" s="19"/>
      <c r="AB978" s="19"/>
      <c r="AC978" s="19"/>
      <c r="AD978" s="19"/>
      <c r="AE978" s="19"/>
      <c r="AF978" s="19"/>
    </row>
    <row r="979" spans="1:32" ht="13.15" x14ac:dyDescent="0.4">
      <c r="A979" s="19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  <c r="AA979" s="19"/>
      <c r="AB979" s="19"/>
      <c r="AC979" s="19"/>
      <c r="AD979" s="19"/>
      <c r="AE979" s="19"/>
      <c r="AF979" s="19"/>
    </row>
    <row r="980" spans="1:32" ht="13.15" x14ac:dyDescent="0.4">
      <c r="A980" s="19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  <c r="AA980" s="19"/>
      <c r="AB980" s="19"/>
      <c r="AC980" s="19"/>
      <c r="AD980" s="19"/>
      <c r="AE980" s="19"/>
      <c r="AF980" s="19"/>
    </row>
    <row r="981" spans="1:32" ht="13.15" x14ac:dyDescent="0.4">
      <c r="A981" s="19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  <c r="AA981" s="19"/>
      <c r="AB981" s="19"/>
      <c r="AC981" s="19"/>
      <c r="AD981" s="19"/>
      <c r="AE981" s="19"/>
      <c r="AF981" s="19"/>
    </row>
    <row r="982" spans="1:32" ht="13.15" x14ac:dyDescent="0.4">
      <c r="A982" s="19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  <c r="AA982" s="19"/>
      <c r="AB982" s="19"/>
      <c r="AC982" s="19"/>
      <c r="AD982" s="19"/>
      <c r="AE982" s="19"/>
      <c r="AF982" s="19"/>
    </row>
    <row r="983" spans="1:32" ht="13.15" x14ac:dyDescent="0.4">
      <c r="A983" s="19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  <c r="AA983" s="19"/>
      <c r="AB983" s="19"/>
      <c r="AC983" s="19"/>
      <c r="AD983" s="19"/>
      <c r="AE983" s="19"/>
      <c r="AF983" s="19"/>
    </row>
    <row r="984" spans="1:32" ht="13.15" x14ac:dyDescent="0.4">
      <c r="A984" s="19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  <c r="AA984" s="19"/>
      <c r="AB984" s="19"/>
      <c r="AC984" s="19"/>
      <c r="AD984" s="19"/>
      <c r="AE984" s="19"/>
      <c r="AF984" s="19"/>
    </row>
    <row r="985" spans="1:32" ht="13.15" x14ac:dyDescent="0.4">
      <c r="A985" s="19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  <c r="AA985" s="19"/>
      <c r="AB985" s="19"/>
      <c r="AC985" s="19"/>
      <c r="AD985" s="19"/>
      <c r="AE985" s="19"/>
      <c r="AF985" s="19"/>
    </row>
    <row r="986" spans="1:32" ht="13.15" x14ac:dyDescent="0.4">
      <c r="A986" s="19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  <c r="AA986" s="19"/>
      <c r="AB986" s="19"/>
      <c r="AC986" s="19"/>
      <c r="AD986" s="19"/>
      <c r="AE986" s="19"/>
      <c r="AF986" s="19"/>
    </row>
    <row r="987" spans="1:32" ht="13.15" x14ac:dyDescent="0.4">
      <c r="A987" s="19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  <c r="AA987" s="19"/>
      <c r="AB987" s="19"/>
      <c r="AC987" s="19"/>
      <c r="AD987" s="19"/>
      <c r="AE987" s="19"/>
      <c r="AF987" s="19"/>
    </row>
    <row r="988" spans="1:32" ht="13.15" x14ac:dyDescent="0.4">
      <c r="A988" s="19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  <c r="AA988" s="19"/>
      <c r="AB988" s="19"/>
      <c r="AC988" s="19"/>
      <c r="AD988" s="19"/>
      <c r="AE988" s="19"/>
      <c r="AF988" s="19"/>
    </row>
    <row r="989" spans="1:32" ht="13.15" x14ac:dyDescent="0.4">
      <c r="A989" s="19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  <c r="AA989" s="19"/>
      <c r="AB989" s="19"/>
      <c r="AC989" s="19"/>
      <c r="AD989" s="19"/>
      <c r="AE989" s="19"/>
      <c r="AF989" s="19"/>
    </row>
    <row r="990" spans="1:32" ht="13.15" x14ac:dyDescent="0.4">
      <c r="A990" s="19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  <c r="AA990" s="19"/>
      <c r="AB990" s="19"/>
      <c r="AC990" s="19"/>
      <c r="AD990" s="19"/>
      <c r="AE990" s="19"/>
      <c r="AF990" s="19"/>
    </row>
    <row r="991" spans="1:32" ht="13.15" x14ac:dyDescent="0.4">
      <c r="A991" s="19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  <c r="AA991" s="19"/>
      <c r="AB991" s="19"/>
      <c r="AC991" s="19"/>
      <c r="AD991" s="19"/>
      <c r="AE991" s="19"/>
      <c r="AF991" s="19"/>
    </row>
    <row r="992" spans="1:32" ht="13.15" x14ac:dyDescent="0.4">
      <c r="A992" s="19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  <c r="AA992" s="19"/>
      <c r="AB992" s="19"/>
      <c r="AC992" s="19"/>
      <c r="AD992" s="19"/>
      <c r="AE992" s="19"/>
      <c r="AF992" s="19"/>
    </row>
    <row r="993" spans="1:32" ht="13.15" x14ac:dyDescent="0.4">
      <c r="A993" s="19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  <c r="AA993" s="19"/>
      <c r="AB993" s="19"/>
      <c r="AC993" s="19"/>
      <c r="AD993" s="19"/>
      <c r="AE993" s="19"/>
      <c r="AF993" s="19"/>
    </row>
    <row r="994" spans="1:32" ht="13.15" x14ac:dyDescent="0.4">
      <c r="A994" s="19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  <c r="AA994" s="19"/>
      <c r="AB994" s="19"/>
      <c r="AC994" s="19"/>
      <c r="AD994" s="19"/>
      <c r="AE994" s="19"/>
      <c r="AF994" s="19"/>
    </row>
    <row r="995" spans="1:32" ht="13.15" x14ac:dyDescent="0.4">
      <c r="A995" s="19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  <c r="AA995" s="19"/>
      <c r="AB995" s="19"/>
      <c r="AC995" s="19"/>
      <c r="AD995" s="19"/>
      <c r="AE995" s="19"/>
      <c r="AF995" s="19"/>
    </row>
    <row r="996" spans="1:32" ht="13.15" x14ac:dyDescent="0.4">
      <c r="A996" s="19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  <c r="AA996" s="19"/>
      <c r="AB996" s="19"/>
      <c r="AC996" s="19"/>
      <c r="AD996" s="19"/>
      <c r="AE996" s="19"/>
      <c r="AF996" s="19"/>
    </row>
    <row r="997" spans="1:32" ht="13.15" x14ac:dyDescent="0.4">
      <c r="A997" s="19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  <c r="AA997" s="19"/>
      <c r="AB997" s="19"/>
      <c r="AC997" s="19"/>
      <c r="AD997" s="19"/>
      <c r="AE997" s="19"/>
      <c r="AF997" s="19"/>
    </row>
    <row r="998" spans="1:32" ht="13.15" x14ac:dyDescent="0.4">
      <c r="A998" s="19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  <c r="AA998" s="19"/>
      <c r="AB998" s="19"/>
      <c r="AC998" s="19"/>
      <c r="AD998" s="19"/>
      <c r="AE998" s="19"/>
      <c r="AF998" s="19"/>
    </row>
    <row r="999" spans="1:32" ht="13.15" x14ac:dyDescent="0.4">
      <c r="A999" s="19"/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  <c r="AA999" s="19"/>
      <c r="AB999" s="19"/>
      <c r="AC999" s="19"/>
      <c r="AD999" s="19"/>
      <c r="AE999" s="19"/>
      <c r="AF999" s="19"/>
    </row>
    <row r="1000" spans="1:32" ht="13.15" x14ac:dyDescent="0.4">
      <c r="A1000" s="19"/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  <c r="AA1000" s="19"/>
      <c r="AB1000" s="19"/>
      <c r="AC1000" s="19"/>
      <c r="AD1000" s="19"/>
      <c r="AE1000" s="19"/>
      <c r="AF1000" s="19"/>
    </row>
    <row r="1001" spans="1:32" ht="13.15" x14ac:dyDescent="0.4">
      <c r="A1001" s="19"/>
      <c r="B1001" s="19"/>
      <c r="C1001" s="19"/>
      <c r="D1001" s="19"/>
      <c r="E1001" s="19"/>
      <c r="F1001" s="19"/>
      <c r="G1001" s="19"/>
      <c r="H1001" s="19"/>
      <c r="I1001" s="19"/>
      <c r="J1001" s="19"/>
      <c r="K1001" s="19"/>
      <c r="L1001" s="19"/>
      <c r="M1001" s="19"/>
      <c r="N1001" s="19"/>
      <c r="O1001" s="19"/>
      <c r="P1001" s="19"/>
      <c r="Q1001" s="19"/>
      <c r="R1001" s="19"/>
      <c r="S1001" s="19"/>
      <c r="T1001" s="19"/>
      <c r="U1001" s="19"/>
      <c r="V1001" s="19"/>
      <c r="W1001" s="19"/>
      <c r="X1001" s="19"/>
      <c r="Y1001" s="19"/>
      <c r="Z1001" s="19"/>
      <c r="AA1001" s="19"/>
      <c r="AB1001" s="19"/>
      <c r="AC1001" s="19"/>
      <c r="AD1001" s="19"/>
      <c r="AE1001" s="19"/>
      <c r="AF1001" s="19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AE1005"/>
  <sheetViews>
    <sheetView workbookViewId="0">
      <pane ySplit="1" topLeftCell="A2" activePane="bottomLeft" state="frozen"/>
      <selection pane="bottomLeft" activeCell="B3" sqref="B3"/>
    </sheetView>
  </sheetViews>
  <sheetFormatPr defaultColWidth="12.59765625" defaultRowHeight="15.75" customHeight="1" x14ac:dyDescent="0.35"/>
  <cols>
    <col min="6" max="6" width="19.59765625" customWidth="1"/>
    <col min="7" max="7" width="19.3984375" customWidth="1"/>
    <col min="8" max="8" width="18.1328125" customWidth="1"/>
  </cols>
  <sheetData>
    <row r="1" spans="1:31" ht="15.75" customHeight="1" x14ac:dyDescent="0.4">
      <c r="A1" s="18"/>
      <c r="B1" s="18"/>
      <c r="C1" s="18"/>
      <c r="D1" s="18"/>
      <c r="E1" s="18" t="s">
        <v>0</v>
      </c>
      <c r="F1" s="18" t="s">
        <v>4</v>
      </c>
      <c r="G1" s="18" t="s">
        <v>5</v>
      </c>
      <c r="H1" s="18" t="s">
        <v>6</v>
      </c>
      <c r="I1" s="18" t="s">
        <v>7</v>
      </c>
      <c r="J1" s="18" t="s">
        <v>8</v>
      </c>
      <c r="K1" s="18" t="s">
        <v>9</v>
      </c>
      <c r="L1" s="18" t="s">
        <v>10</v>
      </c>
      <c r="M1" s="18" t="s">
        <v>11</v>
      </c>
      <c r="N1" s="18" t="s">
        <v>12</v>
      </c>
      <c r="O1" s="23" t="s">
        <v>13</v>
      </c>
      <c r="P1" s="18" t="s">
        <v>14</v>
      </c>
      <c r="Q1" s="18" t="s">
        <v>15</v>
      </c>
      <c r="R1" s="18" t="s">
        <v>16</v>
      </c>
      <c r="S1" s="18" t="s">
        <v>17</v>
      </c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</row>
    <row r="2" spans="1:31" ht="15.75" customHeight="1" x14ac:dyDescent="0.4">
      <c r="A2" s="20" t="s">
        <v>3</v>
      </c>
      <c r="B2" s="20" t="s">
        <v>1</v>
      </c>
      <c r="C2" s="19"/>
      <c r="D2" s="19"/>
      <c r="E2" s="19" t="s">
        <v>23</v>
      </c>
      <c r="F2" s="19" t="s">
        <v>210</v>
      </c>
      <c r="G2" s="19" t="s">
        <v>211</v>
      </c>
      <c r="H2" s="19" t="s">
        <v>212</v>
      </c>
      <c r="I2" s="21">
        <v>45355</v>
      </c>
      <c r="J2" s="21">
        <v>45355</v>
      </c>
      <c r="K2" s="19" t="s">
        <v>85</v>
      </c>
      <c r="L2" s="19" t="s">
        <v>113</v>
      </c>
      <c r="M2" s="19" t="s">
        <v>213</v>
      </c>
      <c r="N2" s="19">
        <v>9</v>
      </c>
      <c r="O2" s="24" t="s">
        <v>91</v>
      </c>
      <c r="P2" s="19">
        <v>2</v>
      </c>
      <c r="Q2" s="19">
        <v>4.5</v>
      </c>
      <c r="R2" s="19">
        <v>2.5</v>
      </c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</row>
    <row r="3" spans="1:31" ht="15.75" customHeight="1" x14ac:dyDescent="0.4">
      <c r="A3" s="19" t="s">
        <v>46</v>
      </c>
      <c r="B3" s="19">
        <f>COUNTIF($H$2:$H1005,"Kristin Albaugh")</f>
        <v>9</v>
      </c>
      <c r="C3" s="19"/>
      <c r="D3" s="19"/>
      <c r="E3" s="19" t="s">
        <v>23</v>
      </c>
      <c r="F3" s="19" t="s">
        <v>210</v>
      </c>
      <c r="G3" s="19" t="s">
        <v>214</v>
      </c>
      <c r="H3" s="19" t="s">
        <v>212</v>
      </c>
      <c r="I3" s="21">
        <v>45355</v>
      </c>
      <c r="J3" s="21">
        <v>45355</v>
      </c>
      <c r="K3" s="19" t="s">
        <v>85</v>
      </c>
      <c r="L3" s="19" t="s">
        <v>113</v>
      </c>
      <c r="M3" s="19" t="s">
        <v>213</v>
      </c>
      <c r="N3" s="19">
        <v>5.5</v>
      </c>
      <c r="O3" s="24" t="s">
        <v>81</v>
      </c>
      <c r="P3" s="19">
        <v>2</v>
      </c>
      <c r="Q3" s="19">
        <v>3</v>
      </c>
      <c r="R3" s="19">
        <v>0.5</v>
      </c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</row>
    <row r="4" spans="1:31" ht="15.75" customHeight="1" x14ac:dyDescent="0.4">
      <c r="A4" s="19" t="s">
        <v>47</v>
      </c>
      <c r="B4" s="19">
        <f>COUNTIF($H$2:$H1005,"Tracy Avery")</f>
        <v>10</v>
      </c>
      <c r="C4" s="19"/>
      <c r="D4" s="19"/>
      <c r="E4" s="19" t="s">
        <v>23</v>
      </c>
      <c r="F4" s="19" t="s">
        <v>100</v>
      </c>
      <c r="G4" s="19" t="s">
        <v>215</v>
      </c>
      <c r="H4" s="19" t="s">
        <v>212</v>
      </c>
      <c r="I4" s="21">
        <v>45355</v>
      </c>
      <c r="J4" s="21">
        <v>45355</v>
      </c>
      <c r="K4" s="19" t="s">
        <v>85</v>
      </c>
      <c r="L4" s="19" t="s">
        <v>113</v>
      </c>
      <c r="M4" s="19"/>
      <c r="N4" s="19">
        <v>7</v>
      </c>
      <c r="O4" s="24" t="s">
        <v>91</v>
      </c>
      <c r="P4" s="19">
        <v>0</v>
      </c>
      <c r="Q4" s="19">
        <v>4</v>
      </c>
      <c r="R4" s="19">
        <v>3</v>
      </c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</row>
    <row r="5" spans="1:31" ht="15.75" customHeight="1" x14ac:dyDescent="0.4">
      <c r="A5" s="19" t="s">
        <v>48</v>
      </c>
      <c r="B5" s="19">
        <f>COUNTIF($H$2:$H1005,"Natalie Chavarria")</f>
        <v>8</v>
      </c>
      <c r="C5" s="19"/>
      <c r="D5" s="19"/>
      <c r="E5" s="19" t="s">
        <v>23</v>
      </c>
      <c r="F5" s="19" t="s">
        <v>216</v>
      </c>
      <c r="G5" s="19" t="s">
        <v>217</v>
      </c>
      <c r="H5" s="19" t="s">
        <v>212</v>
      </c>
      <c r="I5" s="21">
        <v>45355</v>
      </c>
      <c r="J5" s="21">
        <v>45357</v>
      </c>
      <c r="K5" s="19" t="s">
        <v>78</v>
      </c>
      <c r="L5" s="19" t="s">
        <v>115</v>
      </c>
      <c r="M5" s="19"/>
      <c r="N5" s="19">
        <v>8</v>
      </c>
      <c r="O5" s="24" t="s">
        <v>91</v>
      </c>
      <c r="P5" s="19">
        <v>2</v>
      </c>
      <c r="Q5" s="19">
        <v>4</v>
      </c>
      <c r="R5" s="19">
        <v>2</v>
      </c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</row>
    <row r="6" spans="1:31" ht="15.75" customHeight="1" x14ac:dyDescent="0.4">
      <c r="A6" s="19" t="s">
        <v>49</v>
      </c>
      <c r="B6" s="19">
        <f>COUNTIF($H$2:$H1005,"Katherine Coulter")</f>
        <v>8</v>
      </c>
      <c r="C6" s="19"/>
      <c r="D6" s="19"/>
      <c r="E6" s="19" t="s">
        <v>23</v>
      </c>
      <c r="F6" s="19" t="s">
        <v>216</v>
      </c>
      <c r="G6" s="19" t="s">
        <v>218</v>
      </c>
      <c r="H6" s="19" t="s">
        <v>212</v>
      </c>
      <c r="I6" s="21">
        <v>45355</v>
      </c>
      <c r="J6" s="21">
        <v>45355</v>
      </c>
      <c r="K6" s="19" t="s">
        <v>78</v>
      </c>
      <c r="L6" s="19" t="s">
        <v>107</v>
      </c>
      <c r="M6" s="19"/>
      <c r="N6" s="19">
        <v>8</v>
      </c>
      <c r="O6" s="24" t="s">
        <v>91</v>
      </c>
      <c r="P6" s="19">
        <v>2</v>
      </c>
      <c r="Q6" s="19">
        <v>3</v>
      </c>
      <c r="R6" s="19">
        <v>3</v>
      </c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</row>
    <row r="7" spans="1:31" ht="15.75" customHeight="1" x14ac:dyDescent="0.4">
      <c r="A7" s="19" t="s">
        <v>50</v>
      </c>
      <c r="B7" s="19">
        <f>COUNTIF($H$2:$H1005,"Michael Garza")</f>
        <v>8</v>
      </c>
      <c r="C7" s="19"/>
      <c r="D7" s="19"/>
      <c r="E7" s="19" t="s">
        <v>23</v>
      </c>
      <c r="F7" s="19" t="s">
        <v>75</v>
      </c>
      <c r="G7" s="19" t="s">
        <v>219</v>
      </c>
      <c r="H7" s="19" t="s">
        <v>212</v>
      </c>
      <c r="I7" s="21">
        <v>45356</v>
      </c>
      <c r="J7" s="21"/>
      <c r="K7" s="19" t="s">
        <v>78</v>
      </c>
      <c r="L7" s="19" t="s">
        <v>113</v>
      </c>
      <c r="M7" s="19" t="s">
        <v>80</v>
      </c>
      <c r="N7" s="19">
        <v>7.5</v>
      </c>
      <c r="O7" s="24" t="s">
        <v>97</v>
      </c>
      <c r="P7" s="19">
        <v>1</v>
      </c>
      <c r="Q7" s="19">
        <v>2.5</v>
      </c>
      <c r="R7" s="19">
        <v>3</v>
      </c>
      <c r="S7" s="19">
        <v>1</v>
      </c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</row>
    <row r="8" spans="1:31" ht="15.75" customHeight="1" x14ac:dyDescent="0.4">
      <c r="A8" s="19" t="s">
        <v>51</v>
      </c>
      <c r="B8" s="19">
        <f>COUNTIF($H$2:$H1005,"Jose Porras")</f>
        <v>10</v>
      </c>
      <c r="C8" s="19"/>
      <c r="D8" s="19"/>
      <c r="E8" s="19" t="s">
        <v>23</v>
      </c>
      <c r="F8" s="19" t="s">
        <v>75</v>
      </c>
      <c r="G8" s="19" t="s">
        <v>220</v>
      </c>
      <c r="H8" s="19" t="s">
        <v>212</v>
      </c>
      <c r="I8" s="21">
        <v>45356</v>
      </c>
      <c r="J8" s="21">
        <v>45357</v>
      </c>
      <c r="K8" s="19" t="s">
        <v>78</v>
      </c>
      <c r="L8" s="19" t="s">
        <v>113</v>
      </c>
      <c r="M8" s="19" t="s">
        <v>119</v>
      </c>
      <c r="N8" s="19">
        <v>7.5</v>
      </c>
      <c r="O8" s="24" t="s">
        <v>97</v>
      </c>
      <c r="P8" s="19">
        <v>1</v>
      </c>
      <c r="Q8" s="19">
        <v>2</v>
      </c>
      <c r="R8" s="19">
        <v>3</v>
      </c>
      <c r="S8" s="19">
        <v>1.5</v>
      </c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</row>
    <row r="9" spans="1:31" ht="15.75" customHeight="1" x14ac:dyDescent="0.4">
      <c r="A9" s="19" t="s">
        <v>221</v>
      </c>
      <c r="B9" s="19">
        <f>COUNTIF($H$2:$H1005,"Jose Valles Jr.")</f>
        <v>10</v>
      </c>
      <c r="C9" s="19"/>
      <c r="D9" s="19"/>
      <c r="E9" s="19" t="s">
        <v>23</v>
      </c>
      <c r="F9" s="19" t="s">
        <v>210</v>
      </c>
      <c r="G9" s="19" t="s">
        <v>222</v>
      </c>
      <c r="H9" s="19" t="s">
        <v>212</v>
      </c>
      <c r="I9" s="21">
        <v>45357</v>
      </c>
      <c r="J9" s="21">
        <v>45358</v>
      </c>
      <c r="K9" s="19" t="s">
        <v>78</v>
      </c>
      <c r="L9" s="19" t="s">
        <v>115</v>
      </c>
      <c r="M9" s="19" t="s">
        <v>223</v>
      </c>
      <c r="N9" s="19">
        <v>7.5</v>
      </c>
      <c r="O9" s="24" t="s">
        <v>97</v>
      </c>
      <c r="P9" s="19">
        <v>1</v>
      </c>
      <c r="Q9" s="19">
        <v>3.5</v>
      </c>
      <c r="R9" s="19">
        <v>3</v>
      </c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</row>
    <row r="10" spans="1:31" ht="15.75" customHeight="1" x14ac:dyDescent="0.4">
      <c r="A10" s="18" t="s">
        <v>29</v>
      </c>
      <c r="B10" s="18">
        <f>SUM(B3:B9)</f>
        <v>63</v>
      </c>
      <c r="C10" s="19"/>
      <c r="D10" s="19"/>
      <c r="E10" s="19" t="s">
        <v>23</v>
      </c>
      <c r="F10" s="19" t="s">
        <v>142</v>
      </c>
      <c r="G10" s="19" t="s">
        <v>224</v>
      </c>
      <c r="H10" s="19" t="s">
        <v>212</v>
      </c>
      <c r="I10" s="21">
        <v>45357</v>
      </c>
      <c r="J10" s="21"/>
      <c r="K10" s="19" t="s">
        <v>85</v>
      </c>
      <c r="L10" s="19" t="s">
        <v>113</v>
      </c>
      <c r="M10" s="19" t="s">
        <v>80</v>
      </c>
      <c r="N10" s="19">
        <v>7</v>
      </c>
      <c r="O10" s="24" t="s">
        <v>97</v>
      </c>
      <c r="P10" s="19">
        <v>1</v>
      </c>
      <c r="Q10" s="19">
        <v>2</v>
      </c>
      <c r="R10" s="19">
        <v>2</v>
      </c>
      <c r="S10" s="19">
        <v>2</v>
      </c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</row>
    <row r="11" spans="1:31" ht="15.75" customHeight="1" x14ac:dyDescent="0.4">
      <c r="A11" s="19"/>
      <c r="B11" s="19"/>
      <c r="C11" s="19"/>
      <c r="D11" s="19"/>
      <c r="E11" s="19" t="s">
        <v>23</v>
      </c>
      <c r="F11" s="19" t="s">
        <v>89</v>
      </c>
      <c r="G11" s="19" t="s">
        <v>225</v>
      </c>
      <c r="H11" s="19" t="s">
        <v>212</v>
      </c>
      <c r="I11" s="21">
        <v>45358</v>
      </c>
      <c r="J11" s="21"/>
      <c r="K11" s="19" t="s">
        <v>85</v>
      </c>
      <c r="L11" s="19"/>
      <c r="M11" s="19"/>
      <c r="N11" s="19">
        <v>8.5</v>
      </c>
      <c r="O11" s="24" t="s">
        <v>91</v>
      </c>
      <c r="P11" s="19">
        <v>1.5</v>
      </c>
      <c r="Q11" s="19">
        <v>4</v>
      </c>
      <c r="R11" s="19">
        <v>3</v>
      </c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</row>
    <row r="12" spans="1:31" ht="15.75" customHeight="1" x14ac:dyDescent="0.4">
      <c r="A12" s="19"/>
      <c r="B12" s="19"/>
      <c r="C12" s="19"/>
      <c r="D12" s="19"/>
      <c r="E12" s="19" t="s">
        <v>23</v>
      </c>
      <c r="F12" s="19" t="s">
        <v>75</v>
      </c>
      <c r="G12" s="19" t="s">
        <v>226</v>
      </c>
      <c r="H12" s="19" t="s">
        <v>227</v>
      </c>
      <c r="I12" s="21">
        <v>45355</v>
      </c>
      <c r="J12" s="21">
        <v>45356</v>
      </c>
      <c r="K12" s="19" t="s">
        <v>78</v>
      </c>
      <c r="L12" s="19" t="s">
        <v>115</v>
      </c>
      <c r="M12" s="19" t="s">
        <v>95</v>
      </c>
      <c r="N12" s="19">
        <v>8.5</v>
      </c>
      <c r="O12" s="24" t="s">
        <v>91</v>
      </c>
      <c r="P12" s="19">
        <v>1</v>
      </c>
      <c r="Q12" s="19">
        <v>2</v>
      </c>
      <c r="R12" s="19">
        <v>3.5</v>
      </c>
      <c r="S12" s="19">
        <v>2</v>
      </c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</row>
    <row r="13" spans="1:31" ht="15.75" customHeight="1" x14ac:dyDescent="0.4">
      <c r="A13" s="20" t="s">
        <v>13</v>
      </c>
      <c r="B13" s="20" t="s">
        <v>104</v>
      </c>
      <c r="C13" s="20" t="s">
        <v>105</v>
      </c>
      <c r="D13" s="19"/>
      <c r="E13" s="19" t="s">
        <v>23</v>
      </c>
      <c r="F13" s="19" t="s">
        <v>75</v>
      </c>
      <c r="G13" s="19" t="s">
        <v>228</v>
      </c>
      <c r="H13" s="19" t="s">
        <v>227</v>
      </c>
      <c r="I13" s="21">
        <v>45355</v>
      </c>
      <c r="J13" s="21">
        <v>45356</v>
      </c>
      <c r="K13" s="19" t="s">
        <v>85</v>
      </c>
      <c r="L13" s="19" t="s">
        <v>115</v>
      </c>
      <c r="M13" s="19" t="s">
        <v>80</v>
      </c>
      <c r="N13" s="19">
        <v>7</v>
      </c>
      <c r="O13" s="24" t="s">
        <v>97</v>
      </c>
      <c r="P13" s="19">
        <v>1</v>
      </c>
      <c r="Q13" s="19">
        <v>2.5</v>
      </c>
      <c r="R13" s="19">
        <v>3</v>
      </c>
      <c r="S13" s="19">
        <v>0.5</v>
      </c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</row>
    <row r="14" spans="1:31" ht="15.75" customHeight="1" x14ac:dyDescent="0.4">
      <c r="A14" s="19" t="s">
        <v>109</v>
      </c>
      <c r="B14" s="22">
        <f>C14/B10</f>
        <v>0.96825396825396826</v>
      </c>
      <c r="C14" s="19">
        <f>(COUNTIF($O$2:$O1005,"Proficient I"))+(COUNTIF($O$2:$O1005,"Proficient II"))+(COUNTIF($O$2:$O1005,"Exemplary"))</f>
        <v>61</v>
      </c>
      <c r="D14" s="19"/>
      <c r="E14" s="19" t="s">
        <v>23</v>
      </c>
      <c r="F14" s="19" t="s">
        <v>89</v>
      </c>
      <c r="G14" s="19" t="s">
        <v>229</v>
      </c>
      <c r="H14" s="19" t="s">
        <v>227</v>
      </c>
      <c r="I14" s="21">
        <v>45355</v>
      </c>
      <c r="J14" s="21">
        <v>45357</v>
      </c>
      <c r="K14" s="19" t="s">
        <v>78</v>
      </c>
      <c r="L14" s="19"/>
      <c r="M14" s="19"/>
      <c r="N14" s="19">
        <v>9</v>
      </c>
      <c r="O14" s="24" t="s">
        <v>91</v>
      </c>
      <c r="P14" s="19">
        <v>2</v>
      </c>
      <c r="Q14" s="19">
        <v>4</v>
      </c>
      <c r="R14" s="19">
        <v>3</v>
      </c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</row>
    <row r="15" spans="1:31" ht="15.75" customHeight="1" x14ac:dyDescent="0.4">
      <c r="A15" s="19" t="s">
        <v>111</v>
      </c>
      <c r="B15" s="22">
        <f>C15/B10</f>
        <v>3.1746031746031744E-2</v>
      </c>
      <c r="C15" s="19">
        <f>(COUNTIF($O$2:$O1005,"Unsatisfactory"))+(COUNTIF($O$2:$O1005,"Progressing"))</f>
        <v>2</v>
      </c>
      <c r="D15" s="19"/>
      <c r="E15" s="19" t="s">
        <v>23</v>
      </c>
      <c r="F15" s="19" t="s">
        <v>142</v>
      </c>
      <c r="G15" s="19" t="s">
        <v>230</v>
      </c>
      <c r="H15" s="19" t="s">
        <v>227</v>
      </c>
      <c r="I15" s="21">
        <v>45355</v>
      </c>
      <c r="J15" s="21">
        <v>45356</v>
      </c>
      <c r="K15" s="19" t="s">
        <v>85</v>
      </c>
      <c r="L15" s="19" t="s">
        <v>115</v>
      </c>
      <c r="M15" s="19" t="s">
        <v>80</v>
      </c>
      <c r="N15" s="19">
        <v>7</v>
      </c>
      <c r="O15" s="24" t="s">
        <v>97</v>
      </c>
      <c r="P15" s="19">
        <v>1</v>
      </c>
      <c r="Q15" s="19">
        <v>2</v>
      </c>
      <c r="R15" s="19">
        <v>3</v>
      </c>
      <c r="S15" s="19">
        <v>1</v>
      </c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</row>
    <row r="16" spans="1:31" ht="15.75" customHeight="1" x14ac:dyDescent="0.4">
      <c r="A16" s="19"/>
      <c r="B16" s="19"/>
      <c r="C16" s="19"/>
      <c r="D16" s="19"/>
      <c r="E16" s="19" t="s">
        <v>23</v>
      </c>
      <c r="F16" s="19" t="s">
        <v>75</v>
      </c>
      <c r="G16" s="19" t="s">
        <v>231</v>
      </c>
      <c r="H16" s="19" t="s">
        <v>227</v>
      </c>
      <c r="I16" s="21">
        <v>45356</v>
      </c>
      <c r="J16" s="21"/>
      <c r="K16" s="19" t="s">
        <v>85</v>
      </c>
      <c r="L16" s="19" t="s">
        <v>115</v>
      </c>
      <c r="M16" s="19" t="s">
        <v>95</v>
      </c>
      <c r="N16" s="19">
        <v>8</v>
      </c>
      <c r="O16" s="24" t="s">
        <v>91</v>
      </c>
      <c r="P16" s="19">
        <v>1</v>
      </c>
      <c r="Q16" s="19">
        <v>2</v>
      </c>
      <c r="R16" s="19">
        <v>3</v>
      </c>
      <c r="S16" s="19">
        <v>2</v>
      </c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</row>
    <row r="17" spans="1:31" ht="15.75" customHeight="1" x14ac:dyDescent="0.4">
      <c r="A17" s="19"/>
      <c r="B17" s="19"/>
      <c r="C17" s="19"/>
      <c r="D17" s="19"/>
      <c r="E17" s="19" t="s">
        <v>23</v>
      </c>
      <c r="F17" s="19" t="s">
        <v>75</v>
      </c>
      <c r="G17" s="19" t="s">
        <v>232</v>
      </c>
      <c r="H17" s="19" t="s">
        <v>227</v>
      </c>
      <c r="I17" s="21">
        <v>45356</v>
      </c>
      <c r="J17" s="21">
        <v>45356</v>
      </c>
      <c r="K17" s="19" t="s">
        <v>85</v>
      </c>
      <c r="L17" s="19" t="s">
        <v>115</v>
      </c>
      <c r="M17" s="19" t="s">
        <v>108</v>
      </c>
      <c r="N17" s="19">
        <v>7</v>
      </c>
      <c r="O17" s="24" t="s">
        <v>97</v>
      </c>
      <c r="P17" s="19">
        <v>1</v>
      </c>
      <c r="Q17" s="19">
        <v>2</v>
      </c>
      <c r="R17" s="19">
        <v>2.5</v>
      </c>
      <c r="S17" s="19">
        <v>1.5</v>
      </c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</row>
    <row r="18" spans="1:31" ht="15.75" customHeight="1" x14ac:dyDescent="0.4">
      <c r="A18" s="19"/>
      <c r="B18" s="19"/>
      <c r="C18" s="19"/>
      <c r="D18" s="19"/>
      <c r="E18" s="19" t="s">
        <v>23</v>
      </c>
      <c r="F18" s="19" t="s">
        <v>75</v>
      </c>
      <c r="G18" s="19" t="s">
        <v>233</v>
      </c>
      <c r="H18" s="19" t="s">
        <v>227</v>
      </c>
      <c r="I18" s="21">
        <v>45356</v>
      </c>
      <c r="J18" s="21">
        <v>45358</v>
      </c>
      <c r="K18" s="19" t="s">
        <v>78</v>
      </c>
      <c r="L18" s="19" t="s">
        <v>115</v>
      </c>
      <c r="M18" s="19" t="s">
        <v>108</v>
      </c>
      <c r="N18" s="19">
        <v>6</v>
      </c>
      <c r="O18" s="24" t="s">
        <v>97</v>
      </c>
      <c r="P18" s="19">
        <v>1</v>
      </c>
      <c r="Q18" s="19">
        <v>1.5</v>
      </c>
      <c r="R18" s="19">
        <v>2</v>
      </c>
      <c r="S18" s="19">
        <v>1.5</v>
      </c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</row>
    <row r="19" spans="1:31" ht="15.75" customHeight="1" x14ac:dyDescent="0.4">
      <c r="A19" s="19"/>
      <c r="B19" s="19"/>
      <c r="C19" s="19"/>
      <c r="D19" s="19"/>
      <c r="E19" s="19" t="s">
        <v>23</v>
      </c>
      <c r="F19" s="19" t="s">
        <v>75</v>
      </c>
      <c r="G19" s="19" t="s">
        <v>234</v>
      </c>
      <c r="H19" s="19" t="s">
        <v>227</v>
      </c>
      <c r="I19" s="21">
        <v>45357</v>
      </c>
      <c r="J19" s="21"/>
      <c r="K19" s="19" t="s">
        <v>85</v>
      </c>
      <c r="L19" s="19" t="s">
        <v>115</v>
      </c>
      <c r="M19" s="19" t="s">
        <v>117</v>
      </c>
      <c r="N19" s="19">
        <v>8</v>
      </c>
      <c r="O19" s="24" t="s">
        <v>91</v>
      </c>
      <c r="P19" s="19">
        <v>1</v>
      </c>
      <c r="Q19" s="19">
        <v>2.5</v>
      </c>
      <c r="R19" s="19">
        <v>3</v>
      </c>
      <c r="S19" s="19">
        <v>1.5</v>
      </c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</row>
    <row r="20" spans="1:31" ht="15.75" customHeight="1" x14ac:dyDescent="0.4">
      <c r="A20" s="19"/>
      <c r="B20" s="19"/>
      <c r="C20" s="19"/>
      <c r="D20" s="19"/>
      <c r="E20" s="19" t="s">
        <v>23</v>
      </c>
      <c r="F20" s="19" t="s">
        <v>75</v>
      </c>
      <c r="G20" s="19" t="s">
        <v>235</v>
      </c>
      <c r="H20" s="19" t="s">
        <v>227</v>
      </c>
      <c r="I20" s="21">
        <v>45357</v>
      </c>
      <c r="J20" s="21">
        <v>45358</v>
      </c>
      <c r="K20" s="19" t="s">
        <v>78</v>
      </c>
      <c r="L20" s="19" t="s">
        <v>115</v>
      </c>
      <c r="M20" s="19" t="s">
        <v>95</v>
      </c>
      <c r="N20" s="19">
        <v>7.5</v>
      </c>
      <c r="O20" s="24" t="s">
        <v>97</v>
      </c>
      <c r="P20" s="19">
        <v>1</v>
      </c>
      <c r="Q20" s="19">
        <v>2</v>
      </c>
      <c r="R20" s="19">
        <v>3</v>
      </c>
      <c r="S20" s="19">
        <v>1.5</v>
      </c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</row>
    <row r="21" spans="1:31" ht="15.75" customHeight="1" x14ac:dyDescent="0.4">
      <c r="A21" s="19"/>
      <c r="B21" s="19"/>
      <c r="C21" s="19"/>
      <c r="D21" s="19"/>
      <c r="E21" s="19" t="s">
        <v>23</v>
      </c>
      <c r="F21" s="19" t="s">
        <v>142</v>
      </c>
      <c r="G21" s="19" t="s">
        <v>236</v>
      </c>
      <c r="H21" s="19" t="s">
        <v>227</v>
      </c>
      <c r="I21" s="21">
        <v>45357</v>
      </c>
      <c r="J21" s="21"/>
      <c r="K21" s="19" t="s">
        <v>78</v>
      </c>
      <c r="L21" s="19" t="s">
        <v>115</v>
      </c>
      <c r="M21" s="19" t="s">
        <v>95</v>
      </c>
      <c r="N21" s="19">
        <v>7</v>
      </c>
      <c r="O21" s="24" t="s">
        <v>97</v>
      </c>
      <c r="P21" s="19">
        <v>1</v>
      </c>
      <c r="Q21" s="19">
        <v>2.5</v>
      </c>
      <c r="R21" s="19">
        <v>2.5</v>
      </c>
      <c r="S21" s="19">
        <v>1</v>
      </c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</row>
    <row r="22" spans="1:31" ht="15.75" customHeight="1" x14ac:dyDescent="0.4">
      <c r="A22" s="19"/>
      <c r="B22" s="19"/>
      <c r="C22" s="19"/>
      <c r="D22" s="19"/>
      <c r="E22" s="19" t="s">
        <v>23</v>
      </c>
      <c r="F22" s="19" t="s">
        <v>75</v>
      </c>
      <c r="G22" s="19" t="s">
        <v>237</v>
      </c>
      <c r="H22" s="19" t="s">
        <v>238</v>
      </c>
      <c r="I22" s="21">
        <v>45356</v>
      </c>
      <c r="J22" s="21">
        <v>45358</v>
      </c>
      <c r="K22" s="19" t="s">
        <v>85</v>
      </c>
      <c r="L22" s="19" t="s">
        <v>115</v>
      </c>
      <c r="M22" s="19" t="s">
        <v>80</v>
      </c>
      <c r="N22" s="19">
        <v>7</v>
      </c>
      <c r="O22" s="24" t="s">
        <v>97</v>
      </c>
      <c r="P22" s="19">
        <v>1</v>
      </c>
      <c r="Q22" s="19">
        <v>2</v>
      </c>
      <c r="R22" s="19">
        <v>2.5</v>
      </c>
      <c r="S22" s="19">
        <v>1.5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</row>
    <row r="23" spans="1:31" ht="15.75" customHeight="1" x14ac:dyDescent="0.4">
      <c r="A23" s="19"/>
      <c r="B23" s="19"/>
      <c r="C23" s="19"/>
      <c r="D23" s="19"/>
      <c r="E23" s="19" t="s">
        <v>23</v>
      </c>
      <c r="F23" s="19" t="s">
        <v>142</v>
      </c>
      <c r="G23" s="19" t="s">
        <v>239</v>
      </c>
      <c r="H23" s="19" t="s">
        <v>238</v>
      </c>
      <c r="I23" s="21">
        <v>45356</v>
      </c>
      <c r="J23" s="21">
        <v>45357</v>
      </c>
      <c r="K23" s="19" t="s">
        <v>85</v>
      </c>
      <c r="L23" s="19" t="s">
        <v>115</v>
      </c>
      <c r="M23" s="19" t="s">
        <v>80</v>
      </c>
      <c r="N23" s="19">
        <v>6.5</v>
      </c>
      <c r="O23" s="24" t="s">
        <v>97</v>
      </c>
      <c r="P23" s="19">
        <v>1</v>
      </c>
      <c r="Q23" s="19">
        <v>2</v>
      </c>
      <c r="R23" s="19">
        <v>1.5</v>
      </c>
      <c r="S23" s="19">
        <v>2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</row>
    <row r="24" spans="1:31" ht="15.75" customHeight="1" x14ac:dyDescent="0.4">
      <c r="A24" s="19"/>
      <c r="B24" s="19"/>
      <c r="C24" s="19"/>
      <c r="D24" s="19"/>
      <c r="E24" s="19" t="s">
        <v>23</v>
      </c>
      <c r="F24" s="19" t="s">
        <v>75</v>
      </c>
      <c r="G24" s="19" t="s">
        <v>232</v>
      </c>
      <c r="H24" s="19" t="s">
        <v>238</v>
      </c>
      <c r="I24" s="21">
        <v>45357</v>
      </c>
      <c r="J24" s="21">
        <v>45358</v>
      </c>
      <c r="K24" s="19" t="s">
        <v>85</v>
      </c>
      <c r="L24" s="19" t="s">
        <v>115</v>
      </c>
      <c r="M24" s="19" t="s">
        <v>108</v>
      </c>
      <c r="N24" s="19">
        <v>7</v>
      </c>
      <c r="O24" s="24" t="s">
        <v>97</v>
      </c>
      <c r="P24" s="19">
        <v>1</v>
      </c>
      <c r="Q24" s="19">
        <v>2.5</v>
      </c>
      <c r="R24" s="19">
        <v>2.5</v>
      </c>
      <c r="S24" s="19">
        <v>1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</row>
    <row r="25" spans="1:31" ht="15.75" customHeight="1" x14ac:dyDescent="0.4">
      <c r="A25" s="19"/>
      <c r="B25" s="19"/>
      <c r="C25" s="19"/>
      <c r="D25" s="19"/>
      <c r="E25" s="19" t="s">
        <v>23</v>
      </c>
      <c r="F25" s="19" t="s">
        <v>75</v>
      </c>
      <c r="G25" s="19" t="s">
        <v>233</v>
      </c>
      <c r="H25" s="19" t="s">
        <v>238</v>
      </c>
      <c r="I25" s="21">
        <v>45357</v>
      </c>
      <c r="J25" s="21">
        <v>45358</v>
      </c>
      <c r="K25" s="19" t="s">
        <v>85</v>
      </c>
      <c r="L25" s="19" t="s">
        <v>115</v>
      </c>
      <c r="M25" s="19" t="s">
        <v>108</v>
      </c>
      <c r="N25" s="19">
        <v>6.5</v>
      </c>
      <c r="O25" s="24" t="s">
        <v>97</v>
      </c>
      <c r="P25" s="19">
        <v>1</v>
      </c>
      <c r="Q25" s="19">
        <v>2</v>
      </c>
      <c r="R25" s="19">
        <v>2</v>
      </c>
      <c r="S25" s="19">
        <v>1.5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</row>
    <row r="26" spans="1:31" ht="15.75" customHeight="1" x14ac:dyDescent="0.4">
      <c r="A26" s="19"/>
      <c r="B26" s="19"/>
      <c r="C26" s="19"/>
      <c r="D26" s="19"/>
      <c r="E26" s="19" t="s">
        <v>23</v>
      </c>
      <c r="F26" s="19" t="s">
        <v>210</v>
      </c>
      <c r="G26" s="19" t="s">
        <v>240</v>
      </c>
      <c r="H26" s="19" t="s">
        <v>238</v>
      </c>
      <c r="I26" s="21">
        <v>45357</v>
      </c>
      <c r="J26" s="21">
        <v>45357</v>
      </c>
      <c r="K26" s="19" t="s">
        <v>78</v>
      </c>
      <c r="L26" s="19" t="s">
        <v>107</v>
      </c>
      <c r="M26" s="19" t="s">
        <v>213</v>
      </c>
      <c r="N26" s="19">
        <v>8</v>
      </c>
      <c r="O26" s="24" t="s">
        <v>91</v>
      </c>
      <c r="P26" s="19">
        <v>1</v>
      </c>
      <c r="Q26" s="19">
        <v>4</v>
      </c>
      <c r="R26" s="19">
        <v>3</v>
      </c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</row>
    <row r="27" spans="1:31" ht="15.75" customHeight="1" x14ac:dyDescent="0.4">
      <c r="A27" s="19"/>
      <c r="B27" s="19"/>
      <c r="C27" s="19"/>
      <c r="D27" s="19"/>
      <c r="E27" s="19" t="s">
        <v>23</v>
      </c>
      <c r="F27" s="19" t="s">
        <v>241</v>
      </c>
      <c r="G27" s="19" t="s">
        <v>242</v>
      </c>
      <c r="H27" s="19" t="s">
        <v>238</v>
      </c>
      <c r="I27" s="21">
        <v>45357</v>
      </c>
      <c r="J27" s="21">
        <v>45358</v>
      </c>
      <c r="K27" s="19" t="s">
        <v>78</v>
      </c>
      <c r="L27" s="19" t="s">
        <v>115</v>
      </c>
      <c r="M27" s="19"/>
      <c r="N27" s="19">
        <v>8.5</v>
      </c>
      <c r="O27" s="24" t="s">
        <v>91</v>
      </c>
      <c r="P27" s="19">
        <v>1</v>
      </c>
      <c r="Q27" s="19">
        <v>2.5</v>
      </c>
      <c r="R27" s="19">
        <v>3</v>
      </c>
      <c r="S27" s="19">
        <v>2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</row>
    <row r="28" spans="1:31" ht="15.75" customHeight="1" x14ac:dyDescent="0.4">
      <c r="A28" s="19"/>
      <c r="B28" s="19"/>
      <c r="C28" s="19"/>
      <c r="D28" s="19"/>
      <c r="E28" s="19" t="s">
        <v>23</v>
      </c>
      <c r="F28" s="19" t="s">
        <v>241</v>
      </c>
      <c r="G28" s="19" t="s">
        <v>243</v>
      </c>
      <c r="H28" s="19" t="s">
        <v>238</v>
      </c>
      <c r="I28" s="21">
        <v>45357</v>
      </c>
      <c r="J28" s="21">
        <v>45357</v>
      </c>
      <c r="K28" s="19" t="s">
        <v>78</v>
      </c>
      <c r="L28" s="19" t="s">
        <v>115</v>
      </c>
      <c r="M28" s="19"/>
      <c r="N28" s="19">
        <v>8</v>
      </c>
      <c r="O28" s="24" t="s">
        <v>91</v>
      </c>
      <c r="P28" s="19">
        <v>1</v>
      </c>
      <c r="Q28" s="19">
        <v>3</v>
      </c>
      <c r="R28" s="19">
        <v>2</v>
      </c>
      <c r="S28" s="19">
        <v>2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</row>
    <row r="29" spans="1:31" ht="15.75" customHeight="1" x14ac:dyDescent="0.4">
      <c r="A29" s="19"/>
      <c r="B29" s="19"/>
      <c r="C29" s="19"/>
      <c r="D29" s="19"/>
      <c r="E29" s="19" t="s">
        <v>23</v>
      </c>
      <c r="F29" s="19" t="s">
        <v>75</v>
      </c>
      <c r="G29" s="19" t="s">
        <v>244</v>
      </c>
      <c r="H29" s="19" t="s">
        <v>238</v>
      </c>
      <c r="I29" s="21">
        <v>45358</v>
      </c>
      <c r="J29" s="21"/>
      <c r="K29" s="19" t="s">
        <v>85</v>
      </c>
      <c r="L29" s="19" t="s">
        <v>115</v>
      </c>
      <c r="M29" s="19" t="s">
        <v>80</v>
      </c>
      <c r="N29" s="19">
        <v>6</v>
      </c>
      <c r="O29" s="24" t="s">
        <v>97</v>
      </c>
      <c r="P29" s="19">
        <v>1</v>
      </c>
      <c r="Q29" s="19">
        <v>2</v>
      </c>
      <c r="R29" s="19">
        <v>2</v>
      </c>
      <c r="S29" s="19">
        <v>1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</row>
    <row r="30" spans="1:31" ht="15.75" customHeight="1" x14ac:dyDescent="0.4">
      <c r="A30" s="19"/>
      <c r="B30" s="19"/>
      <c r="C30" s="19"/>
      <c r="D30" s="19"/>
      <c r="E30" s="19" t="s">
        <v>23</v>
      </c>
      <c r="F30" s="19" t="s">
        <v>75</v>
      </c>
      <c r="G30" s="19" t="s">
        <v>245</v>
      </c>
      <c r="H30" s="19" t="s">
        <v>246</v>
      </c>
      <c r="I30" s="21">
        <v>45355</v>
      </c>
      <c r="J30" s="21"/>
      <c r="K30" s="19" t="s">
        <v>85</v>
      </c>
      <c r="L30" s="19" t="s">
        <v>115</v>
      </c>
      <c r="M30" s="19" t="s">
        <v>95</v>
      </c>
      <c r="N30" s="19">
        <v>7</v>
      </c>
      <c r="O30" s="24" t="s">
        <v>97</v>
      </c>
      <c r="P30" s="19">
        <v>1</v>
      </c>
      <c r="Q30" s="19">
        <v>2</v>
      </c>
      <c r="R30" s="19">
        <v>2.5</v>
      </c>
      <c r="S30" s="19">
        <v>1.5</v>
      </c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</row>
    <row r="31" spans="1:31" ht="15.75" customHeight="1" x14ac:dyDescent="0.4">
      <c r="A31" s="19"/>
      <c r="B31" s="19"/>
      <c r="C31" s="19"/>
      <c r="D31" s="19"/>
      <c r="E31" s="19" t="s">
        <v>23</v>
      </c>
      <c r="F31" s="19" t="s">
        <v>75</v>
      </c>
      <c r="G31" s="19" t="s">
        <v>247</v>
      </c>
      <c r="H31" s="19" t="s">
        <v>246</v>
      </c>
      <c r="I31" s="21">
        <v>45356</v>
      </c>
      <c r="J31" s="21">
        <v>45356</v>
      </c>
      <c r="K31" s="19" t="s">
        <v>85</v>
      </c>
      <c r="L31" s="19" t="s">
        <v>113</v>
      </c>
      <c r="M31" s="19" t="s">
        <v>95</v>
      </c>
      <c r="N31" s="19">
        <v>8</v>
      </c>
      <c r="O31" s="24" t="s">
        <v>91</v>
      </c>
      <c r="P31" s="19">
        <v>1</v>
      </c>
      <c r="Q31" s="19">
        <v>2.5</v>
      </c>
      <c r="R31" s="19">
        <v>3</v>
      </c>
      <c r="S31" s="19">
        <v>1.5</v>
      </c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</row>
    <row r="32" spans="1:31" ht="15.75" customHeight="1" x14ac:dyDescent="0.4">
      <c r="A32" s="19"/>
      <c r="B32" s="19"/>
      <c r="C32" s="19"/>
      <c r="D32" s="19"/>
      <c r="E32" s="19" t="s">
        <v>23</v>
      </c>
      <c r="F32" s="19" t="s">
        <v>75</v>
      </c>
      <c r="G32" s="19" t="s">
        <v>248</v>
      </c>
      <c r="H32" s="19" t="s">
        <v>246</v>
      </c>
      <c r="I32" s="21">
        <v>45356</v>
      </c>
      <c r="J32" s="21"/>
      <c r="K32" s="19" t="s">
        <v>85</v>
      </c>
      <c r="L32" s="19" t="s">
        <v>113</v>
      </c>
      <c r="M32" s="19" t="s">
        <v>95</v>
      </c>
      <c r="N32" s="19">
        <v>6</v>
      </c>
      <c r="O32" s="24" t="s">
        <v>97</v>
      </c>
      <c r="P32" s="19">
        <v>1</v>
      </c>
      <c r="Q32" s="19">
        <v>2</v>
      </c>
      <c r="R32" s="19">
        <v>2</v>
      </c>
      <c r="S32" s="19">
        <v>1</v>
      </c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</row>
    <row r="33" spans="1:31" ht="15.75" customHeight="1" x14ac:dyDescent="0.4">
      <c r="A33" s="19"/>
      <c r="B33" s="19"/>
      <c r="C33" s="19"/>
      <c r="D33" s="19"/>
      <c r="E33" s="19" t="s">
        <v>23</v>
      </c>
      <c r="F33" s="19" t="s">
        <v>89</v>
      </c>
      <c r="G33" s="19" t="s">
        <v>249</v>
      </c>
      <c r="H33" s="19" t="s">
        <v>246</v>
      </c>
      <c r="I33" s="21">
        <v>45356</v>
      </c>
      <c r="J33" s="21"/>
      <c r="K33" s="19" t="s">
        <v>85</v>
      </c>
      <c r="L33" s="19"/>
      <c r="M33" s="19"/>
      <c r="N33" s="19">
        <v>8</v>
      </c>
      <c r="O33" s="24" t="s">
        <v>91</v>
      </c>
      <c r="P33" s="19">
        <v>1.5</v>
      </c>
      <c r="Q33" s="19">
        <v>4</v>
      </c>
      <c r="R33" s="19">
        <v>2.5</v>
      </c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</row>
    <row r="34" spans="1:31" ht="15.75" customHeight="1" x14ac:dyDescent="0.4">
      <c r="A34" s="19"/>
      <c r="B34" s="19"/>
      <c r="C34" s="19"/>
      <c r="D34" s="19"/>
      <c r="E34" s="19" t="s">
        <v>23</v>
      </c>
      <c r="F34" s="19" t="s">
        <v>89</v>
      </c>
      <c r="G34" s="19" t="s">
        <v>250</v>
      </c>
      <c r="H34" s="19" t="s">
        <v>246</v>
      </c>
      <c r="I34" s="21">
        <v>45356</v>
      </c>
      <c r="J34" s="21">
        <v>45356</v>
      </c>
      <c r="K34" s="19" t="s">
        <v>85</v>
      </c>
      <c r="L34" s="19"/>
      <c r="M34" s="19"/>
      <c r="N34" s="19">
        <v>8.5</v>
      </c>
      <c r="O34" s="24" t="s">
        <v>91</v>
      </c>
      <c r="P34" s="19">
        <v>1.5</v>
      </c>
      <c r="Q34" s="19">
        <v>4.5</v>
      </c>
      <c r="R34" s="19">
        <v>2.5</v>
      </c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</row>
    <row r="35" spans="1:31" ht="13.15" x14ac:dyDescent="0.4">
      <c r="A35" s="19"/>
      <c r="B35" s="19"/>
      <c r="C35" s="19"/>
      <c r="D35" s="19"/>
      <c r="E35" s="19" t="s">
        <v>23</v>
      </c>
      <c r="F35" s="19" t="s">
        <v>89</v>
      </c>
      <c r="G35" s="19" t="s">
        <v>251</v>
      </c>
      <c r="H35" s="19" t="s">
        <v>246</v>
      </c>
      <c r="I35" s="21">
        <v>45356</v>
      </c>
      <c r="J35" s="21">
        <v>45356</v>
      </c>
      <c r="K35" s="19" t="s">
        <v>85</v>
      </c>
      <c r="L35" s="19"/>
      <c r="M35" s="19"/>
      <c r="N35" s="19">
        <v>8</v>
      </c>
      <c r="O35" s="24" t="s">
        <v>91</v>
      </c>
      <c r="P35" s="19">
        <v>1.5</v>
      </c>
      <c r="Q35" s="19">
        <v>4</v>
      </c>
      <c r="R35" s="19">
        <v>2.5</v>
      </c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</row>
    <row r="36" spans="1:31" ht="13.15" x14ac:dyDescent="0.4">
      <c r="A36" s="19"/>
      <c r="B36" s="19"/>
      <c r="C36" s="19"/>
      <c r="D36" s="19"/>
      <c r="E36" s="19" t="s">
        <v>23</v>
      </c>
      <c r="F36" s="19" t="s">
        <v>89</v>
      </c>
      <c r="G36" s="19" t="s">
        <v>252</v>
      </c>
      <c r="H36" s="19" t="s">
        <v>246</v>
      </c>
      <c r="I36" s="21">
        <v>45356</v>
      </c>
      <c r="J36" s="21"/>
      <c r="K36" s="19" t="s">
        <v>85</v>
      </c>
      <c r="L36" s="19"/>
      <c r="M36" s="19"/>
      <c r="N36" s="19">
        <v>8</v>
      </c>
      <c r="O36" s="24" t="s">
        <v>91</v>
      </c>
      <c r="P36" s="19">
        <v>1.5</v>
      </c>
      <c r="Q36" s="19">
        <v>4</v>
      </c>
      <c r="R36" s="19">
        <v>2.5</v>
      </c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</row>
    <row r="37" spans="1:31" ht="13.15" x14ac:dyDescent="0.4">
      <c r="A37" s="19"/>
      <c r="B37" s="19"/>
      <c r="C37" s="19"/>
      <c r="D37" s="19"/>
      <c r="E37" s="19" t="s">
        <v>23</v>
      </c>
      <c r="F37" s="19" t="s">
        <v>75</v>
      </c>
      <c r="G37" s="19" t="s">
        <v>253</v>
      </c>
      <c r="H37" s="19" t="s">
        <v>246</v>
      </c>
      <c r="I37" s="21">
        <v>45358</v>
      </c>
      <c r="J37" s="21"/>
      <c r="K37" s="19" t="s">
        <v>85</v>
      </c>
      <c r="L37" s="19" t="s">
        <v>115</v>
      </c>
      <c r="M37" s="19" t="s">
        <v>119</v>
      </c>
      <c r="N37" s="19">
        <v>7.5</v>
      </c>
      <c r="O37" s="24" t="s">
        <v>97</v>
      </c>
      <c r="P37" s="19">
        <v>1</v>
      </c>
      <c r="Q37" s="19">
        <v>2</v>
      </c>
      <c r="R37" s="19">
        <v>3</v>
      </c>
      <c r="S37" s="19">
        <v>1.5</v>
      </c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</row>
    <row r="38" spans="1:31" ht="13.15" x14ac:dyDescent="0.4">
      <c r="A38" s="19"/>
      <c r="B38" s="19"/>
      <c r="C38" s="19"/>
      <c r="D38" s="19"/>
      <c r="E38" s="19" t="s">
        <v>23</v>
      </c>
      <c r="F38" s="19" t="s">
        <v>209</v>
      </c>
      <c r="G38" s="19" t="s">
        <v>239</v>
      </c>
      <c r="H38" s="19" t="s">
        <v>246</v>
      </c>
      <c r="I38" s="21">
        <v>45358</v>
      </c>
      <c r="J38" s="21">
        <v>45358</v>
      </c>
      <c r="K38" s="19" t="s">
        <v>85</v>
      </c>
      <c r="L38" s="19" t="s">
        <v>115</v>
      </c>
      <c r="M38" s="19" t="s">
        <v>80</v>
      </c>
      <c r="N38" s="19">
        <v>7</v>
      </c>
      <c r="O38" s="24" t="s">
        <v>97</v>
      </c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</row>
    <row r="39" spans="1:31" ht="13.15" x14ac:dyDescent="0.4">
      <c r="A39" s="19"/>
      <c r="B39" s="19"/>
      <c r="C39" s="19"/>
      <c r="D39" s="19"/>
      <c r="E39" s="19" t="s">
        <v>23</v>
      </c>
      <c r="F39" s="19" t="s">
        <v>75</v>
      </c>
      <c r="G39" s="19" t="s">
        <v>254</v>
      </c>
      <c r="H39" s="19" t="s">
        <v>255</v>
      </c>
      <c r="I39" s="21">
        <v>45356</v>
      </c>
      <c r="J39" s="21">
        <v>45357</v>
      </c>
      <c r="K39" s="19" t="s">
        <v>85</v>
      </c>
      <c r="L39" s="19" t="s">
        <v>107</v>
      </c>
      <c r="M39" s="19" t="s">
        <v>95</v>
      </c>
      <c r="N39" s="19">
        <v>9</v>
      </c>
      <c r="O39" s="24" t="s">
        <v>91</v>
      </c>
      <c r="P39" s="19">
        <v>1</v>
      </c>
      <c r="Q39" s="19">
        <v>3</v>
      </c>
      <c r="R39" s="19">
        <v>4</v>
      </c>
      <c r="S39" s="19">
        <v>1</v>
      </c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</row>
    <row r="40" spans="1:31" ht="13.15" x14ac:dyDescent="0.4">
      <c r="A40" s="19"/>
      <c r="B40" s="19"/>
      <c r="C40" s="19"/>
      <c r="D40" s="19"/>
      <c r="E40" s="19" t="s">
        <v>23</v>
      </c>
      <c r="F40" s="19" t="s">
        <v>75</v>
      </c>
      <c r="G40" s="19" t="s">
        <v>256</v>
      </c>
      <c r="H40" s="19" t="s">
        <v>255</v>
      </c>
      <c r="I40" s="21">
        <v>45357</v>
      </c>
      <c r="J40" s="21"/>
      <c r="K40" s="19" t="s">
        <v>78</v>
      </c>
      <c r="L40" s="19" t="s">
        <v>107</v>
      </c>
      <c r="M40" s="19" t="s">
        <v>108</v>
      </c>
      <c r="N40" s="19">
        <v>8</v>
      </c>
      <c r="O40" s="24" t="s">
        <v>91</v>
      </c>
      <c r="P40" s="19">
        <v>1</v>
      </c>
      <c r="Q40" s="19">
        <v>2.5</v>
      </c>
      <c r="R40" s="19">
        <v>3.5</v>
      </c>
      <c r="S40" s="19">
        <v>1</v>
      </c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</row>
    <row r="41" spans="1:31" ht="13.15" x14ac:dyDescent="0.4">
      <c r="A41" s="19"/>
      <c r="B41" s="19"/>
      <c r="C41" s="19"/>
      <c r="D41" s="19"/>
      <c r="E41" s="19" t="s">
        <v>23</v>
      </c>
      <c r="F41" s="19" t="s">
        <v>75</v>
      </c>
      <c r="G41" s="19" t="s">
        <v>257</v>
      </c>
      <c r="H41" s="19" t="s">
        <v>255</v>
      </c>
      <c r="I41" s="21">
        <v>45357</v>
      </c>
      <c r="J41" s="21">
        <v>45357</v>
      </c>
      <c r="K41" s="19" t="s">
        <v>78</v>
      </c>
      <c r="L41" s="19" t="s">
        <v>107</v>
      </c>
      <c r="M41" s="19" t="s">
        <v>95</v>
      </c>
      <c r="N41" s="19">
        <v>8</v>
      </c>
      <c r="O41" s="24" t="s">
        <v>91</v>
      </c>
      <c r="P41" s="19">
        <v>1</v>
      </c>
      <c r="Q41" s="19">
        <v>2.5</v>
      </c>
      <c r="R41" s="19">
        <v>3.5</v>
      </c>
      <c r="S41" s="19">
        <v>1</v>
      </c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</row>
    <row r="42" spans="1:31" ht="13.15" x14ac:dyDescent="0.4">
      <c r="A42" s="19"/>
      <c r="B42" s="19"/>
      <c r="C42" s="19"/>
      <c r="D42" s="19"/>
      <c r="E42" s="19" t="s">
        <v>23</v>
      </c>
      <c r="F42" s="19" t="s">
        <v>75</v>
      </c>
      <c r="G42" s="19" t="s">
        <v>258</v>
      </c>
      <c r="H42" s="19" t="s">
        <v>255</v>
      </c>
      <c r="I42" s="21">
        <v>45357</v>
      </c>
      <c r="J42" s="21"/>
      <c r="K42" s="19" t="s">
        <v>85</v>
      </c>
      <c r="L42" s="19" t="s">
        <v>107</v>
      </c>
      <c r="M42" s="19" t="s">
        <v>108</v>
      </c>
      <c r="N42" s="19">
        <v>9</v>
      </c>
      <c r="O42" s="24" t="s">
        <v>91</v>
      </c>
      <c r="P42" s="19">
        <v>1</v>
      </c>
      <c r="Q42" s="19">
        <v>3</v>
      </c>
      <c r="R42" s="19">
        <v>4</v>
      </c>
      <c r="S42" s="19">
        <v>1</v>
      </c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</row>
    <row r="43" spans="1:31" ht="13.15" x14ac:dyDescent="0.4">
      <c r="A43" s="19"/>
      <c r="B43" s="19"/>
      <c r="C43" s="19"/>
      <c r="D43" s="19"/>
      <c r="E43" s="19" t="s">
        <v>23</v>
      </c>
      <c r="F43" s="19" t="s">
        <v>75</v>
      </c>
      <c r="G43" s="19" t="s">
        <v>259</v>
      </c>
      <c r="H43" s="19" t="s">
        <v>255</v>
      </c>
      <c r="I43" s="21">
        <v>45358</v>
      </c>
      <c r="J43" s="21">
        <v>45358</v>
      </c>
      <c r="K43" s="19" t="s">
        <v>85</v>
      </c>
      <c r="L43" s="19" t="s">
        <v>107</v>
      </c>
      <c r="M43" s="19" t="s">
        <v>95</v>
      </c>
      <c r="N43" s="19">
        <v>9</v>
      </c>
      <c r="O43" s="24" t="s">
        <v>91</v>
      </c>
      <c r="P43" s="19">
        <v>1</v>
      </c>
      <c r="Q43" s="19">
        <v>3</v>
      </c>
      <c r="R43" s="19">
        <v>4</v>
      </c>
      <c r="S43" s="19">
        <v>1</v>
      </c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</row>
    <row r="44" spans="1:31" ht="13.15" x14ac:dyDescent="0.4">
      <c r="A44" s="19"/>
      <c r="B44" s="19"/>
      <c r="C44" s="19"/>
      <c r="D44" s="19"/>
      <c r="E44" s="19" t="s">
        <v>23</v>
      </c>
      <c r="F44" s="19" t="s">
        <v>75</v>
      </c>
      <c r="G44" s="19" t="s">
        <v>260</v>
      </c>
      <c r="H44" s="19" t="s">
        <v>255</v>
      </c>
      <c r="I44" s="21">
        <v>45358</v>
      </c>
      <c r="J44" s="21"/>
      <c r="K44" s="19" t="s">
        <v>78</v>
      </c>
      <c r="L44" s="19" t="s">
        <v>107</v>
      </c>
      <c r="M44" s="19" t="s">
        <v>95</v>
      </c>
      <c r="N44" s="19">
        <v>8</v>
      </c>
      <c r="O44" s="24" t="s">
        <v>91</v>
      </c>
      <c r="P44" s="19">
        <v>1</v>
      </c>
      <c r="Q44" s="19">
        <v>2</v>
      </c>
      <c r="R44" s="19">
        <v>4</v>
      </c>
      <c r="S44" s="19">
        <v>1</v>
      </c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</row>
    <row r="45" spans="1:31" ht="13.15" x14ac:dyDescent="0.4">
      <c r="A45" s="19"/>
      <c r="B45" s="19"/>
      <c r="C45" s="19"/>
      <c r="D45" s="19"/>
      <c r="E45" s="19" t="s">
        <v>23</v>
      </c>
      <c r="F45" s="19" t="s">
        <v>89</v>
      </c>
      <c r="G45" s="19" t="s">
        <v>261</v>
      </c>
      <c r="H45" s="19" t="s">
        <v>255</v>
      </c>
      <c r="I45" s="21">
        <v>45358</v>
      </c>
      <c r="J45" s="21"/>
      <c r="K45" s="19" t="s">
        <v>85</v>
      </c>
      <c r="L45" s="19"/>
      <c r="M45" s="19"/>
      <c r="N45" s="19">
        <v>8</v>
      </c>
      <c r="O45" s="24" t="s">
        <v>91</v>
      </c>
      <c r="P45" s="19">
        <v>1.5</v>
      </c>
      <c r="Q45" s="19">
        <v>4</v>
      </c>
      <c r="R45" s="19">
        <v>2.5</v>
      </c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</row>
    <row r="46" spans="1:31" ht="13.15" x14ac:dyDescent="0.4">
      <c r="A46" s="19"/>
      <c r="B46" s="19"/>
      <c r="C46" s="19"/>
      <c r="D46" s="19"/>
      <c r="E46" s="19" t="s">
        <v>23</v>
      </c>
      <c r="F46" s="19" t="s">
        <v>89</v>
      </c>
      <c r="G46" s="19" t="s">
        <v>262</v>
      </c>
      <c r="H46" s="19" t="s">
        <v>255</v>
      </c>
      <c r="I46" s="21">
        <v>45358</v>
      </c>
      <c r="J46" s="21">
        <v>45358</v>
      </c>
      <c r="K46" s="19" t="s">
        <v>85</v>
      </c>
      <c r="L46" s="19"/>
      <c r="M46" s="19"/>
      <c r="N46" s="19">
        <v>9.5</v>
      </c>
      <c r="O46" s="24" t="s">
        <v>91</v>
      </c>
      <c r="P46" s="19">
        <v>2</v>
      </c>
      <c r="Q46" s="19">
        <v>5</v>
      </c>
      <c r="R46" s="19">
        <v>2.5</v>
      </c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</row>
    <row r="47" spans="1:31" ht="13.15" x14ac:dyDescent="0.4">
      <c r="A47" s="19"/>
      <c r="B47" s="19"/>
      <c r="C47" s="19"/>
      <c r="D47" s="19"/>
      <c r="E47" s="19" t="s">
        <v>23</v>
      </c>
      <c r="F47" s="19" t="s">
        <v>75</v>
      </c>
      <c r="G47" s="19" t="s">
        <v>263</v>
      </c>
      <c r="H47" s="19" t="s">
        <v>264</v>
      </c>
      <c r="I47" s="21">
        <v>45356</v>
      </c>
      <c r="J47" s="21"/>
      <c r="K47" s="19" t="s">
        <v>85</v>
      </c>
      <c r="L47" s="19" t="s">
        <v>113</v>
      </c>
      <c r="M47" s="19" t="s">
        <v>95</v>
      </c>
      <c r="N47" s="19">
        <v>7.5</v>
      </c>
      <c r="O47" s="24" t="s">
        <v>97</v>
      </c>
      <c r="P47" s="19">
        <v>1</v>
      </c>
      <c r="Q47" s="19">
        <v>3</v>
      </c>
      <c r="R47" s="19">
        <v>3</v>
      </c>
      <c r="S47" s="19">
        <v>0.5</v>
      </c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</row>
    <row r="48" spans="1:31" ht="13.15" x14ac:dyDescent="0.4">
      <c r="A48" s="19"/>
      <c r="B48" s="19"/>
      <c r="C48" s="19"/>
      <c r="D48" s="19"/>
      <c r="E48" s="19" t="s">
        <v>23</v>
      </c>
      <c r="F48" s="19" t="s">
        <v>75</v>
      </c>
      <c r="G48" s="19" t="s">
        <v>265</v>
      </c>
      <c r="H48" s="19" t="s">
        <v>264</v>
      </c>
      <c r="I48" s="21">
        <v>45356</v>
      </c>
      <c r="J48" s="21">
        <v>45357</v>
      </c>
      <c r="K48" s="19" t="s">
        <v>78</v>
      </c>
      <c r="L48" s="19" t="s">
        <v>113</v>
      </c>
      <c r="M48" s="19" t="s">
        <v>95</v>
      </c>
      <c r="N48" s="19">
        <v>7.5</v>
      </c>
      <c r="O48" s="24" t="s">
        <v>97</v>
      </c>
      <c r="P48" s="19">
        <v>1</v>
      </c>
      <c r="Q48" s="19">
        <v>3</v>
      </c>
      <c r="R48" s="19">
        <v>2</v>
      </c>
      <c r="S48" s="19">
        <v>1.5</v>
      </c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</row>
    <row r="49" spans="1:31" ht="13.15" x14ac:dyDescent="0.4">
      <c r="A49" s="19"/>
      <c r="B49" s="19"/>
      <c r="C49" s="19"/>
      <c r="D49" s="19"/>
      <c r="E49" s="19" t="s">
        <v>23</v>
      </c>
      <c r="F49" s="19" t="s">
        <v>75</v>
      </c>
      <c r="G49" s="19" t="s">
        <v>266</v>
      </c>
      <c r="H49" s="19" t="s">
        <v>264</v>
      </c>
      <c r="I49" s="21">
        <v>45356</v>
      </c>
      <c r="J49" s="21">
        <v>45357</v>
      </c>
      <c r="K49" s="19" t="s">
        <v>85</v>
      </c>
      <c r="L49" s="19" t="s">
        <v>113</v>
      </c>
      <c r="M49" s="19" t="s">
        <v>108</v>
      </c>
      <c r="N49" s="19">
        <v>6.5</v>
      </c>
      <c r="O49" s="24" t="s">
        <v>97</v>
      </c>
      <c r="P49" s="19">
        <v>1</v>
      </c>
      <c r="Q49" s="19">
        <v>2.5</v>
      </c>
      <c r="R49" s="19">
        <v>2.5</v>
      </c>
      <c r="S49" s="19">
        <v>0.5</v>
      </c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</row>
    <row r="50" spans="1:31" ht="13.15" x14ac:dyDescent="0.4">
      <c r="A50" s="19"/>
      <c r="B50" s="19"/>
      <c r="C50" s="19"/>
      <c r="D50" s="19"/>
      <c r="E50" s="19" t="s">
        <v>23</v>
      </c>
      <c r="F50" s="19" t="s">
        <v>75</v>
      </c>
      <c r="G50" s="19" t="s">
        <v>267</v>
      </c>
      <c r="H50" s="19" t="s">
        <v>264</v>
      </c>
      <c r="I50" s="21">
        <v>45357</v>
      </c>
      <c r="J50" s="21">
        <v>45358</v>
      </c>
      <c r="K50" s="19" t="s">
        <v>78</v>
      </c>
      <c r="L50" s="19" t="s">
        <v>113</v>
      </c>
      <c r="M50" s="19" t="s">
        <v>117</v>
      </c>
      <c r="N50" s="19">
        <v>8.5</v>
      </c>
      <c r="O50" s="24" t="s">
        <v>91</v>
      </c>
      <c r="P50" s="19">
        <v>1</v>
      </c>
      <c r="Q50" s="19">
        <v>3</v>
      </c>
      <c r="R50" s="19">
        <v>3.5</v>
      </c>
      <c r="S50" s="19">
        <v>1</v>
      </c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</row>
    <row r="51" spans="1:31" ht="13.15" x14ac:dyDescent="0.4">
      <c r="A51" s="19"/>
      <c r="B51" s="19"/>
      <c r="C51" s="19"/>
      <c r="D51" s="19"/>
      <c r="E51" s="19" t="s">
        <v>23</v>
      </c>
      <c r="F51" s="19" t="s">
        <v>75</v>
      </c>
      <c r="G51" s="19" t="s">
        <v>268</v>
      </c>
      <c r="H51" s="19" t="s">
        <v>264</v>
      </c>
      <c r="I51" s="21">
        <v>45357</v>
      </c>
      <c r="J51" s="21"/>
      <c r="K51" s="19" t="s">
        <v>85</v>
      </c>
      <c r="L51" s="19" t="s">
        <v>113</v>
      </c>
      <c r="M51" s="19" t="s">
        <v>80</v>
      </c>
      <c r="N51" s="19">
        <v>7.5</v>
      </c>
      <c r="O51" s="24" t="s">
        <v>97</v>
      </c>
      <c r="P51" s="19">
        <v>1</v>
      </c>
      <c r="Q51" s="19">
        <v>3</v>
      </c>
      <c r="R51" s="19">
        <v>2</v>
      </c>
      <c r="S51" s="19">
        <v>1.5</v>
      </c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</row>
    <row r="52" spans="1:31" ht="13.15" x14ac:dyDescent="0.4">
      <c r="A52" s="19"/>
      <c r="B52" s="19"/>
      <c r="C52" s="19"/>
      <c r="D52" s="19"/>
      <c r="E52" s="19" t="s">
        <v>23</v>
      </c>
      <c r="F52" s="19" t="s">
        <v>75</v>
      </c>
      <c r="G52" s="19" t="s">
        <v>269</v>
      </c>
      <c r="H52" s="19" t="s">
        <v>264</v>
      </c>
      <c r="I52" s="21">
        <v>45357</v>
      </c>
      <c r="J52" s="21"/>
      <c r="K52" s="19" t="s">
        <v>78</v>
      </c>
      <c r="L52" s="19" t="s">
        <v>113</v>
      </c>
      <c r="M52" s="19" t="s">
        <v>108</v>
      </c>
      <c r="N52" s="19">
        <v>5.5</v>
      </c>
      <c r="O52" s="24" t="s">
        <v>81</v>
      </c>
      <c r="P52" s="19">
        <v>1</v>
      </c>
      <c r="Q52" s="19">
        <v>2</v>
      </c>
      <c r="R52" s="19">
        <v>2</v>
      </c>
      <c r="S52" s="19">
        <v>0.5</v>
      </c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</row>
    <row r="53" spans="1:31" ht="13.15" x14ac:dyDescent="0.4">
      <c r="A53" s="19"/>
      <c r="B53" s="19"/>
      <c r="C53" s="19"/>
      <c r="D53" s="19"/>
      <c r="E53" s="19" t="s">
        <v>23</v>
      </c>
      <c r="F53" s="19" t="s">
        <v>75</v>
      </c>
      <c r="G53" s="19" t="s">
        <v>270</v>
      </c>
      <c r="H53" s="19" t="s">
        <v>264</v>
      </c>
      <c r="I53" s="21">
        <v>45357</v>
      </c>
      <c r="J53" s="21">
        <v>45359</v>
      </c>
      <c r="K53" s="19" t="s">
        <v>85</v>
      </c>
      <c r="L53" s="19" t="s">
        <v>113</v>
      </c>
      <c r="M53" s="19" t="s">
        <v>119</v>
      </c>
      <c r="N53" s="19">
        <v>7</v>
      </c>
      <c r="O53" s="24" t="s">
        <v>97</v>
      </c>
      <c r="P53" s="19">
        <v>1</v>
      </c>
      <c r="Q53" s="19">
        <v>2.5</v>
      </c>
      <c r="R53" s="19">
        <v>3</v>
      </c>
      <c r="S53" s="19">
        <v>0.5</v>
      </c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</row>
    <row r="54" spans="1:31" ht="13.15" x14ac:dyDescent="0.4">
      <c r="A54" s="19"/>
      <c r="B54" s="19"/>
      <c r="C54" s="19"/>
      <c r="D54" s="19"/>
      <c r="E54" s="19" t="s">
        <v>23</v>
      </c>
      <c r="F54" s="19" t="s">
        <v>89</v>
      </c>
      <c r="G54" s="19" t="s">
        <v>271</v>
      </c>
      <c r="H54" s="19" t="s">
        <v>264</v>
      </c>
      <c r="I54" s="21">
        <v>45359</v>
      </c>
      <c r="J54" s="21"/>
      <c r="K54" s="19" t="s">
        <v>85</v>
      </c>
      <c r="L54" s="19"/>
      <c r="M54" s="19"/>
      <c r="N54" s="19">
        <v>7.5</v>
      </c>
      <c r="O54" s="24" t="s">
        <v>97</v>
      </c>
      <c r="P54" s="19">
        <v>2</v>
      </c>
      <c r="Q54" s="19">
        <v>4</v>
      </c>
      <c r="R54" s="19">
        <v>1.5</v>
      </c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</row>
    <row r="55" spans="1:31" ht="13.15" x14ac:dyDescent="0.4">
      <c r="A55" s="19"/>
      <c r="B55" s="19"/>
      <c r="C55" s="19"/>
      <c r="D55" s="19"/>
      <c r="E55" s="19" t="s">
        <v>23</v>
      </c>
      <c r="F55" s="19" t="s">
        <v>75</v>
      </c>
      <c r="G55" s="19" t="s">
        <v>272</v>
      </c>
      <c r="H55" s="19" t="s">
        <v>273</v>
      </c>
      <c r="I55" s="21">
        <v>45355</v>
      </c>
      <c r="J55" s="21">
        <v>45356</v>
      </c>
      <c r="K55" s="19" t="s">
        <v>78</v>
      </c>
      <c r="L55" s="19" t="s">
        <v>115</v>
      </c>
      <c r="M55" s="19" t="s">
        <v>108</v>
      </c>
      <c r="N55" s="19">
        <v>6.5</v>
      </c>
      <c r="O55" s="24" t="s">
        <v>97</v>
      </c>
      <c r="P55" s="19">
        <v>1</v>
      </c>
      <c r="Q55" s="19">
        <v>2</v>
      </c>
      <c r="R55" s="19">
        <v>2</v>
      </c>
      <c r="S55" s="19">
        <v>1.5</v>
      </c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</row>
    <row r="56" spans="1:31" ht="13.15" x14ac:dyDescent="0.4">
      <c r="A56" s="19"/>
      <c r="B56" s="19"/>
      <c r="C56" s="19"/>
      <c r="D56" s="19"/>
      <c r="E56" s="19" t="s">
        <v>23</v>
      </c>
      <c r="F56" s="19" t="s">
        <v>75</v>
      </c>
      <c r="G56" s="19" t="s">
        <v>274</v>
      </c>
      <c r="H56" s="19" t="s">
        <v>273</v>
      </c>
      <c r="I56" s="21">
        <v>45355</v>
      </c>
      <c r="J56" s="21">
        <v>45356</v>
      </c>
      <c r="K56" s="19" t="s">
        <v>85</v>
      </c>
      <c r="L56" s="19" t="s">
        <v>107</v>
      </c>
      <c r="M56" s="19" t="s">
        <v>117</v>
      </c>
      <c r="N56" s="19">
        <v>7</v>
      </c>
      <c r="O56" s="24" t="s">
        <v>97</v>
      </c>
      <c r="P56" s="19">
        <v>1</v>
      </c>
      <c r="Q56" s="19">
        <v>2.5</v>
      </c>
      <c r="R56" s="19">
        <v>2</v>
      </c>
      <c r="S56" s="19">
        <v>1.5</v>
      </c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</row>
    <row r="57" spans="1:31" ht="13.15" x14ac:dyDescent="0.4">
      <c r="A57" s="19"/>
      <c r="B57" s="19"/>
      <c r="C57" s="19"/>
      <c r="D57" s="19"/>
      <c r="E57" s="19" t="s">
        <v>23</v>
      </c>
      <c r="F57" s="19" t="s">
        <v>75</v>
      </c>
      <c r="G57" s="19" t="s">
        <v>275</v>
      </c>
      <c r="H57" s="19" t="s">
        <v>273</v>
      </c>
      <c r="I57" s="21">
        <v>45356</v>
      </c>
      <c r="J57" s="21"/>
      <c r="K57" s="19" t="s">
        <v>78</v>
      </c>
      <c r="L57" s="19" t="s">
        <v>107</v>
      </c>
      <c r="M57" s="19" t="s">
        <v>119</v>
      </c>
      <c r="N57" s="19">
        <v>7</v>
      </c>
      <c r="O57" s="24" t="s">
        <v>97</v>
      </c>
      <c r="P57" s="19">
        <v>1</v>
      </c>
      <c r="Q57" s="19">
        <v>2.5</v>
      </c>
      <c r="R57" s="19">
        <v>2</v>
      </c>
      <c r="S57" s="19">
        <v>1.5</v>
      </c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</row>
    <row r="58" spans="1:31" ht="13.15" x14ac:dyDescent="0.4">
      <c r="A58" s="19"/>
      <c r="B58" s="19"/>
      <c r="C58" s="19"/>
      <c r="D58" s="19"/>
      <c r="E58" s="19" t="s">
        <v>23</v>
      </c>
      <c r="F58" s="19" t="s">
        <v>75</v>
      </c>
      <c r="G58" s="19" t="s">
        <v>258</v>
      </c>
      <c r="H58" s="19" t="s">
        <v>273</v>
      </c>
      <c r="I58" s="21">
        <v>45356</v>
      </c>
      <c r="J58" s="21"/>
      <c r="K58" s="19" t="s">
        <v>85</v>
      </c>
      <c r="L58" s="19" t="s">
        <v>107</v>
      </c>
      <c r="M58" s="19" t="s">
        <v>108</v>
      </c>
      <c r="N58" s="19">
        <v>8.5</v>
      </c>
      <c r="O58" s="24" t="s">
        <v>91</v>
      </c>
      <c r="P58" s="19">
        <v>1</v>
      </c>
      <c r="Q58" s="19">
        <v>2.5</v>
      </c>
      <c r="R58" s="19">
        <v>3.5</v>
      </c>
      <c r="S58" s="19">
        <v>1.5</v>
      </c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</row>
    <row r="59" spans="1:31" ht="13.15" x14ac:dyDescent="0.4">
      <c r="A59" s="19"/>
      <c r="B59" s="19"/>
      <c r="C59" s="19"/>
      <c r="D59" s="19"/>
      <c r="E59" s="19" t="s">
        <v>23</v>
      </c>
      <c r="F59" s="19" t="s">
        <v>75</v>
      </c>
      <c r="G59" s="19" t="s">
        <v>276</v>
      </c>
      <c r="H59" s="19" t="s">
        <v>273</v>
      </c>
      <c r="I59" s="21">
        <v>45356</v>
      </c>
      <c r="J59" s="21">
        <v>45357</v>
      </c>
      <c r="K59" s="19" t="s">
        <v>78</v>
      </c>
      <c r="L59" s="19" t="s">
        <v>107</v>
      </c>
      <c r="M59" s="19" t="s">
        <v>119</v>
      </c>
      <c r="N59" s="19">
        <v>7.5</v>
      </c>
      <c r="O59" s="24" t="s">
        <v>97</v>
      </c>
      <c r="P59" s="19">
        <v>1</v>
      </c>
      <c r="Q59" s="19">
        <v>2</v>
      </c>
      <c r="R59" s="19">
        <v>3</v>
      </c>
      <c r="S59" s="19">
        <v>1.5</v>
      </c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</row>
    <row r="60" spans="1:31" ht="13.15" x14ac:dyDescent="0.4">
      <c r="A60" s="19"/>
      <c r="B60" s="19"/>
      <c r="C60" s="19"/>
      <c r="D60" s="19"/>
      <c r="E60" s="19" t="s">
        <v>23</v>
      </c>
      <c r="F60" s="19" t="s">
        <v>75</v>
      </c>
      <c r="G60" s="19" t="s">
        <v>277</v>
      </c>
      <c r="H60" s="19" t="s">
        <v>273</v>
      </c>
      <c r="I60" s="21">
        <v>45357</v>
      </c>
      <c r="J60" s="21">
        <v>45358</v>
      </c>
      <c r="K60" s="19" t="s">
        <v>85</v>
      </c>
      <c r="L60" s="19" t="s">
        <v>107</v>
      </c>
      <c r="M60" s="19" t="s">
        <v>119</v>
      </c>
      <c r="N60" s="19">
        <v>9</v>
      </c>
      <c r="O60" s="24" t="s">
        <v>91</v>
      </c>
      <c r="P60" s="19">
        <v>1</v>
      </c>
      <c r="Q60" s="19">
        <v>3</v>
      </c>
      <c r="R60" s="19">
        <v>3.5</v>
      </c>
      <c r="S60" s="19">
        <v>1.5</v>
      </c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</row>
    <row r="61" spans="1:31" ht="13.15" x14ac:dyDescent="0.4">
      <c r="A61" s="19"/>
      <c r="B61" s="19"/>
      <c r="C61" s="19"/>
      <c r="D61" s="19"/>
      <c r="E61" s="19" t="s">
        <v>23</v>
      </c>
      <c r="F61" s="19" t="s">
        <v>75</v>
      </c>
      <c r="G61" s="19" t="s">
        <v>278</v>
      </c>
      <c r="H61" s="19" t="s">
        <v>273</v>
      </c>
      <c r="I61" s="21">
        <v>45358</v>
      </c>
      <c r="J61" s="21">
        <v>45358</v>
      </c>
      <c r="K61" s="19" t="s">
        <v>85</v>
      </c>
      <c r="L61" s="19" t="s">
        <v>107</v>
      </c>
      <c r="M61" s="19" t="s">
        <v>117</v>
      </c>
      <c r="N61" s="19">
        <v>9</v>
      </c>
      <c r="O61" s="24" t="s">
        <v>91</v>
      </c>
      <c r="P61" s="19">
        <v>1</v>
      </c>
      <c r="Q61" s="19">
        <v>3</v>
      </c>
      <c r="R61" s="19">
        <v>3.5</v>
      </c>
      <c r="S61" s="19">
        <v>1.5</v>
      </c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</row>
    <row r="62" spans="1:31" ht="13.15" x14ac:dyDescent="0.4">
      <c r="A62" s="19"/>
      <c r="B62" s="19"/>
      <c r="C62" s="19"/>
      <c r="D62" s="19"/>
      <c r="E62" s="19" t="s">
        <v>23</v>
      </c>
      <c r="F62" s="19" t="s">
        <v>75</v>
      </c>
      <c r="G62" s="19" t="s">
        <v>279</v>
      </c>
      <c r="H62" s="19" t="s">
        <v>273</v>
      </c>
      <c r="I62" s="21">
        <v>45358</v>
      </c>
      <c r="J62" s="21">
        <v>45358</v>
      </c>
      <c r="K62" s="19" t="s">
        <v>85</v>
      </c>
      <c r="L62" s="19" t="s">
        <v>107</v>
      </c>
      <c r="M62" s="19" t="s">
        <v>80</v>
      </c>
      <c r="N62" s="19">
        <v>9.5</v>
      </c>
      <c r="O62" s="24" t="s">
        <v>129</v>
      </c>
      <c r="P62" s="19">
        <v>1</v>
      </c>
      <c r="Q62" s="19">
        <v>3</v>
      </c>
      <c r="R62" s="19">
        <v>3.5</v>
      </c>
      <c r="S62" s="19">
        <v>2</v>
      </c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</row>
    <row r="63" spans="1:31" ht="13.15" x14ac:dyDescent="0.4">
      <c r="A63" s="19"/>
      <c r="B63" s="19"/>
      <c r="C63" s="19"/>
      <c r="D63" s="19"/>
      <c r="E63" s="19" t="s">
        <v>23</v>
      </c>
      <c r="F63" s="19" t="s">
        <v>89</v>
      </c>
      <c r="G63" s="19" t="s">
        <v>280</v>
      </c>
      <c r="H63" s="19" t="s">
        <v>273</v>
      </c>
      <c r="I63" s="21">
        <v>45358</v>
      </c>
      <c r="J63" s="21"/>
      <c r="K63" s="19" t="s">
        <v>85</v>
      </c>
      <c r="L63" s="19"/>
      <c r="M63" s="19"/>
      <c r="N63" s="19">
        <v>8</v>
      </c>
      <c r="O63" s="24" t="s">
        <v>91</v>
      </c>
      <c r="P63" s="19">
        <v>1.5</v>
      </c>
      <c r="Q63" s="19">
        <v>4</v>
      </c>
      <c r="R63" s="19">
        <v>2.5</v>
      </c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</row>
    <row r="64" spans="1:31" ht="13.15" x14ac:dyDescent="0.4">
      <c r="A64" s="19"/>
      <c r="B64" s="19"/>
      <c r="C64" s="19"/>
      <c r="D64" s="19"/>
      <c r="E64" s="19" t="s">
        <v>23</v>
      </c>
      <c r="F64" s="19" t="s">
        <v>142</v>
      </c>
      <c r="G64" s="19" t="s">
        <v>281</v>
      </c>
      <c r="H64" s="19" t="s">
        <v>273</v>
      </c>
      <c r="I64" s="21">
        <v>45358</v>
      </c>
      <c r="J64" s="21">
        <v>45359</v>
      </c>
      <c r="K64" s="19" t="s">
        <v>78</v>
      </c>
      <c r="L64" s="19" t="s">
        <v>107</v>
      </c>
      <c r="M64" s="19" t="s">
        <v>108</v>
      </c>
      <c r="N64" s="19">
        <v>6</v>
      </c>
      <c r="O64" s="24" t="s">
        <v>97</v>
      </c>
      <c r="P64" s="19">
        <v>1</v>
      </c>
      <c r="Q64" s="19">
        <v>1.5</v>
      </c>
      <c r="R64" s="19">
        <v>2</v>
      </c>
      <c r="S64" s="19">
        <v>1.5</v>
      </c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</row>
    <row r="65" spans="1:31" ht="13.15" x14ac:dyDescent="0.4">
      <c r="A65" s="19"/>
      <c r="B65" s="19"/>
      <c r="C65" s="19"/>
      <c r="D65" s="19"/>
      <c r="E65" s="19"/>
      <c r="F65" s="19"/>
      <c r="G65" s="19"/>
      <c r="H65" s="19"/>
      <c r="I65" s="21"/>
      <c r="J65" s="21"/>
      <c r="K65" s="19"/>
      <c r="L65" s="19"/>
      <c r="M65" s="19"/>
      <c r="N65" s="19"/>
      <c r="O65" s="24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</row>
    <row r="66" spans="1:31" ht="13.15" x14ac:dyDescent="0.4">
      <c r="A66" s="19"/>
      <c r="B66" s="19"/>
      <c r="C66" s="19"/>
      <c r="D66" s="19"/>
      <c r="E66" s="19"/>
      <c r="F66" s="19"/>
      <c r="G66" s="19"/>
      <c r="H66" s="19"/>
      <c r="I66" s="21"/>
      <c r="J66" s="21"/>
      <c r="K66" s="19"/>
      <c r="L66" s="19"/>
      <c r="M66" s="19"/>
      <c r="N66" s="19"/>
      <c r="O66" s="24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</row>
    <row r="67" spans="1:31" ht="13.15" x14ac:dyDescent="0.4">
      <c r="A67" s="19"/>
      <c r="B67" s="19"/>
      <c r="C67" s="19"/>
      <c r="D67" s="19"/>
      <c r="E67" s="19"/>
      <c r="F67" s="19"/>
      <c r="G67" s="19"/>
      <c r="H67" s="19"/>
      <c r="I67" s="21"/>
      <c r="J67" s="21"/>
      <c r="K67" s="19"/>
      <c r="L67" s="19"/>
      <c r="M67" s="19"/>
      <c r="N67" s="19"/>
      <c r="O67" s="24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</row>
    <row r="68" spans="1:31" ht="13.15" x14ac:dyDescent="0.4">
      <c r="A68" s="19"/>
      <c r="B68" s="19"/>
      <c r="C68" s="19"/>
      <c r="D68" s="19"/>
      <c r="E68" s="19"/>
      <c r="F68" s="19"/>
      <c r="G68" s="19"/>
      <c r="H68" s="19"/>
      <c r="I68" s="21"/>
      <c r="J68" s="21"/>
      <c r="K68" s="19"/>
      <c r="L68" s="19"/>
      <c r="M68" s="19"/>
      <c r="N68" s="19"/>
      <c r="O68" s="24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</row>
    <row r="69" spans="1:31" ht="13.15" x14ac:dyDescent="0.4">
      <c r="A69" s="19"/>
      <c r="B69" s="19"/>
      <c r="C69" s="19"/>
      <c r="D69" s="19"/>
      <c r="E69" s="19"/>
      <c r="F69" s="19"/>
      <c r="G69" s="19"/>
      <c r="H69" s="19"/>
      <c r="I69" s="21"/>
      <c r="J69" s="21"/>
      <c r="K69" s="19"/>
      <c r="L69" s="19"/>
      <c r="M69" s="19"/>
      <c r="N69" s="19"/>
      <c r="O69" s="24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</row>
    <row r="70" spans="1:31" ht="13.15" x14ac:dyDescent="0.4">
      <c r="A70" s="19"/>
      <c r="B70" s="19"/>
      <c r="C70" s="19"/>
      <c r="D70" s="19"/>
      <c r="E70" s="19"/>
      <c r="F70" s="19"/>
      <c r="G70" s="19"/>
      <c r="H70" s="19"/>
      <c r="I70" s="21"/>
      <c r="J70" s="21"/>
      <c r="K70" s="19"/>
      <c r="L70" s="19"/>
      <c r="M70" s="19"/>
      <c r="N70" s="19"/>
      <c r="O70" s="24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</row>
    <row r="71" spans="1:31" ht="13.15" x14ac:dyDescent="0.4">
      <c r="A71" s="19"/>
      <c r="B71" s="19"/>
      <c r="C71" s="19"/>
      <c r="D71" s="19"/>
      <c r="E71" s="19"/>
      <c r="F71" s="19"/>
      <c r="G71" s="19"/>
      <c r="H71" s="19"/>
      <c r="I71" s="21"/>
      <c r="J71" s="21"/>
      <c r="K71" s="19"/>
      <c r="L71" s="19"/>
      <c r="M71" s="19"/>
      <c r="N71" s="19"/>
      <c r="O71" s="24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</row>
    <row r="72" spans="1:31" ht="13.15" x14ac:dyDescent="0.4">
      <c r="A72" s="19"/>
      <c r="B72" s="19"/>
      <c r="C72" s="19"/>
      <c r="D72" s="19"/>
      <c r="E72" s="19"/>
      <c r="F72" s="19"/>
      <c r="G72" s="19"/>
      <c r="H72" s="19"/>
      <c r="I72" s="21"/>
      <c r="J72" s="21"/>
      <c r="K72" s="19"/>
      <c r="L72" s="19"/>
      <c r="M72" s="19"/>
      <c r="N72" s="19"/>
      <c r="O72" s="24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</row>
    <row r="73" spans="1:31" ht="13.15" x14ac:dyDescent="0.4">
      <c r="A73" s="19"/>
      <c r="B73" s="19"/>
      <c r="C73" s="19"/>
      <c r="D73" s="19"/>
      <c r="E73" s="19"/>
      <c r="F73" s="19"/>
      <c r="G73" s="19"/>
      <c r="H73" s="19"/>
      <c r="I73" s="21"/>
      <c r="J73" s="21"/>
      <c r="K73" s="19"/>
      <c r="L73" s="19"/>
      <c r="M73" s="19"/>
      <c r="N73" s="19"/>
      <c r="O73" s="24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</row>
    <row r="74" spans="1:31" ht="13.15" x14ac:dyDescent="0.4">
      <c r="A74" s="19"/>
      <c r="B74" s="19"/>
      <c r="C74" s="19"/>
      <c r="D74" s="19"/>
      <c r="E74" s="19"/>
      <c r="F74" s="19"/>
      <c r="G74" s="19"/>
      <c r="H74" s="19"/>
      <c r="I74" s="21"/>
      <c r="J74" s="21"/>
      <c r="K74" s="19"/>
      <c r="L74" s="19"/>
      <c r="M74" s="19"/>
      <c r="N74" s="19"/>
      <c r="O74" s="24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</row>
    <row r="75" spans="1:31" ht="13.15" x14ac:dyDescent="0.4">
      <c r="A75" s="19"/>
      <c r="B75" s="19"/>
      <c r="C75" s="19"/>
      <c r="D75" s="19"/>
      <c r="E75" s="19"/>
      <c r="F75" s="19"/>
      <c r="G75" s="19"/>
      <c r="H75" s="19"/>
      <c r="I75" s="21"/>
      <c r="J75" s="19"/>
      <c r="K75" s="19"/>
      <c r="L75" s="19"/>
      <c r="M75" s="19"/>
      <c r="N75" s="19"/>
      <c r="O75" s="24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</row>
    <row r="76" spans="1:31" ht="13.15" x14ac:dyDescent="0.4">
      <c r="A76" s="19"/>
      <c r="B76" s="19"/>
      <c r="C76" s="19"/>
      <c r="D76" s="19"/>
      <c r="E76" s="19"/>
      <c r="F76" s="19"/>
      <c r="G76" s="19"/>
      <c r="H76" s="19"/>
      <c r="I76" s="21"/>
      <c r="J76" s="21"/>
      <c r="K76" s="19"/>
      <c r="L76" s="19"/>
      <c r="M76" s="19"/>
      <c r="N76" s="19"/>
      <c r="O76" s="24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</row>
    <row r="77" spans="1:31" ht="13.15" x14ac:dyDescent="0.4">
      <c r="A77" s="19"/>
      <c r="B77" s="19"/>
      <c r="C77" s="19"/>
      <c r="D77" s="19"/>
      <c r="E77" s="19"/>
      <c r="F77" s="19"/>
      <c r="G77" s="19"/>
      <c r="H77" s="19"/>
      <c r="I77" s="21"/>
      <c r="J77" s="21"/>
      <c r="K77" s="19"/>
      <c r="L77" s="19"/>
      <c r="M77" s="19"/>
      <c r="N77" s="19"/>
      <c r="O77" s="24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</row>
    <row r="78" spans="1:31" ht="13.15" x14ac:dyDescent="0.4">
      <c r="A78" s="19"/>
      <c r="B78" s="19"/>
      <c r="C78" s="19"/>
      <c r="D78" s="19"/>
      <c r="E78" s="19"/>
      <c r="F78" s="19"/>
      <c r="G78" s="19"/>
      <c r="H78" s="19"/>
      <c r="I78" s="21"/>
      <c r="J78" s="21"/>
      <c r="K78" s="19"/>
      <c r="L78" s="19"/>
      <c r="M78" s="19"/>
      <c r="N78" s="19"/>
      <c r="O78" s="24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</row>
    <row r="79" spans="1:31" ht="13.15" x14ac:dyDescent="0.4">
      <c r="A79" s="19"/>
      <c r="B79" s="19"/>
      <c r="C79" s="19"/>
      <c r="D79" s="19"/>
      <c r="E79" s="19"/>
      <c r="F79" s="19"/>
      <c r="G79" s="19"/>
      <c r="H79" s="19"/>
      <c r="I79" s="21"/>
      <c r="J79" s="21"/>
      <c r="K79" s="19"/>
      <c r="L79" s="19"/>
      <c r="M79" s="19"/>
      <c r="N79" s="19"/>
      <c r="O79" s="24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</row>
    <row r="80" spans="1:31" ht="13.15" x14ac:dyDescent="0.4">
      <c r="A80" s="19"/>
      <c r="B80" s="19"/>
      <c r="C80" s="19"/>
      <c r="D80" s="19"/>
      <c r="E80" s="19"/>
      <c r="F80" s="19"/>
      <c r="G80" s="19"/>
      <c r="H80" s="19"/>
      <c r="I80" s="21"/>
      <c r="J80" s="21"/>
      <c r="K80" s="19"/>
      <c r="L80" s="19"/>
      <c r="M80" s="19"/>
      <c r="N80" s="19"/>
      <c r="O80" s="24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</row>
    <row r="81" spans="1:31" ht="13.15" x14ac:dyDescent="0.4">
      <c r="A81" s="19"/>
      <c r="B81" s="19"/>
      <c r="C81" s="19"/>
      <c r="D81" s="19"/>
      <c r="E81" s="19"/>
      <c r="F81" s="19"/>
      <c r="G81" s="19"/>
      <c r="H81" s="19"/>
      <c r="I81" s="21"/>
      <c r="J81" s="21"/>
      <c r="K81" s="19"/>
      <c r="L81" s="19"/>
      <c r="M81" s="19"/>
      <c r="N81" s="19"/>
      <c r="O81" s="24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</row>
    <row r="82" spans="1:31" ht="13.15" x14ac:dyDescent="0.4">
      <c r="A82" s="19"/>
      <c r="B82" s="19"/>
      <c r="C82" s="19"/>
      <c r="D82" s="19"/>
      <c r="E82" s="19"/>
      <c r="F82" s="19"/>
      <c r="G82" s="19"/>
      <c r="H82" s="19"/>
      <c r="I82" s="21"/>
      <c r="J82" s="21"/>
      <c r="K82" s="19"/>
      <c r="L82" s="19"/>
      <c r="M82" s="19"/>
      <c r="N82" s="19"/>
      <c r="O82" s="24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</row>
    <row r="83" spans="1:31" ht="13.15" x14ac:dyDescent="0.4">
      <c r="A83" s="19"/>
      <c r="B83" s="19"/>
      <c r="C83" s="19"/>
      <c r="D83" s="19"/>
      <c r="E83" s="19"/>
      <c r="F83" s="19"/>
      <c r="G83" s="19"/>
      <c r="H83" s="19"/>
      <c r="I83" s="21"/>
      <c r="J83" s="21"/>
      <c r="K83" s="19"/>
      <c r="L83" s="19"/>
      <c r="M83" s="19"/>
      <c r="N83" s="19"/>
      <c r="O83" s="24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</row>
    <row r="84" spans="1:31" ht="13.15" x14ac:dyDescent="0.4">
      <c r="A84" s="19"/>
      <c r="B84" s="19"/>
      <c r="C84" s="19"/>
      <c r="D84" s="19"/>
      <c r="E84" s="19"/>
      <c r="F84" s="19"/>
      <c r="G84" s="19"/>
      <c r="H84" s="19"/>
      <c r="I84" s="21"/>
      <c r="J84" s="21"/>
      <c r="K84" s="19"/>
      <c r="L84" s="19"/>
      <c r="M84" s="19"/>
      <c r="N84" s="19"/>
      <c r="O84" s="24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</row>
    <row r="85" spans="1:31" ht="13.15" x14ac:dyDescent="0.4">
      <c r="A85" s="19"/>
      <c r="B85" s="19"/>
      <c r="C85" s="19"/>
      <c r="D85" s="19"/>
      <c r="E85" s="19"/>
      <c r="F85" s="19"/>
      <c r="G85" s="19"/>
      <c r="H85" s="19"/>
      <c r="I85" s="21"/>
      <c r="J85" s="21"/>
      <c r="K85" s="19"/>
      <c r="L85" s="19"/>
      <c r="M85" s="19"/>
      <c r="N85" s="19"/>
      <c r="O85" s="24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</row>
    <row r="86" spans="1:31" ht="13.15" x14ac:dyDescent="0.4">
      <c r="A86" s="19"/>
      <c r="B86" s="19"/>
      <c r="C86" s="19"/>
      <c r="D86" s="19"/>
      <c r="E86" s="19"/>
      <c r="F86" s="19"/>
      <c r="G86" s="19"/>
      <c r="H86" s="19"/>
      <c r="I86" s="21"/>
      <c r="J86" s="21"/>
      <c r="K86" s="19"/>
      <c r="L86" s="19"/>
      <c r="M86" s="19"/>
      <c r="N86" s="19"/>
      <c r="O86" s="24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</row>
    <row r="87" spans="1:31" ht="13.15" x14ac:dyDescent="0.4">
      <c r="A87" s="19"/>
      <c r="B87" s="19"/>
      <c r="C87" s="19"/>
      <c r="D87" s="19"/>
      <c r="E87" s="19"/>
      <c r="F87" s="19"/>
      <c r="G87" s="19"/>
      <c r="H87" s="19"/>
      <c r="I87" s="21"/>
      <c r="J87" s="21"/>
      <c r="K87" s="19"/>
      <c r="L87" s="19"/>
      <c r="M87" s="19"/>
      <c r="N87" s="19"/>
      <c r="O87" s="24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</row>
    <row r="88" spans="1:31" ht="13.15" x14ac:dyDescent="0.4">
      <c r="A88" s="19"/>
      <c r="B88" s="19"/>
      <c r="C88" s="19"/>
      <c r="D88" s="19"/>
      <c r="E88" s="19"/>
      <c r="F88" s="19"/>
      <c r="G88" s="19"/>
      <c r="H88" s="19"/>
      <c r="I88" s="21"/>
      <c r="J88" s="21"/>
      <c r="K88" s="19"/>
      <c r="L88" s="19"/>
      <c r="M88" s="19"/>
      <c r="N88" s="19"/>
      <c r="O88" s="24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</row>
    <row r="89" spans="1:31" ht="13.15" x14ac:dyDescent="0.4">
      <c r="A89" s="19"/>
      <c r="B89" s="19"/>
      <c r="C89" s="19"/>
      <c r="D89" s="19"/>
      <c r="E89" s="19"/>
      <c r="F89" s="19"/>
      <c r="G89" s="19"/>
      <c r="H89" s="19"/>
      <c r="I89" s="21"/>
      <c r="J89" s="21"/>
      <c r="K89" s="19"/>
      <c r="L89" s="19"/>
      <c r="M89" s="19"/>
      <c r="N89" s="19"/>
      <c r="O89" s="24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</row>
    <row r="90" spans="1:31" ht="13.15" x14ac:dyDescent="0.4">
      <c r="A90" s="19"/>
      <c r="B90" s="19"/>
      <c r="C90" s="19"/>
      <c r="D90" s="19"/>
      <c r="E90" s="19"/>
      <c r="F90" s="19"/>
      <c r="G90" s="19"/>
      <c r="H90" s="19"/>
      <c r="I90" s="21"/>
      <c r="J90" s="21"/>
      <c r="K90" s="19"/>
      <c r="L90" s="19"/>
      <c r="M90" s="19"/>
      <c r="N90" s="19"/>
      <c r="O90" s="24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</row>
    <row r="91" spans="1:31" ht="13.15" x14ac:dyDescent="0.4">
      <c r="A91" s="19"/>
      <c r="B91" s="19"/>
      <c r="C91" s="19"/>
      <c r="D91" s="19"/>
      <c r="E91" s="19"/>
      <c r="F91" s="19"/>
      <c r="G91" s="19"/>
      <c r="H91" s="19"/>
      <c r="I91" s="21"/>
      <c r="J91" s="21"/>
      <c r="K91" s="19"/>
      <c r="L91" s="19"/>
      <c r="M91" s="19"/>
      <c r="N91" s="19"/>
      <c r="O91" s="24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</row>
    <row r="92" spans="1:31" ht="13.15" x14ac:dyDescent="0.4">
      <c r="A92" s="19"/>
      <c r="B92" s="19"/>
      <c r="C92" s="19"/>
      <c r="D92" s="19"/>
      <c r="E92" s="19"/>
      <c r="F92" s="19"/>
      <c r="G92" s="19"/>
      <c r="H92" s="19"/>
      <c r="I92" s="21"/>
      <c r="J92" s="21"/>
      <c r="K92" s="19"/>
      <c r="L92" s="19"/>
      <c r="M92" s="19"/>
      <c r="N92" s="19"/>
      <c r="O92" s="24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</row>
    <row r="93" spans="1:31" ht="13.15" x14ac:dyDescent="0.4">
      <c r="A93" s="19"/>
      <c r="B93" s="19"/>
      <c r="C93" s="19"/>
      <c r="D93" s="19"/>
      <c r="E93" s="19"/>
      <c r="F93" s="19"/>
      <c r="G93" s="19"/>
      <c r="H93" s="19"/>
      <c r="I93" s="21"/>
      <c r="J93" s="21"/>
      <c r="K93" s="19"/>
      <c r="L93" s="19"/>
      <c r="M93" s="19"/>
      <c r="N93" s="19"/>
      <c r="O93" s="24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</row>
    <row r="94" spans="1:31" ht="13.15" x14ac:dyDescent="0.4">
      <c r="A94" s="19"/>
      <c r="B94" s="19"/>
      <c r="C94" s="19"/>
      <c r="D94" s="19"/>
      <c r="E94" s="19"/>
      <c r="F94" s="19"/>
      <c r="G94" s="19"/>
      <c r="H94" s="19"/>
      <c r="I94" s="21"/>
      <c r="J94" s="21"/>
      <c r="K94" s="19"/>
      <c r="L94" s="19"/>
      <c r="M94" s="19"/>
      <c r="N94" s="19"/>
      <c r="O94" s="24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</row>
    <row r="95" spans="1:31" ht="13.15" x14ac:dyDescent="0.4">
      <c r="A95" s="19"/>
      <c r="B95" s="19"/>
      <c r="C95" s="19"/>
      <c r="D95" s="19"/>
      <c r="E95" s="19"/>
      <c r="F95" s="19"/>
      <c r="G95" s="19"/>
      <c r="H95" s="19"/>
      <c r="I95" s="21"/>
      <c r="J95" s="21"/>
      <c r="K95" s="19"/>
      <c r="L95" s="19"/>
      <c r="M95" s="19"/>
      <c r="N95" s="19"/>
      <c r="O95" s="24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</row>
    <row r="96" spans="1:31" ht="13.15" x14ac:dyDescent="0.4">
      <c r="A96" s="19"/>
      <c r="B96" s="19"/>
      <c r="C96" s="19"/>
      <c r="D96" s="19"/>
      <c r="E96" s="19"/>
      <c r="F96" s="19"/>
      <c r="G96" s="19"/>
      <c r="H96" s="19"/>
      <c r="I96" s="21"/>
      <c r="J96" s="21"/>
      <c r="K96" s="19"/>
      <c r="L96" s="19"/>
      <c r="M96" s="19"/>
      <c r="N96" s="19"/>
      <c r="O96" s="24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</row>
    <row r="97" spans="1:31" ht="13.15" x14ac:dyDescent="0.4">
      <c r="A97" s="19"/>
      <c r="B97" s="19"/>
      <c r="C97" s="19"/>
      <c r="D97" s="19"/>
      <c r="E97" s="19"/>
      <c r="F97" s="19"/>
      <c r="G97" s="19"/>
      <c r="H97" s="19"/>
      <c r="I97" s="21"/>
      <c r="J97" s="21"/>
      <c r="K97" s="19"/>
      <c r="L97" s="19"/>
      <c r="M97" s="19"/>
      <c r="N97" s="19"/>
      <c r="O97" s="24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</row>
    <row r="98" spans="1:31" ht="13.15" x14ac:dyDescent="0.4">
      <c r="A98" s="19"/>
      <c r="B98" s="19"/>
      <c r="C98" s="19"/>
      <c r="D98" s="19"/>
      <c r="E98" s="19"/>
      <c r="F98" s="19"/>
      <c r="G98" s="19"/>
      <c r="H98" s="19"/>
      <c r="I98" s="21"/>
      <c r="J98" s="21"/>
      <c r="K98" s="19"/>
      <c r="L98" s="19"/>
      <c r="M98" s="19"/>
      <c r="N98" s="19"/>
      <c r="O98" s="24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</row>
    <row r="99" spans="1:31" ht="13.15" x14ac:dyDescent="0.4">
      <c r="A99" s="19"/>
      <c r="B99" s="19"/>
      <c r="C99" s="19"/>
      <c r="D99" s="19"/>
      <c r="E99" s="19"/>
      <c r="F99" s="19"/>
      <c r="G99" s="19"/>
      <c r="H99" s="19"/>
      <c r="I99" s="21"/>
      <c r="J99" s="21"/>
      <c r="K99" s="19"/>
      <c r="L99" s="19"/>
      <c r="M99" s="19"/>
      <c r="N99" s="19"/>
      <c r="O99" s="24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</row>
    <row r="100" spans="1:31" ht="13.15" x14ac:dyDescent="0.4">
      <c r="A100" s="19"/>
      <c r="B100" s="19"/>
      <c r="C100" s="19"/>
      <c r="D100" s="19"/>
      <c r="E100" s="19"/>
      <c r="F100" s="19"/>
      <c r="G100" s="19"/>
      <c r="H100" s="19"/>
      <c r="I100" s="21"/>
      <c r="J100" s="21"/>
      <c r="K100" s="19"/>
      <c r="L100" s="19"/>
      <c r="M100" s="19"/>
      <c r="N100" s="19"/>
      <c r="O100" s="24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</row>
    <row r="101" spans="1:31" ht="13.15" x14ac:dyDescent="0.4">
      <c r="A101" s="19"/>
      <c r="B101" s="19"/>
      <c r="C101" s="19"/>
      <c r="D101" s="19"/>
      <c r="E101" s="19"/>
      <c r="F101" s="19"/>
      <c r="G101" s="19"/>
      <c r="H101" s="19"/>
      <c r="I101" s="21"/>
      <c r="J101" s="21"/>
      <c r="K101" s="19"/>
      <c r="L101" s="19"/>
      <c r="M101" s="19"/>
      <c r="N101" s="19"/>
      <c r="O101" s="24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</row>
    <row r="102" spans="1:31" ht="13.15" x14ac:dyDescent="0.4">
      <c r="A102" s="19"/>
      <c r="B102" s="19"/>
      <c r="C102" s="19"/>
      <c r="D102" s="19"/>
      <c r="E102" s="19"/>
      <c r="F102" s="19"/>
      <c r="G102" s="19"/>
      <c r="H102" s="19"/>
      <c r="I102" s="21"/>
      <c r="J102" s="21"/>
      <c r="K102" s="19"/>
      <c r="L102" s="19"/>
      <c r="M102" s="19"/>
      <c r="N102" s="19"/>
      <c r="O102" s="24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</row>
    <row r="103" spans="1:31" ht="13.15" x14ac:dyDescent="0.4">
      <c r="A103" s="19"/>
      <c r="B103" s="19"/>
      <c r="C103" s="19"/>
      <c r="D103" s="19"/>
      <c r="E103" s="19"/>
      <c r="F103" s="19"/>
      <c r="G103" s="19"/>
      <c r="H103" s="19"/>
      <c r="I103" s="21"/>
      <c r="J103" s="21"/>
      <c r="K103" s="19"/>
      <c r="L103" s="19"/>
      <c r="M103" s="19"/>
      <c r="N103" s="19"/>
      <c r="O103" s="24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</row>
    <row r="104" spans="1:31" ht="13.15" x14ac:dyDescent="0.4">
      <c r="A104" s="19"/>
      <c r="B104" s="19"/>
      <c r="C104" s="19"/>
      <c r="D104" s="19"/>
      <c r="E104" s="19"/>
      <c r="F104" s="19"/>
      <c r="G104" s="19"/>
      <c r="H104" s="19"/>
      <c r="I104" s="21"/>
      <c r="J104" s="19"/>
      <c r="K104" s="19"/>
      <c r="L104" s="19"/>
      <c r="M104" s="19"/>
      <c r="N104" s="19"/>
      <c r="O104" s="24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</row>
    <row r="105" spans="1:31" ht="13.15" x14ac:dyDescent="0.4">
      <c r="A105" s="19"/>
      <c r="B105" s="19"/>
      <c r="C105" s="19"/>
      <c r="D105" s="19"/>
      <c r="E105" s="19"/>
      <c r="F105" s="19"/>
      <c r="G105" s="19"/>
      <c r="H105" s="19"/>
      <c r="I105" s="21"/>
      <c r="J105" s="21"/>
      <c r="K105" s="19"/>
      <c r="L105" s="19"/>
      <c r="M105" s="19"/>
      <c r="N105" s="19"/>
      <c r="O105" s="24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</row>
    <row r="106" spans="1:31" ht="13.15" x14ac:dyDescent="0.4">
      <c r="A106" s="19"/>
      <c r="B106" s="19"/>
      <c r="C106" s="19"/>
      <c r="D106" s="19"/>
      <c r="E106" s="19"/>
      <c r="F106" s="19"/>
      <c r="G106" s="19"/>
      <c r="H106" s="19"/>
      <c r="I106" s="21"/>
      <c r="J106" s="21"/>
      <c r="K106" s="19"/>
      <c r="L106" s="19"/>
      <c r="M106" s="19"/>
      <c r="N106" s="19"/>
      <c r="O106" s="24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</row>
    <row r="107" spans="1:31" ht="13.15" x14ac:dyDescent="0.4">
      <c r="A107" s="19"/>
      <c r="B107" s="19"/>
      <c r="C107" s="19"/>
      <c r="D107" s="19"/>
      <c r="E107" s="19"/>
      <c r="F107" s="19"/>
      <c r="G107" s="19"/>
      <c r="H107" s="19"/>
      <c r="I107" s="21"/>
      <c r="J107" s="19"/>
      <c r="K107" s="19"/>
      <c r="L107" s="19"/>
      <c r="M107" s="19"/>
      <c r="N107" s="19"/>
      <c r="O107" s="24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</row>
    <row r="108" spans="1:31" ht="13.15" x14ac:dyDescent="0.4">
      <c r="A108" s="19"/>
      <c r="B108" s="19"/>
      <c r="C108" s="19"/>
      <c r="D108" s="19"/>
      <c r="E108" s="19"/>
      <c r="F108" s="19"/>
      <c r="G108" s="19"/>
      <c r="H108" s="19"/>
      <c r="I108" s="21"/>
      <c r="J108" s="21"/>
      <c r="K108" s="19"/>
      <c r="L108" s="19"/>
      <c r="M108" s="19"/>
      <c r="N108" s="19"/>
      <c r="O108" s="24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</row>
    <row r="109" spans="1:31" ht="13.15" x14ac:dyDescent="0.4">
      <c r="A109" s="19"/>
      <c r="B109" s="19"/>
      <c r="C109" s="19"/>
      <c r="D109" s="19"/>
      <c r="E109" s="19"/>
      <c r="F109" s="19"/>
      <c r="G109" s="19"/>
      <c r="H109" s="19"/>
      <c r="I109" s="21"/>
      <c r="J109" s="19"/>
      <c r="K109" s="19"/>
      <c r="L109" s="19"/>
      <c r="M109" s="19"/>
      <c r="N109" s="19"/>
      <c r="O109" s="24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</row>
    <row r="110" spans="1:31" ht="13.15" x14ac:dyDescent="0.4">
      <c r="A110" s="19"/>
      <c r="B110" s="19"/>
      <c r="C110" s="19"/>
      <c r="D110" s="19"/>
      <c r="E110" s="19"/>
      <c r="F110" s="19"/>
      <c r="G110" s="19"/>
      <c r="H110" s="19"/>
      <c r="I110" s="21"/>
      <c r="J110" s="19"/>
      <c r="K110" s="19"/>
      <c r="L110" s="19"/>
      <c r="M110" s="19"/>
      <c r="N110" s="19"/>
      <c r="O110" s="24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</row>
    <row r="111" spans="1:31" ht="13.15" x14ac:dyDescent="0.4">
      <c r="A111" s="19"/>
      <c r="B111" s="19"/>
      <c r="C111" s="19"/>
      <c r="D111" s="19"/>
      <c r="E111" s="19"/>
      <c r="F111" s="19"/>
      <c r="G111" s="19"/>
      <c r="H111" s="19"/>
      <c r="I111" s="21"/>
      <c r="J111" s="21"/>
      <c r="K111" s="19"/>
      <c r="L111" s="19"/>
      <c r="M111" s="19"/>
      <c r="N111" s="19"/>
      <c r="O111" s="24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</row>
    <row r="112" spans="1:31" ht="13.15" x14ac:dyDescent="0.4">
      <c r="A112" s="19"/>
      <c r="B112" s="19"/>
      <c r="C112" s="19"/>
      <c r="D112" s="19"/>
      <c r="E112" s="19"/>
      <c r="F112" s="19"/>
      <c r="G112" s="19"/>
      <c r="H112" s="19"/>
      <c r="I112" s="21"/>
      <c r="J112" s="19"/>
      <c r="K112" s="19"/>
      <c r="L112" s="19"/>
      <c r="M112" s="19"/>
      <c r="N112" s="19"/>
      <c r="O112" s="24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</row>
    <row r="113" spans="1:31" ht="13.15" x14ac:dyDescent="0.4">
      <c r="A113" s="19"/>
      <c r="B113" s="19"/>
      <c r="C113" s="19"/>
      <c r="D113" s="19"/>
      <c r="E113" s="19"/>
      <c r="F113" s="19"/>
      <c r="G113" s="19"/>
      <c r="H113" s="19"/>
      <c r="I113" s="21"/>
      <c r="J113" s="21"/>
      <c r="K113" s="19"/>
      <c r="L113" s="19"/>
      <c r="M113" s="19"/>
      <c r="N113" s="19"/>
      <c r="O113" s="24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</row>
    <row r="114" spans="1:31" ht="13.15" x14ac:dyDescent="0.4">
      <c r="A114" s="19"/>
      <c r="B114" s="19"/>
      <c r="C114" s="19"/>
      <c r="D114" s="19"/>
      <c r="E114" s="19"/>
      <c r="F114" s="19"/>
      <c r="G114" s="19"/>
      <c r="H114" s="19"/>
      <c r="I114" s="21"/>
      <c r="J114" s="19"/>
      <c r="K114" s="19"/>
      <c r="L114" s="19"/>
      <c r="M114" s="19"/>
      <c r="N114" s="19"/>
      <c r="O114" s="24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</row>
    <row r="115" spans="1:31" ht="13.15" x14ac:dyDescent="0.4">
      <c r="A115" s="19"/>
      <c r="B115" s="19"/>
      <c r="C115" s="19"/>
      <c r="D115" s="19"/>
      <c r="E115" s="19"/>
      <c r="F115" s="19"/>
      <c r="G115" s="19"/>
      <c r="H115" s="19"/>
      <c r="I115" s="21"/>
      <c r="J115" s="21"/>
      <c r="K115" s="19"/>
      <c r="L115" s="19"/>
      <c r="M115" s="19"/>
      <c r="N115" s="19"/>
      <c r="O115" s="24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</row>
    <row r="116" spans="1:31" ht="13.15" x14ac:dyDescent="0.4">
      <c r="A116" s="19"/>
      <c r="B116" s="19"/>
      <c r="C116" s="19"/>
      <c r="D116" s="19"/>
      <c r="E116" s="19"/>
      <c r="F116" s="19"/>
      <c r="G116" s="19"/>
      <c r="H116" s="19"/>
      <c r="I116" s="21"/>
      <c r="J116" s="21"/>
      <c r="K116" s="19"/>
      <c r="L116" s="19"/>
      <c r="M116" s="19"/>
      <c r="N116" s="19"/>
      <c r="O116" s="24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</row>
    <row r="117" spans="1:31" ht="13.15" x14ac:dyDescent="0.4">
      <c r="A117" s="19"/>
      <c r="B117" s="19"/>
      <c r="C117" s="19"/>
      <c r="D117" s="19"/>
      <c r="E117" s="19"/>
      <c r="F117" s="19"/>
      <c r="G117" s="19"/>
      <c r="H117" s="19"/>
      <c r="I117" s="21"/>
      <c r="J117" s="21"/>
      <c r="K117" s="19"/>
      <c r="L117" s="19"/>
      <c r="M117" s="19"/>
      <c r="N117" s="19"/>
      <c r="O117" s="24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</row>
    <row r="118" spans="1:31" ht="13.15" x14ac:dyDescent="0.4">
      <c r="A118" s="19"/>
      <c r="B118" s="19"/>
      <c r="C118" s="19"/>
      <c r="D118" s="19"/>
      <c r="E118" s="19"/>
      <c r="F118" s="19"/>
      <c r="G118" s="19"/>
      <c r="H118" s="19"/>
      <c r="I118" s="21"/>
      <c r="J118" s="19"/>
      <c r="K118" s="19"/>
      <c r="L118" s="19"/>
      <c r="M118" s="19"/>
      <c r="N118" s="19"/>
      <c r="O118" s="24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</row>
    <row r="119" spans="1:31" ht="13.15" x14ac:dyDescent="0.4">
      <c r="A119" s="19"/>
      <c r="B119" s="19"/>
      <c r="C119" s="19"/>
      <c r="D119" s="19"/>
      <c r="E119" s="19"/>
      <c r="F119" s="19"/>
      <c r="G119" s="19"/>
      <c r="H119" s="19"/>
      <c r="I119" s="21"/>
      <c r="J119" s="21"/>
      <c r="K119" s="19"/>
      <c r="L119" s="19"/>
      <c r="M119" s="19"/>
      <c r="N119" s="19"/>
      <c r="O119" s="24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</row>
    <row r="120" spans="1:31" ht="13.15" x14ac:dyDescent="0.4">
      <c r="A120" s="19"/>
      <c r="B120" s="19"/>
      <c r="C120" s="19"/>
      <c r="D120" s="19"/>
      <c r="E120" s="19"/>
      <c r="F120" s="19"/>
      <c r="G120" s="19"/>
      <c r="H120" s="19"/>
      <c r="I120" s="21"/>
      <c r="J120" s="21"/>
      <c r="K120" s="19"/>
      <c r="L120" s="19"/>
      <c r="M120" s="19"/>
      <c r="N120" s="19"/>
      <c r="O120" s="24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</row>
    <row r="121" spans="1:31" ht="13.15" x14ac:dyDescent="0.4">
      <c r="A121" s="19"/>
      <c r="B121" s="19"/>
      <c r="C121" s="19"/>
      <c r="D121" s="19"/>
      <c r="E121" s="19"/>
      <c r="F121" s="19"/>
      <c r="G121" s="19"/>
      <c r="H121" s="19"/>
      <c r="I121" s="21"/>
      <c r="J121" s="21"/>
      <c r="K121" s="19"/>
      <c r="L121" s="19"/>
      <c r="M121" s="19"/>
      <c r="N121" s="19"/>
      <c r="O121" s="24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</row>
    <row r="122" spans="1:31" ht="13.15" x14ac:dyDescent="0.4">
      <c r="A122" s="19"/>
      <c r="B122" s="19"/>
      <c r="C122" s="19"/>
      <c r="D122" s="19"/>
      <c r="E122" s="19"/>
      <c r="F122" s="19"/>
      <c r="G122" s="19"/>
      <c r="H122" s="19"/>
      <c r="I122" s="21"/>
      <c r="J122" s="21"/>
      <c r="K122" s="19"/>
      <c r="L122" s="19"/>
      <c r="M122" s="19"/>
      <c r="N122" s="19"/>
      <c r="O122" s="24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</row>
    <row r="123" spans="1:31" ht="13.15" x14ac:dyDescent="0.4">
      <c r="A123" s="19"/>
      <c r="B123" s="19"/>
      <c r="C123" s="19"/>
      <c r="D123" s="19"/>
      <c r="E123" s="19"/>
      <c r="F123" s="19"/>
      <c r="G123" s="19"/>
      <c r="H123" s="19"/>
      <c r="I123" s="21"/>
      <c r="J123" s="21"/>
      <c r="K123" s="19"/>
      <c r="L123" s="19"/>
      <c r="M123" s="19"/>
      <c r="N123" s="19"/>
      <c r="O123" s="24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</row>
    <row r="124" spans="1:31" ht="13.15" x14ac:dyDescent="0.4">
      <c r="A124" s="19"/>
      <c r="B124" s="19"/>
      <c r="C124" s="19"/>
      <c r="D124" s="19"/>
      <c r="E124" s="19"/>
      <c r="F124" s="19"/>
      <c r="G124" s="19"/>
      <c r="H124" s="19"/>
      <c r="I124" s="21"/>
      <c r="J124" s="21"/>
      <c r="K124" s="19"/>
      <c r="L124" s="19"/>
      <c r="M124" s="19"/>
      <c r="N124" s="19"/>
      <c r="O124" s="24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</row>
    <row r="125" spans="1:31" ht="13.15" x14ac:dyDescent="0.4">
      <c r="A125" s="19"/>
      <c r="B125" s="19"/>
      <c r="C125" s="19"/>
      <c r="D125" s="19"/>
      <c r="E125" s="19"/>
      <c r="F125" s="19"/>
      <c r="G125" s="19"/>
      <c r="H125" s="19"/>
      <c r="I125" s="21"/>
      <c r="J125" s="21"/>
      <c r="K125" s="19"/>
      <c r="L125" s="19"/>
      <c r="M125" s="19"/>
      <c r="N125" s="19"/>
      <c r="O125" s="24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</row>
    <row r="126" spans="1:31" ht="13.15" x14ac:dyDescent="0.4">
      <c r="A126" s="19"/>
      <c r="B126" s="19"/>
      <c r="C126" s="19"/>
      <c r="D126" s="19"/>
      <c r="E126" s="19"/>
      <c r="F126" s="19"/>
      <c r="G126" s="19"/>
      <c r="H126" s="19"/>
      <c r="I126" s="21"/>
      <c r="J126" s="19"/>
      <c r="K126" s="19"/>
      <c r="L126" s="19"/>
      <c r="M126" s="19"/>
      <c r="N126" s="19"/>
      <c r="O126" s="24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</row>
    <row r="127" spans="1:31" ht="13.15" x14ac:dyDescent="0.4">
      <c r="A127" s="19"/>
      <c r="B127" s="19"/>
      <c r="C127" s="19"/>
      <c r="D127" s="19"/>
      <c r="E127" s="19"/>
      <c r="F127" s="19"/>
      <c r="G127" s="19"/>
      <c r="H127" s="19"/>
      <c r="I127" s="21"/>
      <c r="J127" s="21"/>
      <c r="K127" s="19"/>
      <c r="L127" s="19"/>
      <c r="M127" s="19"/>
      <c r="N127" s="19"/>
      <c r="O127" s="24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</row>
    <row r="128" spans="1:31" ht="13.15" x14ac:dyDescent="0.4">
      <c r="A128" s="19"/>
      <c r="B128" s="19"/>
      <c r="C128" s="19"/>
      <c r="D128" s="19"/>
      <c r="E128" s="19"/>
      <c r="F128" s="19"/>
      <c r="G128" s="19"/>
      <c r="H128" s="19"/>
      <c r="I128" s="21"/>
      <c r="J128" s="21"/>
      <c r="K128" s="19"/>
      <c r="L128" s="19"/>
      <c r="M128" s="19"/>
      <c r="N128" s="19"/>
      <c r="O128" s="24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</row>
    <row r="129" spans="1:31" ht="13.15" x14ac:dyDescent="0.4">
      <c r="A129" s="19"/>
      <c r="B129" s="19"/>
      <c r="C129" s="19"/>
      <c r="D129" s="19"/>
      <c r="E129" s="19"/>
      <c r="F129" s="19"/>
      <c r="G129" s="19"/>
      <c r="H129" s="19"/>
      <c r="I129" s="21"/>
      <c r="J129" s="21"/>
      <c r="K129" s="19"/>
      <c r="L129" s="19"/>
      <c r="M129" s="19"/>
      <c r="N129" s="19"/>
      <c r="O129" s="24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</row>
    <row r="130" spans="1:31" ht="13.15" x14ac:dyDescent="0.4">
      <c r="A130" s="19"/>
      <c r="B130" s="19"/>
      <c r="C130" s="19"/>
      <c r="D130" s="19"/>
      <c r="E130" s="19"/>
      <c r="F130" s="19"/>
      <c r="G130" s="19"/>
      <c r="H130" s="19"/>
      <c r="I130" s="21"/>
      <c r="J130" s="21"/>
      <c r="K130" s="19"/>
      <c r="L130" s="19"/>
      <c r="M130" s="19"/>
      <c r="N130" s="19"/>
      <c r="O130" s="24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</row>
    <row r="131" spans="1:31" ht="13.15" x14ac:dyDescent="0.4">
      <c r="A131" s="19"/>
      <c r="B131" s="19"/>
      <c r="C131" s="19"/>
      <c r="D131" s="19"/>
      <c r="E131" s="19"/>
      <c r="F131" s="19"/>
      <c r="G131" s="19"/>
      <c r="H131" s="19"/>
      <c r="I131" s="21"/>
      <c r="J131" s="19"/>
      <c r="K131" s="19"/>
      <c r="L131" s="19"/>
      <c r="M131" s="19"/>
      <c r="N131" s="19"/>
      <c r="O131" s="24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</row>
    <row r="132" spans="1:31" ht="13.15" x14ac:dyDescent="0.4">
      <c r="A132" s="19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24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</row>
    <row r="133" spans="1:31" ht="13.15" x14ac:dyDescent="0.4">
      <c r="A133" s="19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24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</row>
    <row r="134" spans="1:31" ht="13.15" x14ac:dyDescent="0.4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24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</row>
    <row r="135" spans="1:31" ht="13.15" x14ac:dyDescent="0.4">
      <c r="A135" s="19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24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</row>
    <row r="136" spans="1:31" ht="13.15" x14ac:dyDescent="0.4">
      <c r="A136" s="19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24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</row>
    <row r="137" spans="1:31" ht="13.15" x14ac:dyDescent="0.4">
      <c r="A137" s="19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24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</row>
    <row r="138" spans="1:31" ht="13.15" x14ac:dyDescent="0.4">
      <c r="A138" s="19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24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</row>
    <row r="139" spans="1:31" ht="13.15" x14ac:dyDescent="0.4">
      <c r="A139" s="19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24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</row>
    <row r="140" spans="1:31" ht="13.15" x14ac:dyDescent="0.4">
      <c r="A140" s="19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24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</row>
    <row r="141" spans="1:31" ht="13.15" x14ac:dyDescent="0.4">
      <c r="A141" s="19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24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</row>
    <row r="142" spans="1:31" ht="13.15" x14ac:dyDescent="0.4">
      <c r="A142" s="19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24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</row>
    <row r="143" spans="1:31" ht="13.15" x14ac:dyDescent="0.4">
      <c r="A143" s="19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24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</row>
    <row r="144" spans="1:31" ht="13.15" x14ac:dyDescent="0.4">
      <c r="A144" s="19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24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</row>
    <row r="145" spans="1:31" ht="13.15" x14ac:dyDescent="0.4">
      <c r="A145" s="19"/>
      <c r="B145" s="19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24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19"/>
    </row>
    <row r="146" spans="1:31" ht="13.15" x14ac:dyDescent="0.4">
      <c r="A146" s="19"/>
      <c r="B146" s="19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24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  <c r="AE146" s="19"/>
    </row>
    <row r="147" spans="1:31" ht="13.15" x14ac:dyDescent="0.4">
      <c r="A147" s="19"/>
      <c r="B147" s="19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24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</row>
    <row r="148" spans="1:31" ht="13.15" x14ac:dyDescent="0.4">
      <c r="A148" s="19"/>
      <c r="B148" s="19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24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</row>
    <row r="149" spans="1:31" ht="13.15" x14ac:dyDescent="0.4">
      <c r="A149" s="19"/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24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19"/>
    </row>
    <row r="150" spans="1:31" ht="13.15" x14ac:dyDescent="0.4">
      <c r="A150" s="19"/>
      <c r="B150" s="19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24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  <c r="AE150" s="19"/>
    </row>
    <row r="151" spans="1:31" ht="13.15" x14ac:dyDescent="0.4">
      <c r="A151" s="19"/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24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  <c r="AE151" s="19"/>
    </row>
    <row r="152" spans="1:31" ht="13.15" x14ac:dyDescent="0.4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24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19"/>
    </row>
    <row r="153" spans="1:31" ht="13.15" x14ac:dyDescent="0.4">
      <c r="A153" s="19"/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24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  <c r="AE153" s="19"/>
    </row>
    <row r="154" spans="1:31" ht="13.15" x14ac:dyDescent="0.4">
      <c r="A154" s="19"/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24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/>
      <c r="AD154" s="19"/>
      <c r="AE154" s="19"/>
    </row>
    <row r="155" spans="1:31" ht="13.15" x14ac:dyDescent="0.4">
      <c r="A155" s="19"/>
      <c r="B155" s="19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24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</row>
    <row r="156" spans="1:31" ht="13.15" x14ac:dyDescent="0.4">
      <c r="A156" s="19"/>
      <c r="B156" s="19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24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  <c r="AD156" s="19"/>
      <c r="AE156" s="19"/>
    </row>
    <row r="157" spans="1:31" ht="13.15" x14ac:dyDescent="0.4">
      <c r="A157" s="19"/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24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  <c r="AE157" s="19"/>
    </row>
    <row r="158" spans="1:31" ht="13.15" x14ac:dyDescent="0.4">
      <c r="A158" s="19"/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24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19"/>
    </row>
    <row r="159" spans="1:31" ht="13.15" x14ac:dyDescent="0.4">
      <c r="A159" s="19"/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24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</row>
    <row r="160" spans="1:31" ht="13.15" x14ac:dyDescent="0.4">
      <c r="A160" s="19"/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24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  <c r="AC160" s="19"/>
      <c r="AD160" s="19"/>
      <c r="AE160" s="19"/>
    </row>
    <row r="161" spans="1:31" ht="13.15" x14ac:dyDescent="0.4">
      <c r="A161" s="19"/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24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  <c r="AC161" s="19"/>
      <c r="AD161" s="19"/>
      <c r="AE161" s="19"/>
    </row>
    <row r="162" spans="1:31" ht="13.15" x14ac:dyDescent="0.4">
      <c r="A162" s="19"/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24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  <c r="AC162" s="19"/>
      <c r="AD162" s="19"/>
      <c r="AE162" s="19"/>
    </row>
    <row r="163" spans="1:31" ht="13.15" x14ac:dyDescent="0.4">
      <c r="A163" s="19"/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24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  <c r="AC163" s="19"/>
      <c r="AD163" s="19"/>
      <c r="AE163" s="19"/>
    </row>
    <row r="164" spans="1:31" ht="13.15" x14ac:dyDescent="0.4">
      <c r="A164" s="19"/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24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  <c r="AC164" s="19"/>
      <c r="AD164" s="19"/>
      <c r="AE164" s="19"/>
    </row>
    <row r="165" spans="1:31" ht="13.15" x14ac:dyDescent="0.4">
      <c r="A165" s="19"/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24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19"/>
      <c r="AD165" s="19"/>
      <c r="AE165" s="19"/>
    </row>
    <row r="166" spans="1:31" ht="13.15" x14ac:dyDescent="0.4">
      <c r="A166" s="19"/>
      <c r="B166" s="19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24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  <c r="AC166" s="19"/>
      <c r="AD166" s="19"/>
      <c r="AE166" s="19"/>
    </row>
    <row r="167" spans="1:31" ht="13.15" x14ac:dyDescent="0.4">
      <c r="A167" s="19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24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</row>
    <row r="168" spans="1:31" ht="13.15" x14ac:dyDescent="0.4">
      <c r="A168" s="19"/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24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</row>
    <row r="169" spans="1:31" ht="13.15" x14ac:dyDescent="0.4">
      <c r="A169" s="19"/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24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  <c r="AE169" s="19"/>
    </row>
    <row r="170" spans="1:31" ht="13.15" x14ac:dyDescent="0.4">
      <c r="A170" s="19"/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24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</row>
    <row r="171" spans="1:31" ht="13.15" x14ac:dyDescent="0.4">
      <c r="A171" s="19"/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24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</row>
    <row r="172" spans="1:31" ht="13.15" x14ac:dyDescent="0.4">
      <c r="A172" s="19"/>
      <c r="B172" s="19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24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19"/>
    </row>
    <row r="173" spans="1:31" ht="13.15" x14ac:dyDescent="0.4">
      <c r="A173" s="19"/>
      <c r="B173" s="19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24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</row>
    <row r="174" spans="1:31" ht="13.15" x14ac:dyDescent="0.4">
      <c r="A174" s="19"/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24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</row>
    <row r="175" spans="1:31" ht="13.15" x14ac:dyDescent="0.4">
      <c r="A175" s="19"/>
      <c r="B175" s="19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24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</row>
    <row r="176" spans="1:31" ht="13.15" x14ac:dyDescent="0.4">
      <c r="A176" s="19"/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24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</row>
    <row r="177" spans="1:31" ht="13.15" x14ac:dyDescent="0.4">
      <c r="A177" s="19"/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24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  <c r="AE177" s="19"/>
    </row>
    <row r="178" spans="1:31" ht="13.15" x14ac:dyDescent="0.4">
      <c r="A178" s="19"/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24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</row>
    <row r="179" spans="1:31" ht="13.15" x14ac:dyDescent="0.4">
      <c r="A179" s="19"/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24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</row>
    <row r="180" spans="1:31" ht="13.15" x14ac:dyDescent="0.4">
      <c r="A180" s="19"/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24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  <c r="AE180" s="19"/>
    </row>
    <row r="181" spans="1:31" ht="13.15" x14ac:dyDescent="0.4">
      <c r="A181" s="19"/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24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</row>
    <row r="182" spans="1:31" ht="13.15" x14ac:dyDescent="0.4">
      <c r="A182" s="19"/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24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</row>
    <row r="183" spans="1:31" ht="13.15" x14ac:dyDescent="0.4">
      <c r="A183" s="19"/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24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</row>
    <row r="184" spans="1:31" ht="13.15" x14ac:dyDescent="0.4">
      <c r="A184" s="19"/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24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</row>
    <row r="185" spans="1:31" ht="13.15" x14ac:dyDescent="0.4">
      <c r="A185" s="19"/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24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</row>
    <row r="186" spans="1:31" ht="13.15" x14ac:dyDescent="0.4">
      <c r="A186" s="19"/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24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</row>
    <row r="187" spans="1:31" ht="13.15" x14ac:dyDescent="0.4">
      <c r="A187" s="19"/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24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</row>
    <row r="188" spans="1:31" ht="13.15" x14ac:dyDescent="0.4">
      <c r="A188" s="19"/>
      <c r="B188" s="19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24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</row>
    <row r="189" spans="1:31" ht="13.15" x14ac:dyDescent="0.4">
      <c r="A189" s="19"/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24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</row>
    <row r="190" spans="1:31" ht="13.15" x14ac:dyDescent="0.4">
      <c r="A190" s="19"/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24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</row>
    <row r="191" spans="1:31" ht="13.15" x14ac:dyDescent="0.4">
      <c r="A191" s="19"/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24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</row>
    <row r="192" spans="1:31" ht="13.15" x14ac:dyDescent="0.4">
      <c r="A192" s="19"/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24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</row>
    <row r="193" spans="1:31" ht="13.15" x14ac:dyDescent="0.4">
      <c r="A193" s="19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24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</row>
    <row r="194" spans="1:31" ht="13.15" x14ac:dyDescent="0.4">
      <c r="A194" s="19"/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24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</row>
    <row r="195" spans="1:31" ht="13.15" x14ac:dyDescent="0.4">
      <c r="A195" s="19"/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24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</row>
    <row r="196" spans="1:31" ht="13.15" x14ac:dyDescent="0.4">
      <c r="A196" s="19"/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24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</row>
    <row r="197" spans="1:31" ht="13.15" x14ac:dyDescent="0.4">
      <c r="A197" s="19"/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24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</row>
    <row r="198" spans="1:31" ht="13.15" x14ac:dyDescent="0.4">
      <c r="A198" s="19"/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24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</row>
    <row r="199" spans="1:31" ht="13.15" x14ac:dyDescent="0.4">
      <c r="A199" s="19"/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24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</row>
    <row r="200" spans="1:31" ht="13.15" x14ac:dyDescent="0.4">
      <c r="A200" s="19"/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24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</row>
    <row r="201" spans="1:31" ht="13.15" x14ac:dyDescent="0.4">
      <c r="A201" s="19"/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24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</row>
    <row r="202" spans="1:31" ht="13.15" x14ac:dyDescent="0.4">
      <c r="A202" s="19"/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24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</row>
    <row r="203" spans="1:31" ht="13.15" x14ac:dyDescent="0.4">
      <c r="A203" s="19"/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24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</row>
    <row r="204" spans="1:31" ht="13.15" x14ac:dyDescent="0.4">
      <c r="A204" s="19"/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24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</row>
    <row r="205" spans="1:31" ht="13.15" x14ac:dyDescent="0.4">
      <c r="A205" s="19"/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24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</row>
    <row r="206" spans="1:31" ht="13.15" x14ac:dyDescent="0.4">
      <c r="A206" s="19"/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24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</row>
    <row r="207" spans="1:31" ht="13.15" x14ac:dyDescent="0.4">
      <c r="A207" s="19"/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24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</row>
    <row r="208" spans="1:31" ht="13.15" x14ac:dyDescent="0.4">
      <c r="A208" s="19"/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24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</row>
    <row r="209" spans="1:31" ht="13.15" x14ac:dyDescent="0.4">
      <c r="A209" s="19"/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24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</row>
    <row r="210" spans="1:31" ht="13.15" x14ac:dyDescent="0.4">
      <c r="A210" s="19"/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24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</row>
    <row r="211" spans="1:31" ht="13.15" x14ac:dyDescent="0.4">
      <c r="A211" s="19"/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24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</row>
    <row r="212" spans="1:31" ht="13.15" x14ac:dyDescent="0.4">
      <c r="A212" s="19"/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24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</row>
    <row r="213" spans="1:31" ht="13.15" x14ac:dyDescent="0.4">
      <c r="A213" s="19"/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24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</row>
    <row r="214" spans="1:31" ht="13.15" x14ac:dyDescent="0.4">
      <c r="A214" s="19"/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24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</row>
    <row r="215" spans="1:31" ht="13.15" x14ac:dyDescent="0.4">
      <c r="A215" s="19"/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24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</row>
    <row r="216" spans="1:31" ht="13.15" x14ac:dyDescent="0.4">
      <c r="A216" s="19"/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24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</row>
    <row r="217" spans="1:31" ht="13.15" x14ac:dyDescent="0.4">
      <c r="A217" s="19"/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24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</row>
    <row r="218" spans="1:31" ht="13.15" x14ac:dyDescent="0.4">
      <c r="A218" s="19"/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24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</row>
    <row r="219" spans="1:31" ht="13.15" x14ac:dyDescent="0.4">
      <c r="A219" s="19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24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</row>
    <row r="220" spans="1:31" ht="13.15" x14ac:dyDescent="0.4">
      <c r="A220" s="19"/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24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</row>
    <row r="221" spans="1:31" ht="13.15" x14ac:dyDescent="0.4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24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</row>
    <row r="222" spans="1:31" ht="13.15" x14ac:dyDescent="0.4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24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</row>
    <row r="223" spans="1:31" ht="13.15" x14ac:dyDescent="0.4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24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</row>
    <row r="224" spans="1:31" ht="13.15" x14ac:dyDescent="0.4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24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</row>
    <row r="225" spans="1:31" ht="13.15" x14ac:dyDescent="0.4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24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</row>
    <row r="226" spans="1:31" ht="13.15" x14ac:dyDescent="0.4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24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</row>
    <row r="227" spans="1:31" ht="13.15" x14ac:dyDescent="0.4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24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</row>
    <row r="228" spans="1:31" ht="13.15" x14ac:dyDescent="0.4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24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</row>
    <row r="229" spans="1:31" ht="13.15" x14ac:dyDescent="0.4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24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  <c r="AE229" s="19"/>
    </row>
    <row r="230" spans="1:31" ht="13.15" x14ac:dyDescent="0.4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24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</row>
    <row r="231" spans="1:31" ht="13.15" x14ac:dyDescent="0.4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24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</row>
    <row r="232" spans="1:31" ht="13.15" x14ac:dyDescent="0.4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24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</row>
    <row r="233" spans="1:31" ht="13.15" x14ac:dyDescent="0.4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24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</row>
    <row r="234" spans="1:31" ht="13.15" x14ac:dyDescent="0.4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24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</row>
    <row r="235" spans="1:31" ht="13.15" x14ac:dyDescent="0.4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24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</row>
    <row r="236" spans="1:31" ht="13.15" x14ac:dyDescent="0.4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24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</row>
    <row r="237" spans="1:31" ht="13.15" x14ac:dyDescent="0.4">
      <c r="A237" s="19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24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</row>
    <row r="238" spans="1:31" ht="13.15" x14ac:dyDescent="0.4">
      <c r="A238" s="19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24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</row>
    <row r="239" spans="1:31" ht="13.15" x14ac:dyDescent="0.4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24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</row>
    <row r="240" spans="1:31" ht="13.15" x14ac:dyDescent="0.4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24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</row>
    <row r="241" spans="1:31" ht="13.15" x14ac:dyDescent="0.4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24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</row>
    <row r="242" spans="1:31" ht="13.15" x14ac:dyDescent="0.4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24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</row>
    <row r="243" spans="1:31" ht="13.15" x14ac:dyDescent="0.4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24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</row>
    <row r="244" spans="1:31" ht="13.15" x14ac:dyDescent="0.4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24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</row>
    <row r="245" spans="1:31" ht="13.15" x14ac:dyDescent="0.4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24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</row>
    <row r="246" spans="1:31" ht="13.15" x14ac:dyDescent="0.4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24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</row>
    <row r="247" spans="1:31" ht="13.15" x14ac:dyDescent="0.4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24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</row>
    <row r="248" spans="1:31" ht="13.15" x14ac:dyDescent="0.4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24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</row>
    <row r="249" spans="1:31" ht="13.15" x14ac:dyDescent="0.4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24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</row>
    <row r="250" spans="1:31" ht="13.15" x14ac:dyDescent="0.4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24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</row>
    <row r="251" spans="1:31" ht="13.15" x14ac:dyDescent="0.4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24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</row>
    <row r="252" spans="1:31" ht="13.15" x14ac:dyDescent="0.4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24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</row>
    <row r="253" spans="1:31" ht="13.15" x14ac:dyDescent="0.4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24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</row>
    <row r="254" spans="1:31" ht="13.15" x14ac:dyDescent="0.4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24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</row>
    <row r="255" spans="1:31" ht="13.15" x14ac:dyDescent="0.4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24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</row>
    <row r="256" spans="1:31" ht="13.15" x14ac:dyDescent="0.4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24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  <c r="AC256" s="19"/>
      <c r="AD256" s="19"/>
      <c r="AE256" s="19"/>
    </row>
    <row r="257" spans="1:31" ht="13.15" x14ac:dyDescent="0.4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24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9"/>
      <c r="AE257" s="19"/>
    </row>
    <row r="258" spans="1:31" ht="13.15" x14ac:dyDescent="0.4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24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</row>
    <row r="259" spans="1:31" ht="13.15" x14ac:dyDescent="0.4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24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  <c r="AC259" s="19"/>
      <c r="AD259" s="19"/>
      <c r="AE259" s="19"/>
    </row>
    <row r="260" spans="1:31" ht="13.15" x14ac:dyDescent="0.4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24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</row>
    <row r="261" spans="1:31" ht="13.15" x14ac:dyDescent="0.4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24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</row>
    <row r="262" spans="1:31" ht="13.15" x14ac:dyDescent="0.4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24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</row>
    <row r="263" spans="1:31" ht="13.15" x14ac:dyDescent="0.4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24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</row>
    <row r="264" spans="1:31" ht="13.15" x14ac:dyDescent="0.4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24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</row>
    <row r="265" spans="1:31" ht="13.15" x14ac:dyDescent="0.4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24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</row>
    <row r="266" spans="1:31" ht="13.15" x14ac:dyDescent="0.4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24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</row>
    <row r="267" spans="1:31" ht="13.15" x14ac:dyDescent="0.4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24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</row>
    <row r="268" spans="1:31" ht="13.15" x14ac:dyDescent="0.4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24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</row>
    <row r="269" spans="1:31" ht="13.15" x14ac:dyDescent="0.4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24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</row>
    <row r="270" spans="1:31" ht="13.15" x14ac:dyDescent="0.4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24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</row>
    <row r="271" spans="1:31" ht="13.15" x14ac:dyDescent="0.4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24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</row>
    <row r="272" spans="1:31" ht="13.15" x14ac:dyDescent="0.4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24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</row>
    <row r="273" spans="1:31" ht="13.15" x14ac:dyDescent="0.4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24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</row>
    <row r="274" spans="1:31" ht="13.15" x14ac:dyDescent="0.4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24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</row>
    <row r="275" spans="1:31" ht="13.15" x14ac:dyDescent="0.4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24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</row>
    <row r="276" spans="1:31" ht="13.15" x14ac:dyDescent="0.4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24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</row>
    <row r="277" spans="1:31" ht="13.15" x14ac:dyDescent="0.4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24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</row>
    <row r="278" spans="1:31" ht="13.15" x14ac:dyDescent="0.4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24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  <c r="AD278" s="19"/>
      <c r="AE278" s="19"/>
    </row>
    <row r="279" spans="1:31" ht="13.15" x14ac:dyDescent="0.4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24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</row>
    <row r="280" spans="1:31" ht="13.15" x14ac:dyDescent="0.4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24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</row>
    <row r="281" spans="1:31" ht="13.15" x14ac:dyDescent="0.4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24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</row>
    <row r="282" spans="1:31" ht="13.15" x14ac:dyDescent="0.4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24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</row>
    <row r="283" spans="1:31" ht="13.15" x14ac:dyDescent="0.4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24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</row>
    <row r="284" spans="1:31" ht="13.15" x14ac:dyDescent="0.4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24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E284" s="19"/>
    </row>
    <row r="285" spans="1:31" ht="13.15" x14ac:dyDescent="0.4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24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  <c r="AE285" s="19"/>
    </row>
    <row r="286" spans="1:31" ht="13.15" x14ac:dyDescent="0.4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24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</row>
    <row r="287" spans="1:31" ht="13.15" x14ac:dyDescent="0.4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24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  <c r="AD287" s="19"/>
      <c r="AE287" s="19"/>
    </row>
    <row r="288" spans="1:31" ht="13.15" x14ac:dyDescent="0.4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24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  <c r="AD288" s="19"/>
      <c r="AE288" s="19"/>
    </row>
    <row r="289" spans="1:31" ht="13.15" x14ac:dyDescent="0.4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24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</row>
    <row r="290" spans="1:31" ht="13.15" x14ac:dyDescent="0.4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24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</row>
    <row r="291" spans="1:31" ht="13.15" x14ac:dyDescent="0.4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24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  <c r="AD291" s="19"/>
      <c r="AE291" s="19"/>
    </row>
    <row r="292" spans="1:31" ht="13.15" x14ac:dyDescent="0.4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24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</row>
    <row r="293" spans="1:31" ht="13.15" x14ac:dyDescent="0.4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24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/>
      <c r="AE293" s="19"/>
    </row>
    <row r="294" spans="1:31" ht="13.15" x14ac:dyDescent="0.4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24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9"/>
      <c r="AE294" s="19"/>
    </row>
    <row r="295" spans="1:31" ht="13.15" x14ac:dyDescent="0.4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24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/>
      <c r="AE295" s="19"/>
    </row>
    <row r="296" spans="1:31" ht="13.15" x14ac:dyDescent="0.4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24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19"/>
      <c r="AE296" s="19"/>
    </row>
    <row r="297" spans="1:31" ht="13.15" x14ac:dyDescent="0.4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24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</row>
    <row r="298" spans="1:31" ht="13.15" x14ac:dyDescent="0.4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24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19"/>
      <c r="AD298" s="19"/>
      <c r="AE298" s="19"/>
    </row>
    <row r="299" spans="1:31" ht="13.15" x14ac:dyDescent="0.4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24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19"/>
      <c r="AE299" s="19"/>
    </row>
    <row r="300" spans="1:31" ht="13.15" x14ac:dyDescent="0.4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24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19"/>
      <c r="AD300" s="19"/>
      <c r="AE300" s="19"/>
    </row>
    <row r="301" spans="1:31" ht="13.15" x14ac:dyDescent="0.4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24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/>
      <c r="AE301" s="19"/>
    </row>
    <row r="302" spans="1:31" ht="13.15" x14ac:dyDescent="0.4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24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E302" s="19"/>
    </row>
    <row r="303" spans="1:31" ht="13.15" x14ac:dyDescent="0.4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24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  <c r="AC303" s="19"/>
      <c r="AD303" s="19"/>
      <c r="AE303" s="19"/>
    </row>
    <row r="304" spans="1:31" ht="13.15" x14ac:dyDescent="0.4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24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  <c r="AC304" s="19"/>
      <c r="AD304" s="19"/>
      <c r="AE304" s="19"/>
    </row>
    <row r="305" spans="1:31" ht="13.15" x14ac:dyDescent="0.4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24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  <c r="AC305" s="19"/>
      <c r="AD305" s="19"/>
      <c r="AE305" s="19"/>
    </row>
    <row r="306" spans="1:31" ht="13.15" x14ac:dyDescent="0.4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24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  <c r="AC306" s="19"/>
      <c r="AD306" s="19"/>
      <c r="AE306" s="19"/>
    </row>
    <row r="307" spans="1:31" ht="13.15" x14ac:dyDescent="0.4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24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  <c r="AC307" s="19"/>
      <c r="AD307" s="19"/>
      <c r="AE307" s="19"/>
    </row>
    <row r="308" spans="1:31" ht="13.15" x14ac:dyDescent="0.4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24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  <c r="AC308" s="19"/>
      <c r="AD308" s="19"/>
      <c r="AE308" s="19"/>
    </row>
    <row r="309" spans="1:31" ht="13.15" x14ac:dyDescent="0.4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24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  <c r="AC309" s="19"/>
      <c r="AD309" s="19"/>
      <c r="AE309" s="19"/>
    </row>
    <row r="310" spans="1:31" ht="13.15" x14ac:dyDescent="0.4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24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  <c r="AC310" s="19"/>
      <c r="AD310" s="19"/>
      <c r="AE310" s="19"/>
    </row>
    <row r="311" spans="1:31" ht="13.15" x14ac:dyDescent="0.4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24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  <c r="AC311" s="19"/>
      <c r="AD311" s="19"/>
      <c r="AE311" s="19"/>
    </row>
    <row r="312" spans="1:31" ht="13.15" x14ac:dyDescent="0.4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24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  <c r="AC312" s="19"/>
      <c r="AD312" s="19"/>
      <c r="AE312" s="19"/>
    </row>
    <row r="313" spans="1:31" ht="13.15" x14ac:dyDescent="0.4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24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  <c r="AC313" s="19"/>
      <c r="AD313" s="19"/>
      <c r="AE313" s="19"/>
    </row>
    <row r="314" spans="1:31" ht="13.15" x14ac:dyDescent="0.4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24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  <c r="AC314" s="19"/>
      <c r="AD314" s="19"/>
      <c r="AE314" s="19"/>
    </row>
    <row r="315" spans="1:31" ht="13.15" x14ac:dyDescent="0.4">
      <c r="A315" s="19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24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  <c r="AD315" s="19"/>
      <c r="AE315" s="19"/>
    </row>
    <row r="316" spans="1:31" ht="13.15" x14ac:dyDescent="0.4">
      <c r="A316" s="19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24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  <c r="AC316" s="19"/>
      <c r="AD316" s="19"/>
      <c r="AE316" s="19"/>
    </row>
    <row r="317" spans="1:31" ht="13.15" x14ac:dyDescent="0.4">
      <c r="A317" s="19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24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</row>
    <row r="318" spans="1:31" ht="13.15" x14ac:dyDescent="0.4">
      <c r="A318" s="19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24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  <c r="AC318" s="19"/>
      <c r="AD318" s="19"/>
      <c r="AE318" s="19"/>
    </row>
    <row r="319" spans="1:31" ht="13.15" x14ac:dyDescent="0.4">
      <c r="A319" s="19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24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  <c r="AC319" s="19"/>
      <c r="AD319" s="19"/>
      <c r="AE319" s="19"/>
    </row>
    <row r="320" spans="1:31" ht="13.15" x14ac:dyDescent="0.4">
      <c r="A320" s="19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24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  <c r="AC320" s="19"/>
      <c r="AD320" s="19"/>
      <c r="AE320" s="19"/>
    </row>
    <row r="321" spans="1:31" ht="13.15" x14ac:dyDescent="0.4">
      <c r="A321" s="19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24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  <c r="AC321" s="19"/>
      <c r="AD321" s="19"/>
      <c r="AE321" s="19"/>
    </row>
    <row r="322" spans="1:31" ht="13.15" x14ac:dyDescent="0.4">
      <c r="A322" s="19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24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  <c r="AC322" s="19"/>
      <c r="AD322" s="19"/>
      <c r="AE322" s="19"/>
    </row>
    <row r="323" spans="1:31" ht="13.15" x14ac:dyDescent="0.4">
      <c r="A323" s="19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24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  <c r="AC323" s="19"/>
      <c r="AD323" s="19"/>
      <c r="AE323" s="19"/>
    </row>
    <row r="324" spans="1:31" ht="13.15" x14ac:dyDescent="0.4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24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  <c r="AC324" s="19"/>
      <c r="AD324" s="19"/>
      <c r="AE324" s="19"/>
    </row>
    <row r="325" spans="1:31" ht="13.15" x14ac:dyDescent="0.4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24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  <c r="AC325" s="19"/>
      <c r="AD325" s="19"/>
      <c r="AE325" s="19"/>
    </row>
    <row r="326" spans="1:31" ht="13.15" x14ac:dyDescent="0.4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24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  <c r="AD326" s="19"/>
      <c r="AE326" s="19"/>
    </row>
    <row r="327" spans="1:31" ht="13.15" x14ac:dyDescent="0.4">
      <c r="A327" s="19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24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  <c r="AC327" s="19"/>
      <c r="AD327" s="19"/>
      <c r="AE327" s="19"/>
    </row>
    <row r="328" spans="1:31" ht="13.15" x14ac:dyDescent="0.4">
      <c r="A328" s="19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24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  <c r="AC328" s="19"/>
      <c r="AD328" s="19"/>
      <c r="AE328" s="19"/>
    </row>
    <row r="329" spans="1:31" ht="13.15" x14ac:dyDescent="0.4">
      <c r="A329" s="19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24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  <c r="AC329" s="19"/>
      <c r="AD329" s="19"/>
      <c r="AE329" s="19"/>
    </row>
    <row r="330" spans="1:31" ht="13.15" x14ac:dyDescent="0.4">
      <c r="A330" s="19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24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  <c r="AC330" s="19"/>
      <c r="AD330" s="19"/>
      <c r="AE330" s="19"/>
    </row>
    <row r="331" spans="1:31" ht="13.15" x14ac:dyDescent="0.4">
      <c r="A331" s="19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24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  <c r="AC331" s="19"/>
      <c r="AD331" s="19"/>
      <c r="AE331" s="19"/>
    </row>
    <row r="332" spans="1:31" ht="13.15" x14ac:dyDescent="0.4">
      <c r="A332" s="19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24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  <c r="AC332" s="19"/>
      <c r="AD332" s="19"/>
      <c r="AE332" s="19"/>
    </row>
    <row r="333" spans="1:31" ht="13.15" x14ac:dyDescent="0.4">
      <c r="A333" s="19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24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  <c r="AC333" s="19"/>
      <c r="AD333" s="19"/>
      <c r="AE333" s="19"/>
    </row>
    <row r="334" spans="1:31" ht="13.15" x14ac:dyDescent="0.4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24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  <c r="AC334" s="19"/>
      <c r="AD334" s="19"/>
      <c r="AE334" s="19"/>
    </row>
    <row r="335" spans="1:31" ht="13.15" x14ac:dyDescent="0.4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24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  <c r="AC335" s="19"/>
      <c r="AD335" s="19"/>
      <c r="AE335" s="19"/>
    </row>
    <row r="336" spans="1:31" ht="13.15" x14ac:dyDescent="0.4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24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  <c r="AC336" s="19"/>
      <c r="AD336" s="19"/>
      <c r="AE336" s="19"/>
    </row>
    <row r="337" spans="1:31" ht="13.15" x14ac:dyDescent="0.4">
      <c r="A337" s="19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24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  <c r="AC337" s="19"/>
      <c r="AD337" s="19"/>
      <c r="AE337" s="19"/>
    </row>
    <row r="338" spans="1:31" ht="13.15" x14ac:dyDescent="0.4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24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  <c r="AC338" s="19"/>
      <c r="AD338" s="19"/>
      <c r="AE338" s="19"/>
    </row>
    <row r="339" spans="1:31" ht="13.15" x14ac:dyDescent="0.4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24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  <c r="AC339" s="19"/>
      <c r="AD339" s="19"/>
      <c r="AE339" s="19"/>
    </row>
    <row r="340" spans="1:31" ht="13.15" x14ac:dyDescent="0.4">
      <c r="A340" s="19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24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  <c r="AC340" s="19"/>
      <c r="AD340" s="19"/>
      <c r="AE340" s="19"/>
    </row>
    <row r="341" spans="1:31" ht="13.15" x14ac:dyDescent="0.4">
      <c r="A341" s="19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24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  <c r="AC341" s="19"/>
      <c r="AD341" s="19"/>
      <c r="AE341" s="19"/>
    </row>
    <row r="342" spans="1:31" ht="13.15" x14ac:dyDescent="0.4">
      <c r="A342" s="19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24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  <c r="AC342" s="19"/>
      <c r="AD342" s="19"/>
      <c r="AE342" s="19"/>
    </row>
    <row r="343" spans="1:31" ht="13.15" x14ac:dyDescent="0.4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24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  <c r="AC343" s="19"/>
      <c r="AD343" s="19"/>
      <c r="AE343" s="19"/>
    </row>
    <row r="344" spans="1:31" ht="13.15" x14ac:dyDescent="0.4">
      <c r="A344" s="19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24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  <c r="AC344" s="19"/>
      <c r="AD344" s="19"/>
      <c r="AE344" s="19"/>
    </row>
    <row r="345" spans="1:31" ht="13.15" x14ac:dyDescent="0.4">
      <c r="A345" s="19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24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  <c r="AC345" s="19"/>
      <c r="AD345" s="19"/>
      <c r="AE345" s="19"/>
    </row>
    <row r="346" spans="1:31" ht="13.15" x14ac:dyDescent="0.4">
      <c r="A346" s="19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24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  <c r="AC346" s="19"/>
      <c r="AD346" s="19"/>
      <c r="AE346" s="19"/>
    </row>
    <row r="347" spans="1:31" ht="13.15" x14ac:dyDescent="0.4">
      <c r="A347" s="19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24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  <c r="AC347" s="19"/>
      <c r="AD347" s="19"/>
      <c r="AE347" s="19"/>
    </row>
    <row r="348" spans="1:31" ht="13.15" x14ac:dyDescent="0.4">
      <c r="A348" s="19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24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  <c r="AC348" s="19"/>
      <c r="AD348" s="19"/>
      <c r="AE348" s="19"/>
    </row>
    <row r="349" spans="1:31" ht="13.15" x14ac:dyDescent="0.4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24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  <c r="AC349" s="19"/>
      <c r="AD349" s="19"/>
      <c r="AE349" s="19"/>
    </row>
    <row r="350" spans="1:31" ht="13.15" x14ac:dyDescent="0.4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24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  <c r="AC350" s="19"/>
      <c r="AD350" s="19"/>
      <c r="AE350" s="19"/>
    </row>
    <row r="351" spans="1:31" ht="13.15" x14ac:dyDescent="0.4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24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  <c r="AC351" s="19"/>
      <c r="AD351" s="19"/>
      <c r="AE351" s="19"/>
    </row>
    <row r="352" spans="1:31" ht="13.15" x14ac:dyDescent="0.4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24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  <c r="AC352" s="19"/>
      <c r="AD352" s="19"/>
      <c r="AE352" s="19"/>
    </row>
    <row r="353" spans="1:31" ht="13.15" x14ac:dyDescent="0.4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24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  <c r="AC353" s="19"/>
      <c r="AD353" s="19"/>
      <c r="AE353" s="19"/>
    </row>
    <row r="354" spans="1:31" ht="13.15" x14ac:dyDescent="0.4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24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  <c r="AC354" s="19"/>
      <c r="AD354" s="19"/>
      <c r="AE354" s="19"/>
    </row>
    <row r="355" spans="1:31" ht="13.15" x14ac:dyDescent="0.4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24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  <c r="AC355" s="19"/>
      <c r="AD355" s="19"/>
      <c r="AE355" s="19"/>
    </row>
    <row r="356" spans="1:31" ht="13.15" x14ac:dyDescent="0.4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24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  <c r="AC356" s="19"/>
      <c r="AD356" s="19"/>
      <c r="AE356" s="19"/>
    </row>
    <row r="357" spans="1:31" ht="13.15" x14ac:dyDescent="0.4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24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  <c r="AC357" s="19"/>
      <c r="AD357" s="19"/>
      <c r="AE357" s="19"/>
    </row>
    <row r="358" spans="1:31" ht="13.15" x14ac:dyDescent="0.4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24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</row>
    <row r="359" spans="1:31" ht="13.15" x14ac:dyDescent="0.4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24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</row>
    <row r="360" spans="1:31" ht="13.15" x14ac:dyDescent="0.4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24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</row>
    <row r="361" spans="1:31" ht="13.15" x14ac:dyDescent="0.4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24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  <c r="AC361" s="19"/>
      <c r="AD361" s="19"/>
      <c r="AE361" s="19"/>
    </row>
    <row r="362" spans="1:31" ht="13.15" x14ac:dyDescent="0.4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24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  <c r="AC362" s="19"/>
      <c r="AD362" s="19"/>
      <c r="AE362" s="19"/>
    </row>
    <row r="363" spans="1:31" ht="13.15" x14ac:dyDescent="0.4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24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</row>
    <row r="364" spans="1:31" ht="13.15" x14ac:dyDescent="0.4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24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  <c r="AC364" s="19"/>
      <c r="AD364" s="19"/>
      <c r="AE364" s="19"/>
    </row>
    <row r="365" spans="1:31" ht="13.15" x14ac:dyDescent="0.4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24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  <c r="AC365" s="19"/>
      <c r="AD365" s="19"/>
      <c r="AE365" s="19"/>
    </row>
    <row r="366" spans="1:31" ht="13.15" x14ac:dyDescent="0.4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24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  <c r="AC366" s="19"/>
      <c r="AD366" s="19"/>
      <c r="AE366" s="19"/>
    </row>
    <row r="367" spans="1:31" ht="13.15" x14ac:dyDescent="0.4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24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  <c r="AC367" s="19"/>
      <c r="AD367" s="19"/>
      <c r="AE367" s="19"/>
    </row>
    <row r="368" spans="1:31" ht="13.15" x14ac:dyDescent="0.4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24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  <c r="AC368" s="19"/>
      <c r="AD368" s="19"/>
      <c r="AE368" s="19"/>
    </row>
    <row r="369" spans="1:31" ht="13.15" x14ac:dyDescent="0.4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24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  <c r="AC369" s="19"/>
      <c r="AD369" s="19"/>
      <c r="AE369" s="19"/>
    </row>
    <row r="370" spans="1:31" ht="13.15" x14ac:dyDescent="0.4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24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  <c r="AC370" s="19"/>
      <c r="AD370" s="19"/>
      <c r="AE370" s="19"/>
    </row>
    <row r="371" spans="1:31" ht="13.15" x14ac:dyDescent="0.4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24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</row>
    <row r="372" spans="1:31" ht="13.15" x14ac:dyDescent="0.4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24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  <c r="AC372" s="19"/>
      <c r="AD372" s="19"/>
      <c r="AE372" s="19"/>
    </row>
    <row r="373" spans="1:31" ht="13.15" x14ac:dyDescent="0.4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24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  <c r="AC373" s="19"/>
      <c r="AD373" s="19"/>
      <c r="AE373" s="19"/>
    </row>
    <row r="374" spans="1:31" ht="13.15" x14ac:dyDescent="0.4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24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  <c r="AC374" s="19"/>
      <c r="AD374" s="19"/>
      <c r="AE374" s="19"/>
    </row>
    <row r="375" spans="1:31" ht="13.15" x14ac:dyDescent="0.4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24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  <c r="AC375" s="19"/>
      <c r="AD375" s="19"/>
      <c r="AE375" s="19"/>
    </row>
    <row r="376" spans="1:31" ht="13.15" x14ac:dyDescent="0.4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24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  <c r="AC376" s="19"/>
      <c r="AD376" s="19"/>
      <c r="AE376" s="19"/>
    </row>
    <row r="377" spans="1:31" ht="13.15" x14ac:dyDescent="0.4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24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  <c r="AC377" s="19"/>
      <c r="AD377" s="19"/>
      <c r="AE377" s="19"/>
    </row>
    <row r="378" spans="1:31" ht="13.15" x14ac:dyDescent="0.4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24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  <c r="AC378" s="19"/>
      <c r="AD378" s="19"/>
      <c r="AE378" s="19"/>
    </row>
    <row r="379" spans="1:31" ht="13.15" x14ac:dyDescent="0.4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24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  <c r="AC379" s="19"/>
      <c r="AD379" s="19"/>
      <c r="AE379" s="19"/>
    </row>
    <row r="380" spans="1:31" ht="13.15" x14ac:dyDescent="0.4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24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  <c r="AC380" s="19"/>
      <c r="AD380" s="19"/>
      <c r="AE380" s="19"/>
    </row>
    <row r="381" spans="1:31" ht="13.15" x14ac:dyDescent="0.4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24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E381" s="19"/>
    </row>
    <row r="382" spans="1:31" ht="13.15" x14ac:dyDescent="0.4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24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  <c r="AC382" s="19"/>
      <c r="AD382" s="19"/>
      <c r="AE382" s="19"/>
    </row>
    <row r="383" spans="1:31" ht="13.15" x14ac:dyDescent="0.4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24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  <c r="AC383" s="19"/>
      <c r="AD383" s="19"/>
      <c r="AE383" s="19"/>
    </row>
    <row r="384" spans="1:31" ht="13.15" x14ac:dyDescent="0.4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24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  <c r="AC384" s="19"/>
      <c r="AD384" s="19"/>
      <c r="AE384" s="19"/>
    </row>
    <row r="385" spans="1:31" ht="13.15" x14ac:dyDescent="0.4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24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  <c r="AE385" s="19"/>
    </row>
    <row r="386" spans="1:31" ht="13.15" x14ac:dyDescent="0.4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24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9"/>
      <c r="AE386" s="19"/>
    </row>
    <row r="387" spans="1:31" ht="13.15" x14ac:dyDescent="0.4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24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  <c r="AE387" s="19"/>
    </row>
    <row r="388" spans="1:31" ht="13.15" x14ac:dyDescent="0.4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24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  <c r="AC388" s="19"/>
      <c r="AD388" s="19"/>
      <c r="AE388" s="19"/>
    </row>
    <row r="389" spans="1:31" ht="13.15" x14ac:dyDescent="0.4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24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  <c r="AC389" s="19"/>
      <c r="AD389" s="19"/>
      <c r="AE389" s="19"/>
    </row>
    <row r="390" spans="1:31" ht="13.15" x14ac:dyDescent="0.4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24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  <c r="AC390" s="19"/>
      <c r="AD390" s="19"/>
      <c r="AE390" s="19"/>
    </row>
    <row r="391" spans="1:31" ht="13.15" x14ac:dyDescent="0.4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24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  <c r="AC391" s="19"/>
      <c r="AD391" s="19"/>
      <c r="AE391" s="19"/>
    </row>
    <row r="392" spans="1:31" ht="13.15" x14ac:dyDescent="0.4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24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E392" s="19"/>
    </row>
    <row r="393" spans="1:31" ht="13.15" x14ac:dyDescent="0.4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24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/>
      <c r="AE393" s="19"/>
    </row>
    <row r="394" spans="1:31" ht="13.15" x14ac:dyDescent="0.4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24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</row>
    <row r="395" spans="1:31" ht="13.15" x14ac:dyDescent="0.4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24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19"/>
      <c r="AD395" s="19"/>
      <c r="AE395" s="19"/>
    </row>
    <row r="396" spans="1:31" ht="13.15" x14ac:dyDescent="0.4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24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/>
      <c r="AD396" s="19"/>
      <c r="AE396" s="19"/>
    </row>
    <row r="397" spans="1:31" ht="13.15" x14ac:dyDescent="0.4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24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  <c r="AC397" s="19"/>
      <c r="AD397" s="19"/>
      <c r="AE397" s="19"/>
    </row>
    <row r="398" spans="1:31" ht="13.15" x14ac:dyDescent="0.4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24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  <c r="AC398" s="19"/>
      <c r="AD398" s="19"/>
      <c r="AE398" s="19"/>
    </row>
    <row r="399" spans="1:31" ht="13.15" x14ac:dyDescent="0.4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24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  <c r="AC399" s="19"/>
      <c r="AD399" s="19"/>
      <c r="AE399" s="19"/>
    </row>
    <row r="400" spans="1:31" ht="13.15" x14ac:dyDescent="0.4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24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  <c r="AC400" s="19"/>
      <c r="AD400" s="19"/>
      <c r="AE400" s="19"/>
    </row>
    <row r="401" spans="1:31" ht="13.15" x14ac:dyDescent="0.4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24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  <c r="AC401" s="19"/>
      <c r="AD401" s="19"/>
      <c r="AE401" s="19"/>
    </row>
    <row r="402" spans="1:31" ht="13.15" x14ac:dyDescent="0.4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24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  <c r="AC402" s="19"/>
      <c r="AD402" s="19"/>
      <c r="AE402" s="19"/>
    </row>
    <row r="403" spans="1:31" ht="13.15" x14ac:dyDescent="0.4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24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/>
      <c r="AD403" s="19"/>
      <c r="AE403" s="19"/>
    </row>
    <row r="404" spans="1:31" ht="13.15" x14ac:dyDescent="0.4">
      <c r="A404" s="19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24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  <c r="AC404" s="19"/>
      <c r="AD404" s="19"/>
      <c r="AE404" s="19"/>
    </row>
    <row r="405" spans="1:31" ht="13.15" x14ac:dyDescent="0.4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24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  <c r="AC405" s="19"/>
      <c r="AD405" s="19"/>
      <c r="AE405" s="19"/>
    </row>
    <row r="406" spans="1:31" ht="13.15" x14ac:dyDescent="0.4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24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  <c r="AC406" s="19"/>
      <c r="AD406" s="19"/>
      <c r="AE406" s="19"/>
    </row>
    <row r="407" spans="1:31" ht="13.15" x14ac:dyDescent="0.4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24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  <c r="AC407" s="19"/>
      <c r="AD407" s="19"/>
      <c r="AE407" s="19"/>
    </row>
    <row r="408" spans="1:31" ht="13.15" x14ac:dyDescent="0.4">
      <c r="A408" s="19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24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  <c r="AC408" s="19"/>
      <c r="AD408" s="19"/>
      <c r="AE408" s="19"/>
    </row>
    <row r="409" spans="1:31" ht="13.15" x14ac:dyDescent="0.4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24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  <c r="AC409" s="19"/>
      <c r="AD409" s="19"/>
      <c r="AE409" s="19"/>
    </row>
    <row r="410" spans="1:31" ht="13.15" x14ac:dyDescent="0.4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24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  <c r="AC410" s="19"/>
      <c r="AD410" s="19"/>
      <c r="AE410" s="19"/>
    </row>
    <row r="411" spans="1:31" ht="13.15" x14ac:dyDescent="0.4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24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  <c r="AC411" s="19"/>
      <c r="AD411" s="19"/>
      <c r="AE411" s="19"/>
    </row>
    <row r="412" spans="1:31" ht="13.15" x14ac:dyDescent="0.4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24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  <c r="AC412" s="19"/>
      <c r="AD412" s="19"/>
      <c r="AE412" s="19"/>
    </row>
    <row r="413" spans="1:31" ht="13.15" x14ac:dyDescent="0.4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24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  <c r="AC413" s="19"/>
      <c r="AD413" s="19"/>
      <c r="AE413" s="19"/>
    </row>
    <row r="414" spans="1:31" ht="13.15" x14ac:dyDescent="0.4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24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  <c r="AC414" s="19"/>
      <c r="AD414" s="19"/>
      <c r="AE414" s="19"/>
    </row>
    <row r="415" spans="1:31" ht="13.15" x14ac:dyDescent="0.4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24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  <c r="AC415" s="19"/>
      <c r="AD415" s="19"/>
      <c r="AE415" s="19"/>
    </row>
    <row r="416" spans="1:31" ht="13.15" x14ac:dyDescent="0.4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24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  <c r="AC416" s="19"/>
      <c r="AD416" s="19"/>
      <c r="AE416" s="19"/>
    </row>
    <row r="417" spans="1:31" ht="13.15" x14ac:dyDescent="0.4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24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  <c r="AC417" s="19"/>
      <c r="AD417" s="19"/>
      <c r="AE417" s="19"/>
    </row>
    <row r="418" spans="1:31" ht="13.15" x14ac:dyDescent="0.4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24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  <c r="AC418" s="19"/>
      <c r="AD418" s="19"/>
      <c r="AE418" s="19"/>
    </row>
    <row r="419" spans="1:31" ht="13.15" x14ac:dyDescent="0.4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24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  <c r="AC419" s="19"/>
      <c r="AD419" s="19"/>
      <c r="AE419" s="19"/>
    </row>
    <row r="420" spans="1:31" ht="13.15" x14ac:dyDescent="0.4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24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  <c r="AC420" s="19"/>
      <c r="AD420" s="19"/>
      <c r="AE420" s="19"/>
    </row>
    <row r="421" spans="1:31" ht="13.15" x14ac:dyDescent="0.4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24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  <c r="AC421" s="19"/>
      <c r="AD421" s="19"/>
      <c r="AE421" s="19"/>
    </row>
    <row r="422" spans="1:31" ht="13.15" x14ac:dyDescent="0.4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24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  <c r="AC422" s="19"/>
      <c r="AD422" s="19"/>
      <c r="AE422" s="19"/>
    </row>
    <row r="423" spans="1:31" ht="13.15" x14ac:dyDescent="0.4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24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  <c r="AC423" s="19"/>
      <c r="AD423" s="19"/>
      <c r="AE423" s="19"/>
    </row>
    <row r="424" spans="1:31" ht="13.15" x14ac:dyDescent="0.4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24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  <c r="AC424" s="19"/>
      <c r="AD424" s="19"/>
      <c r="AE424" s="19"/>
    </row>
    <row r="425" spans="1:31" ht="13.15" x14ac:dyDescent="0.4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24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  <c r="AB425" s="19"/>
      <c r="AC425" s="19"/>
      <c r="AD425" s="19"/>
      <c r="AE425" s="19"/>
    </row>
    <row r="426" spans="1:31" ht="13.15" x14ac:dyDescent="0.4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24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  <c r="AB426" s="19"/>
      <c r="AC426" s="19"/>
      <c r="AD426" s="19"/>
      <c r="AE426" s="19"/>
    </row>
    <row r="427" spans="1:31" ht="13.15" x14ac:dyDescent="0.4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24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/>
      <c r="AC427" s="19"/>
      <c r="AD427" s="19"/>
      <c r="AE427" s="19"/>
    </row>
    <row r="428" spans="1:31" ht="13.15" x14ac:dyDescent="0.4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24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  <c r="AC428" s="19"/>
      <c r="AD428" s="19"/>
      <c r="AE428" s="19"/>
    </row>
    <row r="429" spans="1:31" ht="13.15" x14ac:dyDescent="0.4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24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  <c r="AC429" s="19"/>
      <c r="AD429" s="19"/>
      <c r="AE429" s="19"/>
    </row>
    <row r="430" spans="1:31" ht="13.15" x14ac:dyDescent="0.4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24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  <c r="AC430" s="19"/>
      <c r="AD430" s="19"/>
      <c r="AE430" s="19"/>
    </row>
    <row r="431" spans="1:31" ht="13.15" x14ac:dyDescent="0.4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24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  <c r="AC431" s="19"/>
      <c r="AD431" s="19"/>
      <c r="AE431" s="19"/>
    </row>
    <row r="432" spans="1:31" ht="13.15" x14ac:dyDescent="0.4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24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  <c r="AB432" s="19"/>
      <c r="AC432" s="19"/>
      <c r="AD432" s="19"/>
      <c r="AE432" s="19"/>
    </row>
    <row r="433" spans="1:31" ht="13.15" x14ac:dyDescent="0.4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24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  <c r="AC433" s="19"/>
      <c r="AD433" s="19"/>
      <c r="AE433" s="19"/>
    </row>
    <row r="434" spans="1:31" ht="13.15" x14ac:dyDescent="0.4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24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/>
      <c r="AC434" s="19"/>
      <c r="AD434" s="19"/>
      <c r="AE434" s="19"/>
    </row>
    <row r="435" spans="1:31" ht="13.15" x14ac:dyDescent="0.4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24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  <c r="AC435" s="19"/>
      <c r="AD435" s="19"/>
      <c r="AE435" s="19"/>
    </row>
    <row r="436" spans="1:31" ht="13.15" x14ac:dyDescent="0.4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24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  <c r="AC436" s="19"/>
      <c r="AD436" s="19"/>
      <c r="AE436" s="19"/>
    </row>
    <row r="437" spans="1:31" ht="13.15" x14ac:dyDescent="0.4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24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  <c r="AC437" s="19"/>
      <c r="AD437" s="19"/>
      <c r="AE437" s="19"/>
    </row>
    <row r="438" spans="1:31" ht="13.15" x14ac:dyDescent="0.4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24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  <c r="AC438" s="19"/>
      <c r="AD438" s="19"/>
      <c r="AE438" s="19"/>
    </row>
    <row r="439" spans="1:31" ht="13.15" x14ac:dyDescent="0.4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24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  <c r="AC439" s="19"/>
      <c r="AD439" s="19"/>
      <c r="AE439" s="19"/>
    </row>
    <row r="440" spans="1:31" ht="13.15" x14ac:dyDescent="0.4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24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  <c r="AC440" s="19"/>
      <c r="AD440" s="19"/>
      <c r="AE440" s="19"/>
    </row>
    <row r="441" spans="1:31" ht="13.15" x14ac:dyDescent="0.4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24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  <c r="AC441" s="19"/>
      <c r="AD441" s="19"/>
      <c r="AE441" s="19"/>
    </row>
    <row r="442" spans="1:31" ht="13.15" x14ac:dyDescent="0.4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24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  <c r="AC442" s="19"/>
      <c r="AD442" s="19"/>
      <c r="AE442" s="19"/>
    </row>
    <row r="443" spans="1:31" ht="13.15" x14ac:dyDescent="0.4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24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  <c r="AC443" s="19"/>
      <c r="AD443" s="19"/>
      <c r="AE443" s="19"/>
    </row>
    <row r="444" spans="1:31" ht="13.15" x14ac:dyDescent="0.4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24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  <c r="AC444" s="19"/>
      <c r="AD444" s="19"/>
      <c r="AE444" s="19"/>
    </row>
    <row r="445" spans="1:31" ht="13.15" x14ac:dyDescent="0.4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24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  <c r="AC445" s="19"/>
      <c r="AD445" s="19"/>
      <c r="AE445" s="19"/>
    </row>
    <row r="446" spans="1:31" ht="13.15" x14ac:dyDescent="0.4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24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  <c r="AB446" s="19"/>
      <c r="AC446" s="19"/>
      <c r="AD446" s="19"/>
      <c r="AE446" s="19"/>
    </row>
    <row r="447" spans="1:31" ht="13.15" x14ac:dyDescent="0.4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24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  <c r="AC447" s="19"/>
      <c r="AD447" s="19"/>
      <c r="AE447" s="19"/>
    </row>
    <row r="448" spans="1:31" ht="13.15" x14ac:dyDescent="0.4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24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  <c r="AC448" s="19"/>
      <c r="AD448" s="19"/>
      <c r="AE448" s="19"/>
    </row>
    <row r="449" spans="1:31" ht="13.15" x14ac:dyDescent="0.4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24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  <c r="AC449" s="19"/>
      <c r="AD449" s="19"/>
      <c r="AE449" s="19"/>
    </row>
    <row r="450" spans="1:31" ht="13.15" x14ac:dyDescent="0.4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24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/>
      <c r="AC450" s="19"/>
      <c r="AD450" s="19"/>
      <c r="AE450" s="19"/>
    </row>
    <row r="451" spans="1:31" ht="13.15" x14ac:dyDescent="0.4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24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  <c r="AB451" s="19"/>
      <c r="AC451" s="19"/>
      <c r="AD451" s="19"/>
      <c r="AE451" s="19"/>
    </row>
    <row r="452" spans="1:31" ht="13.15" x14ac:dyDescent="0.4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24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  <c r="AB452" s="19"/>
      <c r="AC452" s="19"/>
      <c r="AD452" s="19"/>
      <c r="AE452" s="19"/>
    </row>
    <row r="453" spans="1:31" ht="13.15" x14ac:dyDescent="0.4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24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  <c r="AB453" s="19"/>
      <c r="AC453" s="19"/>
      <c r="AD453" s="19"/>
      <c r="AE453" s="19"/>
    </row>
    <row r="454" spans="1:31" ht="13.15" x14ac:dyDescent="0.4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24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  <c r="AB454" s="19"/>
      <c r="AC454" s="19"/>
      <c r="AD454" s="19"/>
      <c r="AE454" s="19"/>
    </row>
    <row r="455" spans="1:31" ht="13.15" x14ac:dyDescent="0.4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24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  <c r="AB455" s="19"/>
      <c r="AC455" s="19"/>
      <c r="AD455" s="19"/>
      <c r="AE455" s="19"/>
    </row>
    <row r="456" spans="1:31" ht="13.15" x14ac:dyDescent="0.4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24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  <c r="AC456" s="19"/>
      <c r="AD456" s="19"/>
      <c r="AE456" s="19"/>
    </row>
    <row r="457" spans="1:31" ht="13.15" x14ac:dyDescent="0.4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24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  <c r="AA457" s="19"/>
      <c r="AB457" s="19"/>
      <c r="AC457" s="19"/>
      <c r="AD457" s="19"/>
      <c r="AE457" s="19"/>
    </row>
    <row r="458" spans="1:31" ht="13.15" x14ac:dyDescent="0.4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24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  <c r="AA458" s="19"/>
      <c r="AB458" s="19"/>
      <c r="AC458" s="19"/>
      <c r="AD458" s="19"/>
      <c r="AE458" s="19"/>
    </row>
    <row r="459" spans="1:31" ht="13.15" x14ac:dyDescent="0.4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24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  <c r="AB459" s="19"/>
      <c r="AC459" s="19"/>
      <c r="AD459" s="19"/>
      <c r="AE459" s="19"/>
    </row>
    <row r="460" spans="1:31" ht="13.15" x14ac:dyDescent="0.4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24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  <c r="AB460" s="19"/>
      <c r="AC460" s="19"/>
      <c r="AD460" s="19"/>
      <c r="AE460" s="19"/>
    </row>
    <row r="461" spans="1:31" ht="13.15" x14ac:dyDescent="0.4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24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  <c r="AB461" s="19"/>
      <c r="AC461" s="19"/>
      <c r="AD461" s="19"/>
      <c r="AE461" s="19"/>
    </row>
    <row r="462" spans="1:31" ht="13.15" x14ac:dyDescent="0.4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24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  <c r="AC462" s="19"/>
      <c r="AD462" s="19"/>
      <c r="AE462" s="19"/>
    </row>
    <row r="463" spans="1:31" ht="13.15" x14ac:dyDescent="0.4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24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  <c r="AB463" s="19"/>
      <c r="AC463" s="19"/>
      <c r="AD463" s="19"/>
      <c r="AE463" s="19"/>
    </row>
    <row r="464" spans="1:31" ht="13.15" x14ac:dyDescent="0.4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24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  <c r="AC464" s="19"/>
      <c r="AD464" s="19"/>
      <c r="AE464" s="19"/>
    </row>
    <row r="465" spans="1:31" ht="13.15" x14ac:dyDescent="0.4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24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/>
      <c r="AC465" s="19"/>
      <c r="AD465" s="19"/>
      <c r="AE465" s="19"/>
    </row>
    <row r="466" spans="1:31" ht="13.15" x14ac:dyDescent="0.4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24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  <c r="AB466" s="19"/>
      <c r="AC466" s="19"/>
      <c r="AD466" s="19"/>
      <c r="AE466" s="19"/>
    </row>
    <row r="467" spans="1:31" ht="13.15" x14ac:dyDescent="0.4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24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  <c r="AC467" s="19"/>
      <c r="AD467" s="19"/>
      <c r="AE467" s="19"/>
    </row>
    <row r="468" spans="1:31" ht="13.15" x14ac:dyDescent="0.4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24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  <c r="AB468" s="19"/>
      <c r="AC468" s="19"/>
      <c r="AD468" s="19"/>
      <c r="AE468" s="19"/>
    </row>
    <row r="469" spans="1:31" ht="13.15" x14ac:dyDescent="0.4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24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  <c r="AB469" s="19"/>
      <c r="AC469" s="19"/>
      <c r="AD469" s="19"/>
      <c r="AE469" s="19"/>
    </row>
    <row r="470" spans="1:31" ht="13.15" x14ac:dyDescent="0.4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24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  <c r="AB470" s="19"/>
      <c r="AC470" s="19"/>
      <c r="AD470" s="19"/>
      <c r="AE470" s="19"/>
    </row>
    <row r="471" spans="1:31" ht="13.15" x14ac:dyDescent="0.4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24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  <c r="AC471" s="19"/>
      <c r="AD471" s="19"/>
      <c r="AE471" s="19"/>
    </row>
    <row r="472" spans="1:31" ht="13.15" x14ac:dyDescent="0.4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24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  <c r="AB472" s="19"/>
      <c r="AC472" s="19"/>
      <c r="AD472" s="19"/>
      <c r="AE472" s="19"/>
    </row>
    <row r="473" spans="1:31" ht="13.15" x14ac:dyDescent="0.4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24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  <c r="AC473" s="19"/>
      <c r="AD473" s="19"/>
      <c r="AE473" s="19"/>
    </row>
    <row r="474" spans="1:31" ht="13.15" x14ac:dyDescent="0.4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24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/>
      <c r="AC474" s="19"/>
      <c r="AD474" s="19"/>
      <c r="AE474" s="19"/>
    </row>
    <row r="475" spans="1:31" ht="13.15" x14ac:dyDescent="0.4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24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  <c r="AC475" s="19"/>
      <c r="AD475" s="19"/>
      <c r="AE475" s="19"/>
    </row>
    <row r="476" spans="1:31" ht="13.15" x14ac:dyDescent="0.4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24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/>
      <c r="AC476" s="19"/>
      <c r="AD476" s="19"/>
      <c r="AE476" s="19"/>
    </row>
    <row r="477" spans="1:31" ht="13.15" x14ac:dyDescent="0.4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24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  <c r="AC477" s="19"/>
      <c r="AD477" s="19"/>
      <c r="AE477" s="19"/>
    </row>
    <row r="478" spans="1:31" ht="13.15" x14ac:dyDescent="0.4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24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  <c r="AC478" s="19"/>
      <c r="AD478" s="19"/>
      <c r="AE478" s="19"/>
    </row>
    <row r="479" spans="1:31" ht="13.15" x14ac:dyDescent="0.4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24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  <c r="AC479" s="19"/>
      <c r="AD479" s="19"/>
      <c r="AE479" s="19"/>
    </row>
    <row r="480" spans="1:31" ht="13.15" x14ac:dyDescent="0.4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24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  <c r="AC480" s="19"/>
      <c r="AD480" s="19"/>
      <c r="AE480" s="19"/>
    </row>
    <row r="481" spans="1:31" ht="13.15" x14ac:dyDescent="0.4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24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  <c r="AB481" s="19"/>
      <c r="AC481" s="19"/>
      <c r="AD481" s="19"/>
      <c r="AE481" s="19"/>
    </row>
    <row r="482" spans="1:31" ht="13.15" x14ac:dyDescent="0.4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24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  <c r="AC482" s="19"/>
      <c r="AD482" s="19"/>
      <c r="AE482" s="19"/>
    </row>
    <row r="483" spans="1:31" ht="13.15" x14ac:dyDescent="0.4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24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19"/>
      <c r="AC483" s="19"/>
      <c r="AD483" s="19"/>
      <c r="AE483" s="19"/>
    </row>
    <row r="484" spans="1:31" ht="13.15" x14ac:dyDescent="0.4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24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  <c r="AB484" s="19"/>
      <c r="AC484" s="19"/>
      <c r="AD484" s="19"/>
      <c r="AE484" s="19"/>
    </row>
    <row r="485" spans="1:31" ht="13.15" x14ac:dyDescent="0.4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24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  <c r="AA485" s="19"/>
      <c r="AB485" s="19"/>
      <c r="AC485" s="19"/>
      <c r="AD485" s="19"/>
      <c r="AE485" s="19"/>
    </row>
    <row r="486" spans="1:31" ht="13.15" x14ac:dyDescent="0.4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24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  <c r="AB486" s="19"/>
      <c r="AC486" s="19"/>
      <c r="AD486" s="19"/>
      <c r="AE486" s="19"/>
    </row>
    <row r="487" spans="1:31" ht="13.15" x14ac:dyDescent="0.4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24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  <c r="AA487" s="19"/>
      <c r="AB487" s="19"/>
      <c r="AC487" s="19"/>
      <c r="AD487" s="19"/>
      <c r="AE487" s="19"/>
    </row>
    <row r="488" spans="1:31" ht="13.15" x14ac:dyDescent="0.4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24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  <c r="AC488" s="19"/>
      <c r="AD488" s="19"/>
      <c r="AE488" s="19"/>
    </row>
    <row r="489" spans="1:31" ht="13.15" x14ac:dyDescent="0.4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24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  <c r="AB489" s="19"/>
      <c r="AC489" s="19"/>
      <c r="AD489" s="19"/>
      <c r="AE489" s="19"/>
    </row>
    <row r="490" spans="1:31" ht="13.15" x14ac:dyDescent="0.4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24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  <c r="AC490" s="19"/>
      <c r="AD490" s="19"/>
      <c r="AE490" s="19"/>
    </row>
    <row r="491" spans="1:31" ht="13.15" x14ac:dyDescent="0.4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24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  <c r="AB491" s="19"/>
      <c r="AC491" s="19"/>
      <c r="AD491" s="19"/>
      <c r="AE491" s="19"/>
    </row>
    <row r="492" spans="1:31" ht="13.15" x14ac:dyDescent="0.4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24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  <c r="AB492" s="19"/>
      <c r="AC492" s="19"/>
      <c r="AD492" s="19"/>
      <c r="AE492" s="19"/>
    </row>
    <row r="493" spans="1:31" ht="13.15" x14ac:dyDescent="0.4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24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  <c r="AB493" s="19"/>
      <c r="AC493" s="19"/>
      <c r="AD493" s="19"/>
      <c r="AE493" s="19"/>
    </row>
    <row r="494" spans="1:31" ht="13.15" x14ac:dyDescent="0.4">
      <c r="A494" s="19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24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  <c r="AA494" s="19"/>
      <c r="AB494" s="19"/>
      <c r="AC494" s="19"/>
      <c r="AD494" s="19"/>
      <c r="AE494" s="19"/>
    </row>
    <row r="495" spans="1:31" ht="13.15" x14ac:dyDescent="0.4">
      <c r="A495" s="19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24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  <c r="AA495" s="19"/>
      <c r="AB495" s="19"/>
      <c r="AC495" s="19"/>
      <c r="AD495" s="19"/>
      <c r="AE495" s="19"/>
    </row>
    <row r="496" spans="1:31" ht="13.15" x14ac:dyDescent="0.4">
      <c r="A496" s="19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24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  <c r="AA496" s="19"/>
      <c r="AB496" s="19"/>
      <c r="AC496" s="19"/>
      <c r="AD496" s="19"/>
      <c r="AE496" s="19"/>
    </row>
    <row r="497" spans="1:31" ht="13.15" x14ac:dyDescent="0.4">
      <c r="A497" s="19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24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  <c r="AA497" s="19"/>
      <c r="AB497" s="19"/>
      <c r="AC497" s="19"/>
      <c r="AD497" s="19"/>
      <c r="AE497" s="19"/>
    </row>
    <row r="498" spans="1:31" ht="13.15" x14ac:dyDescent="0.4">
      <c r="A498" s="19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24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  <c r="AA498" s="19"/>
      <c r="AB498" s="19"/>
      <c r="AC498" s="19"/>
      <c r="AD498" s="19"/>
      <c r="AE498" s="19"/>
    </row>
    <row r="499" spans="1:31" ht="13.15" x14ac:dyDescent="0.4">
      <c r="A499" s="19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24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  <c r="AB499" s="19"/>
      <c r="AC499" s="19"/>
      <c r="AD499" s="19"/>
      <c r="AE499" s="19"/>
    </row>
    <row r="500" spans="1:31" ht="13.15" x14ac:dyDescent="0.4">
      <c r="A500" s="19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24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  <c r="AA500" s="19"/>
      <c r="AB500" s="19"/>
      <c r="AC500" s="19"/>
      <c r="AD500" s="19"/>
      <c r="AE500" s="19"/>
    </row>
    <row r="501" spans="1:31" ht="13.15" x14ac:dyDescent="0.4">
      <c r="A501" s="19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24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  <c r="AA501" s="19"/>
      <c r="AB501" s="19"/>
      <c r="AC501" s="19"/>
      <c r="AD501" s="19"/>
      <c r="AE501" s="19"/>
    </row>
    <row r="502" spans="1:31" ht="13.15" x14ac:dyDescent="0.4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24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  <c r="AA502" s="19"/>
      <c r="AB502" s="19"/>
      <c r="AC502" s="19"/>
      <c r="AD502" s="19"/>
      <c r="AE502" s="19"/>
    </row>
    <row r="503" spans="1:31" ht="13.15" x14ac:dyDescent="0.4">
      <c r="A503" s="19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24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  <c r="AB503" s="19"/>
      <c r="AC503" s="19"/>
      <c r="AD503" s="19"/>
      <c r="AE503" s="19"/>
    </row>
    <row r="504" spans="1:31" ht="13.15" x14ac:dyDescent="0.4">
      <c r="A504" s="19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24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  <c r="AB504" s="19"/>
      <c r="AC504" s="19"/>
      <c r="AD504" s="19"/>
      <c r="AE504" s="19"/>
    </row>
    <row r="505" spans="1:31" ht="13.15" x14ac:dyDescent="0.4">
      <c r="A505" s="19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24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  <c r="AB505" s="19"/>
      <c r="AC505" s="19"/>
      <c r="AD505" s="19"/>
      <c r="AE505" s="19"/>
    </row>
    <row r="506" spans="1:31" ht="13.15" x14ac:dyDescent="0.4">
      <c r="A506" s="19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24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  <c r="AB506" s="19"/>
      <c r="AC506" s="19"/>
      <c r="AD506" s="19"/>
      <c r="AE506" s="19"/>
    </row>
    <row r="507" spans="1:31" ht="13.15" x14ac:dyDescent="0.4">
      <c r="A507" s="19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24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  <c r="AB507" s="19"/>
      <c r="AC507" s="19"/>
      <c r="AD507" s="19"/>
      <c r="AE507" s="19"/>
    </row>
    <row r="508" spans="1:31" ht="13.15" x14ac:dyDescent="0.4">
      <c r="A508" s="19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24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  <c r="AC508" s="19"/>
      <c r="AD508" s="19"/>
      <c r="AE508" s="19"/>
    </row>
    <row r="509" spans="1:31" ht="13.15" x14ac:dyDescent="0.4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24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AB509" s="19"/>
      <c r="AC509" s="19"/>
      <c r="AD509" s="19"/>
      <c r="AE509" s="19"/>
    </row>
    <row r="510" spans="1:31" ht="13.15" x14ac:dyDescent="0.4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24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  <c r="AC510" s="19"/>
      <c r="AD510" s="19"/>
      <c r="AE510" s="19"/>
    </row>
    <row r="511" spans="1:31" ht="13.15" x14ac:dyDescent="0.4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24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  <c r="AC511" s="19"/>
      <c r="AD511" s="19"/>
      <c r="AE511" s="19"/>
    </row>
    <row r="512" spans="1:31" ht="13.15" x14ac:dyDescent="0.4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24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  <c r="AC512" s="19"/>
      <c r="AD512" s="19"/>
      <c r="AE512" s="19"/>
    </row>
    <row r="513" spans="1:31" ht="13.15" x14ac:dyDescent="0.4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24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AB513" s="19"/>
      <c r="AC513" s="19"/>
      <c r="AD513" s="19"/>
      <c r="AE513" s="19"/>
    </row>
    <row r="514" spans="1:31" ht="13.15" x14ac:dyDescent="0.4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24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  <c r="AB514" s="19"/>
      <c r="AC514" s="19"/>
      <c r="AD514" s="19"/>
      <c r="AE514" s="19"/>
    </row>
    <row r="515" spans="1:31" ht="13.15" x14ac:dyDescent="0.4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24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/>
      <c r="AC515" s="19"/>
      <c r="AD515" s="19"/>
      <c r="AE515" s="19"/>
    </row>
    <row r="516" spans="1:31" ht="13.15" x14ac:dyDescent="0.4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24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  <c r="AC516" s="19"/>
      <c r="AD516" s="19"/>
      <c r="AE516" s="19"/>
    </row>
    <row r="517" spans="1:31" ht="13.15" x14ac:dyDescent="0.4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24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  <c r="AB517" s="19"/>
      <c r="AC517" s="19"/>
      <c r="AD517" s="19"/>
      <c r="AE517" s="19"/>
    </row>
    <row r="518" spans="1:31" ht="13.15" x14ac:dyDescent="0.4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24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  <c r="AB518" s="19"/>
      <c r="AC518" s="19"/>
      <c r="AD518" s="19"/>
      <c r="AE518" s="19"/>
    </row>
    <row r="519" spans="1:31" ht="13.15" x14ac:dyDescent="0.4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24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  <c r="AA519" s="19"/>
      <c r="AB519" s="19"/>
      <c r="AC519" s="19"/>
      <c r="AD519" s="19"/>
      <c r="AE519" s="19"/>
    </row>
    <row r="520" spans="1:31" ht="13.15" x14ac:dyDescent="0.4">
      <c r="A520" s="19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24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  <c r="AB520" s="19"/>
      <c r="AC520" s="19"/>
      <c r="AD520" s="19"/>
      <c r="AE520" s="19"/>
    </row>
    <row r="521" spans="1:31" ht="13.15" x14ac:dyDescent="0.4">
      <c r="A521" s="19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24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  <c r="AB521" s="19"/>
      <c r="AC521" s="19"/>
      <c r="AD521" s="19"/>
      <c r="AE521" s="19"/>
    </row>
    <row r="522" spans="1:31" ht="13.15" x14ac:dyDescent="0.4">
      <c r="A522" s="19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24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  <c r="AA522" s="19"/>
      <c r="AB522" s="19"/>
      <c r="AC522" s="19"/>
      <c r="AD522" s="19"/>
      <c r="AE522" s="19"/>
    </row>
    <row r="523" spans="1:31" ht="13.15" x14ac:dyDescent="0.4">
      <c r="A523" s="19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24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  <c r="AB523" s="19"/>
      <c r="AC523" s="19"/>
      <c r="AD523" s="19"/>
      <c r="AE523" s="19"/>
    </row>
    <row r="524" spans="1:31" ht="13.15" x14ac:dyDescent="0.4">
      <c r="A524" s="19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24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  <c r="AA524" s="19"/>
      <c r="AB524" s="19"/>
      <c r="AC524" s="19"/>
      <c r="AD524" s="19"/>
      <c r="AE524" s="19"/>
    </row>
    <row r="525" spans="1:31" ht="13.15" x14ac:dyDescent="0.4">
      <c r="A525" s="19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24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  <c r="AC525" s="19"/>
      <c r="AD525" s="19"/>
      <c r="AE525" s="19"/>
    </row>
    <row r="526" spans="1:31" ht="13.15" x14ac:dyDescent="0.4">
      <c r="A526" s="19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24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  <c r="AC526" s="19"/>
      <c r="AD526" s="19"/>
      <c r="AE526" s="19"/>
    </row>
    <row r="527" spans="1:31" ht="13.15" x14ac:dyDescent="0.4">
      <c r="A527" s="19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24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  <c r="AC527" s="19"/>
      <c r="AD527" s="19"/>
      <c r="AE527" s="19"/>
    </row>
    <row r="528" spans="1:31" ht="13.15" x14ac:dyDescent="0.4">
      <c r="A528" s="19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24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  <c r="AC528" s="19"/>
      <c r="AD528" s="19"/>
      <c r="AE528" s="19"/>
    </row>
    <row r="529" spans="1:31" ht="13.15" x14ac:dyDescent="0.4">
      <c r="A529" s="19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24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  <c r="AB529" s="19"/>
      <c r="AC529" s="19"/>
      <c r="AD529" s="19"/>
      <c r="AE529" s="19"/>
    </row>
    <row r="530" spans="1:31" ht="13.15" x14ac:dyDescent="0.4">
      <c r="A530" s="19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24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  <c r="AC530" s="19"/>
      <c r="AD530" s="19"/>
      <c r="AE530" s="19"/>
    </row>
    <row r="531" spans="1:31" ht="13.15" x14ac:dyDescent="0.4">
      <c r="A531" s="19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24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  <c r="AC531" s="19"/>
      <c r="AD531" s="19"/>
      <c r="AE531" s="19"/>
    </row>
    <row r="532" spans="1:31" ht="13.15" x14ac:dyDescent="0.4">
      <c r="A532" s="19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24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  <c r="AC532" s="19"/>
      <c r="AD532" s="19"/>
      <c r="AE532" s="19"/>
    </row>
    <row r="533" spans="1:31" ht="13.15" x14ac:dyDescent="0.4">
      <c r="A533" s="19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24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  <c r="AC533" s="19"/>
      <c r="AD533" s="19"/>
      <c r="AE533" s="19"/>
    </row>
    <row r="534" spans="1:31" ht="13.15" x14ac:dyDescent="0.4">
      <c r="A534" s="19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24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  <c r="AC534" s="19"/>
      <c r="AD534" s="19"/>
      <c r="AE534" s="19"/>
    </row>
    <row r="535" spans="1:31" ht="13.15" x14ac:dyDescent="0.4">
      <c r="A535" s="19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24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  <c r="AB535" s="19"/>
      <c r="AC535" s="19"/>
      <c r="AD535" s="19"/>
      <c r="AE535" s="19"/>
    </row>
    <row r="536" spans="1:31" ht="13.15" x14ac:dyDescent="0.4">
      <c r="A536" s="19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24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  <c r="AC536" s="19"/>
      <c r="AD536" s="19"/>
      <c r="AE536" s="19"/>
    </row>
    <row r="537" spans="1:31" ht="13.15" x14ac:dyDescent="0.4">
      <c r="A537" s="19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24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  <c r="AC537" s="19"/>
      <c r="AD537" s="19"/>
      <c r="AE537" s="19"/>
    </row>
    <row r="538" spans="1:31" ht="13.15" x14ac:dyDescent="0.4">
      <c r="A538" s="19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24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  <c r="AC538" s="19"/>
      <c r="AD538" s="19"/>
      <c r="AE538" s="19"/>
    </row>
    <row r="539" spans="1:31" ht="13.15" x14ac:dyDescent="0.4">
      <c r="A539" s="19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24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  <c r="AC539" s="19"/>
      <c r="AD539" s="19"/>
      <c r="AE539" s="19"/>
    </row>
    <row r="540" spans="1:31" ht="13.15" x14ac:dyDescent="0.4">
      <c r="A540" s="19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24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  <c r="AA540" s="19"/>
      <c r="AB540" s="19"/>
      <c r="AC540" s="19"/>
      <c r="AD540" s="19"/>
      <c r="AE540" s="19"/>
    </row>
    <row r="541" spans="1:31" ht="13.15" x14ac:dyDescent="0.4">
      <c r="A541" s="19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24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  <c r="AC541" s="19"/>
      <c r="AD541" s="19"/>
      <c r="AE541" s="19"/>
    </row>
    <row r="542" spans="1:31" ht="13.15" x14ac:dyDescent="0.4">
      <c r="A542" s="19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24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</row>
    <row r="543" spans="1:31" ht="13.15" x14ac:dyDescent="0.4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24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  <c r="AB543" s="19"/>
      <c r="AC543" s="19"/>
      <c r="AD543" s="19"/>
      <c r="AE543" s="19"/>
    </row>
    <row r="544" spans="1:31" ht="13.15" x14ac:dyDescent="0.4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24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  <c r="AA544" s="19"/>
      <c r="AB544" s="19"/>
      <c r="AC544" s="19"/>
      <c r="AD544" s="19"/>
      <c r="AE544" s="19"/>
    </row>
    <row r="545" spans="1:31" ht="13.15" x14ac:dyDescent="0.4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24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  <c r="AA545" s="19"/>
      <c r="AB545" s="19"/>
      <c r="AC545" s="19"/>
      <c r="AD545" s="19"/>
      <c r="AE545" s="19"/>
    </row>
    <row r="546" spans="1:31" ht="13.15" x14ac:dyDescent="0.4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24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  <c r="AA546" s="19"/>
      <c r="AB546" s="19"/>
      <c r="AC546" s="19"/>
      <c r="AD546" s="19"/>
      <c r="AE546" s="19"/>
    </row>
    <row r="547" spans="1:31" ht="13.15" x14ac:dyDescent="0.4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24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  <c r="AC547" s="19"/>
      <c r="AD547" s="19"/>
      <c r="AE547" s="19"/>
    </row>
    <row r="548" spans="1:31" ht="13.15" x14ac:dyDescent="0.4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24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  <c r="AA548" s="19"/>
      <c r="AB548" s="19"/>
      <c r="AC548" s="19"/>
      <c r="AD548" s="19"/>
      <c r="AE548" s="19"/>
    </row>
    <row r="549" spans="1:31" ht="13.15" x14ac:dyDescent="0.4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24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  <c r="AA549" s="19"/>
      <c r="AB549" s="19"/>
      <c r="AC549" s="19"/>
      <c r="AD549" s="19"/>
      <c r="AE549" s="19"/>
    </row>
    <row r="550" spans="1:31" ht="13.15" x14ac:dyDescent="0.4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24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  <c r="AA550" s="19"/>
      <c r="AB550" s="19"/>
      <c r="AC550" s="19"/>
      <c r="AD550" s="19"/>
      <c r="AE550" s="19"/>
    </row>
    <row r="551" spans="1:31" ht="13.15" x14ac:dyDescent="0.4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24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  <c r="AA551" s="19"/>
      <c r="AB551" s="19"/>
      <c r="AC551" s="19"/>
      <c r="AD551" s="19"/>
      <c r="AE551" s="19"/>
    </row>
    <row r="552" spans="1:31" ht="13.15" x14ac:dyDescent="0.4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24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  <c r="AA552" s="19"/>
      <c r="AB552" s="19"/>
      <c r="AC552" s="19"/>
      <c r="AD552" s="19"/>
      <c r="AE552" s="19"/>
    </row>
    <row r="553" spans="1:31" ht="13.15" x14ac:dyDescent="0.4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24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  <c r="AA553" s="19"/>
      <c r="AB553" s="19"/>
      <c r="AC553" s="19"/>
      <c r="AD553" s="19"/>
      <c r="AE553" s="19"/>
    </row>
    <row r="554" spans="1:31" ht="13.15" x14ac:dyDescent="0.4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24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  <c r="AA554" s="19"/>
      <c r="AB554" s="19"/>
      <c r="AC554" s="19"/>
      <c r="AD554" s="19"/>
      <c r="AE554" s="19"/>
    </row>
    <row r="555" spans="1:31" ht="13.15" x14ac:dyDescent="0.4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24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  <c r="AA555" s="19"/>
      <c r="AB555" s="19"/>
      <c r="AC555" s="19"/>
      <c r="AD555" s="19"/>
      <c r="AE555" s="19"/>
    </row>
    <row r="556" spans="1:31" ht="13.15" x14ac:dyDescent="0.4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24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  <c r="AB556" s="19"/>
      <c r="AC556" s="19"/>
      <c r="AD556" s="19"/>
      <c r="AE556" s="19"/>
    </row>
    <row r="557" spans="1:31" ht="13.15" x14ac:dyDescent="0.4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24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  <c r="AA557" s="19"/>
      <c r="AB557" s="19"/>
      <c r="AC557" s="19"/>
      <c r="AD557" s="19"/>
      <c r="AE557" s="19"/>
    </row>
    <row r="558" spans="1:31" ht="13.15" x14ac:dyDescent="0.4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24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  <c r="AA558" s="19"/>
      <c r="AB558" s="19"/>
      <c r="AC558" s="19"/>
      <c r="AD558" s="19"/>
      <c r="AE558" s="19"/>
    </row>
    <row r="559" spans="1:31" ht="13.15" x14ac:dyDescent="0.4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24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  <c r="AA559" s="19"/>
      <c r="AB559" s="19"/>
      <c r="AC559" s="19"/>
      <c r="AD559" s="19"/>
      <c r="AE559" s="19"/>
    </row>
    <row r="560" spans="1:31" ht="13.15" x14ac:dyDescent="0.4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24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  <c r="AA560" s="19"/>
      <c r="AB560" s="19"/>
      <c r="AC560" s="19"/>
      <c r="AD560" s="19"/>
      <c r="AE560" s="19"/>
    </row>
    <row r="561" spans="1:31" ht="13.15" x14ac:dyDescent="0.4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24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  <c r="AA561" s="19"/>
      <c r="AB561" s="19"/>
      <c r="AC561" s="19"/>
      <c r="AD561" s="19"/>
      <c r="AE561" s="19"/>
    </row>
    <row r="562" spans="1:31" ht="13.15" x14ac:dyDescent="0.4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24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  <c r="AA562" s="19"/>
      <c r="AB562" s="19"/>
      <c r="AC562" s="19"/>
      <c r="AD562" s="19"/>
      <c r="AE562" s="19"/>
    </row>
    <row r="563" spans="1:31" ht="13.15" x14ac:dyDescent="0.4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24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  <c r="AB563" s="19"/>
      <c r="AC563" s="19"/>
      <c r="AD563" s="19"/>
      <c r="AE563" s="19"/>
    </row>
    <row r="564" spans="1:31" ht="13.15" x14ac:dyDescent="0.4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24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  <c r="AA564" s="19"/>
      <c r="AB564" s="19"/>
      <c r="AC564" s="19"/>
      <c r="AD564" s="19"/>
      <c r="AE564" s="19"/>
    </row>
    <row r="565" spans="1:31" ht="13.15" x14ac:dyDescent="0.4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24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  <c r="AA565" s="19"/>
      <c r="AB565" s="19"/>
      <c r="AC565" s="19"/>
      <c r="AD565" s="19"/>
      <c r="AE565" s="19"/>
    </row>
    <row r="566" spans="1:31" ht="13.15" x14ac:dyDescent="0.4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24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  <c r="AA566" s="19"/>
      <c r="AB566" s="19"/>
      <c r="AC566" s="19"/>
      <c r="AD566" s="19"/>
      <c r="AE566" s="19"/>
    </row>
    <row r="567" spans="1:31" ht="13.15" x14ac:dyDescent="0.4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24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  <c r="AA567" s="19"/>
      <c r="AB567" s="19"/>
      <c r="AC567" s="19"/>
      <c r="AD567" s="19"/>
      <c r="AE567" s="19"/>
    </row>
    <row r="568" spans="1:31" ht="13.15" x14ac:dyDescent="0.4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24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  <c r="AA568" s="19"/>
      <c r="AB568" s="19"/>
      <c r="AC568" s="19"/>
      <c r="AD568" s="19"/>
      <c r="AE568" s="19"/>
    </row>
    <row r="569" spans="1:31" ht="13.15" x14ac:dyDescent="0.4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24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  <c r="AC569" s="19"/>
      <c r="AD569" s="19"/>
      <c r="AE569" s="19"/>
    </row>
    <row r="570" spans="1:31" ht="13.15" x14ac:dyDescent="0.4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24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  <c r="AA570" s="19"/>
      <c r="AB570" s="19"/>
      <c r="AC570" s="19"/>
      <c r="AD570" s="19"/>
      <c r="AE570" s="19"/>
    </row>
    <row r="571" spans="1:31" ht="13.15" x14ac:dyDescent="0.4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24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  <c r="AA571" s="19"/>
      <c r="AB571" s="19"/>
      <c r="AC571" s="19"/>
      <c r="AD571" s="19"/>
      <c r="AE571" s="19"/>
    </row>
    <row r="572" spans="1:31" ht="13.15" x14ac:dyDescent="0.4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24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  <c r="AA572" s="19"/>
      <c r="AB572" s="19"/>
      <c r="AC572" s="19"/>
      <c r="AD572" s="19"/>
      <c r="AE572" s="19"/>
    </row>
    <row r="573" spans="1:31" ht="13.15" x14ac:dyDescent="0.4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24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  <c r="AA573" s="19"/>
      <c r="AB573" s="19"/>
      <c r="AC573" s="19"/>
      <c r="AD573" s="19"/>
      <c r="AE573" s="19"/>
    </row>
    <row r="574" spans="1:31" ht="13.15" x14ac:dyDescent="0.4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24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  <c r="AC574" s="19"/>
      <c r="AD574" s="19"/>
      <c r="AE574" s="19"/>
    </row>
    <row r="575" spans="1:31" ht="13.15" x14ac:dyDescent="0.4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24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  <c r="AA575" s="19"/>
      <c r="AB575" s="19"/>
      <c r="AC575" s="19"/>
      <c r="AD575" s="19"/>
      <c r="AE575" s="19"/>
    </row>
    <row r="576" spans="1:31" ht="13.15" x14ac:dyDescent="0.4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24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  <c r="AA576" s="19"/>
      <c r="AB576" s="19"/>
      <c r="AC576" s="19"/>
      <c r="AD576" s="19"/>
      <c r="AE576" s="19"/>
    </row>
    <row r="577" spans="1:31" ht="13.15" x14ac:dyDescent="0.4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24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  <c r="AA577" s="19"/>
      <c r="AB577" s="19"/>
      <c r="AC577" s="19"/>
      <c r="AD577" s="19"/>
      <c r="AE577" s="19"/>
    </row>
    <row r="578" spans="1:31" ht="13.15" x14ac:dyDescent="0.4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24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  <c r="AA578" s="19"/>
      <c r="AB578" s="19"/>
      <c r="AC578" s="19"/>
      <c r="AD578" s="19"/>
      <c r="AE578" s="19"/>
    </row>
    <row r="579" spans="1:31" ht="13.15" x14ac:dyDescent="0.4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24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  <c r="AA579" s="19"/>
      <c r="AB579" s="19"/>
      <c r="AC579" s="19"/>
      <c r="AD579" s="19"/>
      <c r="AE579" s="19"/>
    </row>
    <row r="580" spans="1:31" ht="13.15" x14ac:dyDescent="0.4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24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  <c r="AA580" s="19"/>
      <c r="AB580" s="19"/>
      <c r="AC580" s="19"/>
      <c r="AD580" s="19"/>
      <c r="AE580" s="19"/>
    </row>
    <row r="581" spans="1:31" ht="13.15" x14ac:dyDescent="0.4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24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  <c r="AA581" s="19"/>
      <c r="AB581" s="19"/>
      <c r="AC581" s="19"/>
      <c r="AD581" s="19"/>
      <c r="AE581" s="19"/>
    </row>
    <row r="582" spans="1:31" ht="13.15" x14ac:dyDescent="0.4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24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  <c r="AA582" s="19"/>
      <c r="AB582" s="19"/>
      <c r="AC582" s="19"/>
      <c r="AD582" s="19"/>
      <c r="AE582" s="19"/>
    </row>
    <row r="583" spans="1:31" ht="13.15" x14ac:dyDescent="0.4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24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  <c r="AB583" s="19"/>
      <c r="AC583" s="19"/>
      <c r="AD583" s="19"/>
      <c r="AE583" s="19"/>
    </row>
    <row r="584" spans="1:31" ht="13.15" x14ac:dyDescent="0.4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24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  <c r="AA584" s="19"/>
      <c r="AB584" s="19"/>
      <c r="AC584" s="19"/>
      <c r="AD584" s="19"/>
      <c r="AE584" s="19"/>
    </row>
    <row r="585" spans="1:31" ht="13.15" x14ac:dyDescent="0.4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24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  <c r="AA585" s="19"/>
      <c r="AB585" s="19"/>
      <c r="AC585" s="19"/>
      <c r="AD585" s="19"/>
      <c r="AE585" s="19"/>
    </row>
    <row r="586" spans="1:31" ht="13.15" x14ac:dyDescent="0.4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24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  <c r="AA586" s="19"/>
      <c r="AB586" s="19"/>
      <c r="AC586" s="19"/>
      <c r="AD586" s="19"/>
      <c r="AE586" s="19"/>
    </row>
    <row r="587" spans="1:31" ht="13.15" x14ac:dyDescent="0.4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24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  <c r="AA587" s="19"/>
      <c r="AB587" s="19"/>
      <c r="AC587" s="19"/>
      <c r="AD587" s="19"/>
      <c r="AE587" s="19"/>
    </row>
    <row r="588" spans="1:31" ht="13.15" x14ac:dyDescent="0.4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24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  <c r="AA588" s="19"/>
      <c r="AB588" s="19"/>
      <c r="AC588" s="19"/>
      <c r="AD588" s="19"/>
      <c r="AE588" s="19"/>
    </row>
    <row r="589" spans="1:31" ht="13.15" x14ac:dyDescent="0.4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24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  <c r="AA589" s="19"/>
      <c r="AB589" s="19"/>
      <c r="AC589" s="19"/>
      <c r="AD589" s="19"/>
      <c r="AE589" s="19"/>
    </row>
    <row r="590" spans="1:31" ht="13.15" x14ac:dyDescent="0.4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24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  <c r="AA590" s="19"/>
      <c r="AB590" s="19"/>
      <c r="AC590" s="19"/>
      <c r="AD590" s="19"/>
      <c r="AE590" s="19"/>
    </row>
    <row r="591" spans="1:31" ht="13.15" x14ac:dyDescent="0.4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24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  <c r="AA591" s="19"/>
      <c r="AB591" s="19"/>
      <c r="AC591" s="19"/>
      <c r="AD591" s="19"/>
      <c r="AE591" s="19"/>
    </row>
    <row r="592" spans="1:31" ht="13.15" x14ac:dyDescent="0.4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24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  <c r="AA592" s="19"/>
      <c r="AB592" s="19"/>
      <c r="AC592" s="19"/>
      <c r="AD592" s="19"/>
      <c r="AE592" s="19"/>
    </row>
    <row r="593" spans="1:31" ht="13.15" x14ac:dyDescent="0.4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24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  <c r="AA593" s="19"/>
      <c r="AB593" s="19"/>
      <c r="AC593" s="19"/>
      <c r="AD593" s="19"/>
      <c r="AE593" s="19"/>
    </row>
    <row r="594" spans="1:31" ht="13.15" x14ac:dyDescent="0.4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24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  <c r="AA594" s="19"/>
      <c r="AB594" s="19"/>
      <c r="AC594" s="19"/>
      <c r="AD594" s="19"/>
      <c r="AE594" s="19"/>
    </row>
    <row r="595" spans="1:31" ht="13.15" x14ac:dyDescent="0.4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24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  <c r="AA595" s="19"/>
      <c r="AB595" s="19"/>
      <c r="AC595" s="19"/>
      <c r="AD595" s="19"/>
      <c r="AE595" s="19"/>
    </row>
    <row r="596" spans="1:31" ht="13.15" x14ac:dyDescent="0.4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24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  <c r="AA596" s="19"/>
      <c r="AB596" s="19"/>
      <c r="AC596" s="19"/>
      <c r="AD596" s="19"/>
      <c r="AE596" s="19"/>
    </row>
    <row r="597" spans="1:31" ht="13.15" x14ac:dyDescent="0.4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24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  <c r="AA597" s="19"/>
      <c r="AB597" s="19"/>
      <c r="AC597" s="19"/>
      <c r="AD597" s="19"/>
      <c r="AE597" s="19"/>
    </row>
    <row r="598" spans="1:31" ht="13.15" x14ac:dyDescent="0.4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24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  <c r="AA598" s="19"/>
      <c r="AB598" s="19"/>
      <c r="AC598" s="19"/>
      <c r="AD598" s="19"/>
      <c r="AE598" s="19"/>
    </row>
    <row r="599" spans="1:31" ht="13.15" x14ac:dyDescent="0.4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24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  <c r="AA599" s="19"/>
      <c r="AB599" s="19"/>
      <c r="AC599" s="19"/>
      <c r="AD599" s="19"/>
      <c r="AE599" s="19"/>
    </row>
    <row r="600" spans="1:31" ht="13.15" x14ac:dyDescent="0.4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24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  <c r="AA600" s="19"/>
      <c r="AB600" s="19"/>
      <c r="AC600" s="19"/>
      <c r="AD600" s="19"/>
      <c r="AE600" s="19"/>
    </row>
    <row r="601" spans="1:31" ht="13.15" x14ac:dyDescent="0.4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24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  <c r="AB601" s="19"/>
      <c r="AC601" s="19"/>
      <c r="AD601" s="19"/>
      <c r="AE601" s="19"/>
    </row>
    <row r="602" spans="1:31" ht="13.15" x14ac:dyDescent="0.4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24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  <c r="AA602" s="19"/>
      <c r="AB602" s="19"/>
      <c r="AC602" s="19"/>
      <c r="AD602" s="19"/>
      <c r="AE602" s="19"/>
    </row>
    <row r="603" spans="1:31" ht="13.15" x14ac:dyDescent="0.4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24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  <c r="AA603" s="19"/>
      <c r="AB603" s="19"/>
      <c r="AC603" s="19"/>
      <c r="AD603" s="19"/>
      <c r="AE603" s="19"/>
    </row>
    <row r="604" spans="1:31" ht="13.15" x14ac:dyDescent="0.4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24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  <c r="AA604" s="19"/>
      <c r="AB604" s="19"/>
      <c r="AC604" s="19"/>
      <c r="AD604" s="19"/>
      <c r="AE604" s="19"/>
    </row>
    <row r="605" spans="1:31" ht="13.15" x14ac:dyDescent="0.4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24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  <c r="AA605" s="19"/>
      <c r="AB605" s="19"/>
      <c r="AC605" s="19"/>
      <c r="AD605" s="19"/>
      <c r="AE605" s="19"/>
    </row>
    <row r="606" spans="1:31" ht="13.15" x14ac:dyDescent="0.4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24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  <c r="AA606" s="19"/>
      <c r="AB606" s="19"/>
      <c r="AC606" s="19"/>
      <c r="AD606" s="19"/>
      <c r="AE606" s="19"/>
    </row>
    <row r="607" spans="1:31" ht="13.15" x14ac:dyDescent="0.4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24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  <c r="AA607" s="19"/>
      <c r="AB607" s="19"/>
      <c r="AC607" s="19"/>
      <c r="AD607" s="19"/>
      <c r="AE607" s="19"/>
    </row>
    <row r="608" spans="1:31" ht="13.15" x14ac:dyDescent="0.4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24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  <c r="AB608" s="19"/>
      <c r="AC608" s="19"/>
      <c r="AD608" s="19"/>
      <c r="AE608" s="19"/>
    </row>
    <row r="609" spans="1:31" ht="13.15" x14ac:dyDescent="0.4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24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  <c r="AA609" s="19"/>
      <c r="AB609" s="19"/>
      <c r="AC609" s="19"/>
      <c r="AD609" s="19"/>
      <c r="AE609" s="19"/>
    </row>
    <row r="610" spans="1:31" ht="13.15" x14ac:dyDescent="0.4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24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  <c r="AA610" s="19"/>
      <c r="AB610" s="19"/>
      <c r="AC610" s="19"/>
      <c r="AD610" s="19"/>
      <c r="AE610" s="19"/>
    </row>
    <row r="611" spans="1:31" ht="13.15" x14ac:dyDescent="0.4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24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  <c r="AA611" s="19"/>
      <c r="AB611" s="19"/>
      <c r="AC611" s="19"/>
      <c r="AD611" s="19"/>
      <c r="AE611" s="19"/>
    </row>
    <row r="612" spans="1:31" ht="13.15" x14ac:dyDescent="0.4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24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  <c r="AA612" s="19"/>
      <c r="AB612" s="19"/>
      <c r="AC612" s="19"/>
      <c r="AD612" s="19"/>
      <c r="AE612" s="19"/>
    </row>
    <row r="613" spans="1:31" ht="13.15" x14ac:dyDescent="0.4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24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  <c r="AC613" s="19"/>
      <c r="AD613" s="19"/>
      <c r="AE613" s="19"/>
    </row>
    <row r="614" spans="1:31" ht="13.15" x14ac:dyDescent="0.4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24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  <c r="AC614" s="19"/>
      <c r="AD614" s="19"/>
      <c r="AE614" s="19"/>
    </row>
    <row r="615" spans="1:31" ht="13.15" x14ac:dyDescent="0.4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24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  <c r="AC615" s="19"/>
      <c r="AD615" s="19"/>
      <c r="AE615" s="19"/>
    </row>
    <row r="616" spans="1:31" ht="13.15" x14ac:dyDescent="0.4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24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  <c r="AC616" s="19"/>
      <c r="AD616" s="19"/>
      <c r="AE616" s="19"/>
    </row>
    <row r="617" spans="1:31" ht="13.15" x14ac:dyDescent="0.4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24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  <c r="AA617" s="19"/>
      <c r="AB617" s="19"/>
      <c r="AC617" s="19"/>
      <c r="AD617" s="19"/>
      <c r="AE617" s="19"/>
    </row>
    <row r="618" spans="1:31" ht="13.15" x14ac:dyDescent="0.4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24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  <c r="AA618" s="19"/>
      <c r="AB618" s="19"/>
      <c r="AC618" s="19"/>
      <c r="AD618" s="19"/>
      <c r="AE618" s="19"/>
    </row>
    <row r="619" spans="1:31" ht="13.15" x14ac:dyDescent="0.4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24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  <c r="AA619" s="19"/>
      <c r="AB619" s="19"/>
      <c r="AC619" s="19"/>
      <c r="AD619" s="19"/>
      <c r="AE619" s="19"/>
    </row>
    <row r="620" spans="1:31" ht="13.15" x14ac:dyDescent="0.4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24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  <c r="AB620" s="19"/>
      <c r="AC620" s="19"/>
      <c r="AD620" s="19"/>
      <c r="AE620" s="19"/>
    </row>
    <row r="621" spans="1:31" ht="13.15" x14ac:dyDescent="0.4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24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  <c r="AA621" s="19"/>
      <c r="AB621" s="19"/>
      <c r="AC621" s="19"/>
      <c r="AD621" s="19"/>
      <c r="AE621" s="19"/>
    </row>
    <row r="622" spans="1:31" ht="13.15" x14ac:dyDescent="0.4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24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  <c r="AA622" s="19"/>
      <c r="AB622" s="19"/>
      <c r="AC622" s="19"/>
      <c r="AD622" s="19"/>
      <c r="AE622" s="19"/>
    </row>
    <row r="623" spans="1:31" ht="13.15" x14ac:dyDescent="0.4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24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  <c r="AA623" s="19"/>
      <c r="AB623" s="19"/>
      <c r="AC623" s="19"/>
      <c r="AD623" s="19"/>
      <c r="AE623" s="19"/>
    </row>
    <row r="624" spans="1:31" ht="13.15" x14ac:dyDescent="0.4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24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  <c r="AA624" s="19"/>
      <c r="AB624" s="19"/>
      <c r="AC624" s="19"/>
      <c r="AD624" s="19"/>
      <c r="AE624" s="19"/>
    </row>
    <row r="625" spans="1:31" ht="13.15" x14ac:dyDescent="0.4">
      <c r="A625" s="19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24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  <c r="AA625" s="19"/>
      <c r="AB625" s="19"/>
      <c r="AC625" s="19"/>
      <c r="AD625" s="19"/>
      <c r="AE625" s="19"/>
    </row>
    <row r="626" spans="1:31" ht="13.15" x14ac:dyDescent="0.4">
      <c r="A626" s="19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24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  <c r="AA626" s="19"/>
      <c r="AB626" s="19"/>
      <c r="AC626" s="19"/>
      <c r="AD626" s="19"/>
      <c r="AE626" s="19"/>
    </row>
    <row r="627" spans="1:31" ht="13.15" x14ac:dyDescent="0.4">
      <c r="A627" s="19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24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  <c r="AA627" s="19"/>
      <c r="AB627" s="19"/>
      <c r="AC627" s="19"/>
      <c r="AD627" s="19"/>
      <c r="AE627" s="19"/>
    </row>
    <row r="628" spans="1:31" ht="13.15" x14ac:dyDescent="0.4">
      <c r="A628" s="19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24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  <c r="AA628" s="19"/>
      <c r="AB628" s="19"/>
      <c r="AC628" s="19"/>
      <c r="AD628" s="19"/>
      <c r="AE628" s="19"/>
    </row>
    <row r="629" spans="1:31" ht="13.15" x14ac:dyDescent="0.4">
      <c r="A629" s="19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24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  <c r="AA629" s="19"/>
      <c r="AB629" s="19"/>
      <c r="AC629" s="19"/>
      <c r="AD629" s="19"/>
      <c r="AE629" s="19"/>
    </row>
    <row r="630" spans="1:31" ht="13.15" x14ac:dyDescent="0.4">
      <c r="A630" s="19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24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  <c r="AA630" s="19"/>
      <c r="AB630" s="19"/>
      <c r="AC630" s="19"/>
      <c r="AD630" s="19"/>
      <c r="AE630" s="19"/>
    </row>
    <row r="631" spans="1:31" ht="13.15" x14ac:dyDescent="0.4">
      <c r="A631" s="19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24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  <c r="AC631" s="19"/>
      <c r="AD631" s="19"/>
      <c r="AE631" s="19"/>
    </row>
    <row r="632" spans="1:31" ht="13.15" x14ac:dyDescent="0.4">
      <c r="A632" s="19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24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  <c r="AA632" s="19"/>
      <c r="AB632" s="19"/>
      <c r="AC632" s="19"/>
      <c r="AD632" s="19"/>
      <c r="AE632" s="19"/>
    </row>
    <row r="633" spans="1:31" ht="13.15" x14ac:dyDescent="0.4">
      <c r="A633" s="19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24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  <c r="AA633" s="19"/>
      <c r="AB633" s="19"/>
      <c r="AC633" s="19"/>
      <c r="AD633" s="19"/>
      <c r="AE633" s="19"/>
    </row>
    <row r="634" spans="1:31" ht="13.15" x14ac:dyDescent="0.4">
      <c r="A634" s="19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24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  <c r="AA634" s="19"/>
      <c r="AB634" s="19"/>
      <c r="AC634" s="19"/>
      <c r="AD634" s="19"/>
      <c r="AE634" s="19"/>
    </row>
    <row r="635" spans="1:31" ht="13.15" x14ac:dyDescent="0.4">
      <c r="A635" s="19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24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  <c r="AA635" s="19"/>
      <c r="AB635" s="19"/>
      <c r="AC635" s="19"/>
      <c r="AD635" s="19"/>
      <c r="AE635" s="19"/>
    </row>
    <row r="636" spans="1:31" ht="13.15" x14ac:dyDescent="0.4">
      <c r="A636" s="19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24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  <c r="AA636" s="19"/>
      <c r="AB636" s="19"/>
      <c r="AC636" s="19"/>
      <c r="AD636" s="19"/>
      <c r="AE636" s="19"/>
    </row>
    <row r="637" spans="1:31" ht="13.15" x14ac:dyDescent="0.4">
      <c r="A637" s="19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24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  <c r="AA637" s="19"/>
      <c r="AB637" s="19"/>
      <c r="AC637" s="19"/>
      <c r="AD637" s="19"/>
      <c r="AE637" s="19"/>
    </row>
    <row r="638" spans="1:31" ht="13.15" x14ac:dyDescent="0.4">
      <c r="A638" s="19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24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  <c r="AA638" s="19"/>
      <c r="AB638" s="19"/>
      <c r="AC638" s="19"/>
      <c r="AD638" s="19"/>
      <c r="AE638" s="19"/>
    </row>
    <row r="639" spans="1:31" ht="13.15" x14ac:dyDescent="0.4">
      <c r="A639" s="19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24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  <c r="AA639" s="19"/>
      <c r="AB639" s="19"/>
      <c r="AC639" s="19"/>
      <c r="AD639" s="19"/>
      <c r="AE639" s="19"/>
    </row>
    <row r="640" spans="1:31" ht="13.15" x14ac:dyDescent="0.4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24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  <c r="AA640" s="19"/>
      <c r="AB640" s="19"/>
      <c r="AC640" s="19"/>
      <c r="AD640" s="19"/>
      <c r="AE640" s="19"/>
    </row>
    <row r="641" spans="1:31" ht="13.15" x14ac:dyDescent="0.4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24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  <c r="AA641" s="19"/>
      <c r="AB641" s="19"/>
      <c r="AC641" s="19"/>
      <c r="AD641" s="19"/>
      <c r="AE641" s="19"/>
    </row>
    <row r="642" spans="1:31" ht="13.15" x14ac:dyDescent="0.4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24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  <c r="AA642" s="19"/>
      <c r="AB642" s="19"/>
      <c r="AC642" s="19"/>
      <c r="AD642" s="19"/>
      <c r="AE642" s="19"/>
    </row>
    <row r="643" spans="1:31" ht="13.15" x14ac:dyDescent="0.4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24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  <c r="AA643" s="19"/>
      <c r="AB643" s="19"/>
      <c r="AC643" s="19"/>
      <c r="AD643" s="19"/>
      <c r="AE643" s="19"/>
    </row>
    <row r="644" spans="1:31" ht="13.15" x14ac:dyDescent="0.4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24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  <c r="AA644" s="19"/>
      <c r="AB644" s="19"/>
      <c r="AC644" s="19"/>
      <c r="AD644" s="19"/>
      <c r="AE644" s="19"/>
    </row>
    <row r="645" spans="1:31" ht="13.15" x14ac:dyDescent="0.4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24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  <c r="AA645" s="19"/>
      <c r="AB645" s="19"/>
      <c r="AC645" s="19"/>
      <c r="AD645" s="19"/>
      <c r="AE645" s="19"/>
    </row>
    <row r="646" spans="1:31" ht="13.15" x14ac:dyDescent="0.4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24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  <c r="AB646" s="19"/>
      <c r="AC646" s="19"/>
      <c r="AD646" s="19"/>
      <c r="AE646" s="19"/>
    </row>
    <row r="647" spans="1:31" ht="13.15" x14ac:dyDescent="0.4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24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  <c r="AA647" s="19"/>
      <c r="AB647" s="19"/>
      <c r="AC647" s="19"/>
      <c r="AD647" s="19"/>
      <c r="AE647" s="19"/>
    </row>
    <row r="648" spans="1:31" ht="13.15" x14ac:dyDescent="0.4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24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  <c r="AA648" s="19"/>
      <c r="AB648" s="19"/>
      <c r="AC648" s="19"/>
      <c r="AD648" s="19"/>
      <c r="AE648" s="19"/>
    </row>
    <row r="649" spans="1:31" ht="13.15" x14ac:dyDescent="0.4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24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  <c r="AA649" s="19"/>
      <c r="AB649" s="19"/>
      <c r="AC649" s="19"/>
      <c r="AD649" s="19"/>
      <c r="AE649" s="19"/>
    </row>
    <row r="650" spans="1:31" ht="13.15" x14ac:dyDescent="0.4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24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  <c r="AA650" s="19"/>
      <c r="AB650" s="19"/>
      <c r="AC650" s="19"/>
      <c r="AD650" s="19"/>
      <c r="AE650" s="19"/>
    </row>
    <row r="651" spans="1:31" ht="13.15" x14ac:dyDescent="0.4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24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  <c r="AA651" s="19"/>
      <c r="AB651" s="19"/>
      <c r="AC651" s="19"/>
      <c r="AD651" s="19"/>
      <c r="AE651" s="19"/>
    </row>
    <row r="652" spans="1:31" ht="13.15" x14ac:dyDescent="0.4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24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  <c r="AA652" s="19"/>
      <c r="AB652" s="19"/>
      <c r="AC652" s="19"/>
      <c r="AD652" s="19"/>
      <c r="AE652" s="19"/>
    </row>
    <row r="653" spans="1:31" ht="13.15" x14ac:dyDescent="0.4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24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  <c r="AA653" s="19"/>
      <c r="AB653" s="19"/>
      <c r="AC653" s="19"/>
      <c r="AD653" s="19"/>
      <c r="AE653" s="19"/>
    </row>
    <row r="654" spans="1:31" ht="13.15" x14ac:dyDescent="0.4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24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  <c r="AA654" s="19"/>
      <c r="AB654" s="19"/>
      <c r="AC654" s="19"/>
      <c r="AD654" s="19"/>
      <c r="AE654" s="19"/>
    </row>
    <row r="655" spans="1:31" ht="13.15" x14ac:dyDescent="0.4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24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  <c r="AA655" s="19"/>
      <c r="AB655" s="19"/>
      <c r="AC655" s="19"/>
      <c r="AD655" s="19"/>
      <c r="AE655" s="19"/>
    </row>
    <row r="656" spans="1:31" ht="13.15" x14ac:dyDescent="0.4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24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  <c r="AA656" s="19"/>
      <c r="AB656" s="19"/>
      <c r="AC656" s="19"/>
      <c r="AD656" s="19"/>
      <c r="AE656" s="19"/>
    </row>
    <row r="657" spans="1:31" ht="13.15" x14ac:dyDescent="0.4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24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  <c r="AA657" s="19"/>
      <c r="AB657" s="19"/>
      <c r="AC657" s="19"/>
      <c r="AD657" s="19"/>
      <c r="AE657" s="19"/>
    </row>
    <row r="658" spans="1:31" ht="13.15" x14ac:dyDescent="0.4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24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  <c r="AA658" s="19"/>
      <c r="AB658" s="19"/>
      <c r="AC658" s="19"/>
      <c r="AD658" s="19"/>
      <c r="AE658" s="19"/>
    </row>
    <row r="659" spans="1:31" ht="13.15" x14ac:dyDescent="0.4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24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  <c r="AA659" s="19"/>
      <c r="AB659" s="19"/>
      <c r="AC659" s="19"/>
      <c r="AD659" s="19"/>
      <c r="AE659" s="19"/>
    </row>
    <row r="660" spans="1:31" ht="13.15" x14ac:dyDescent="0.4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24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  <c r="AA660" s="19"/>
      <c r="AB660" s="19"/>
      <c r="AC660" s="19"/>
      <c r="AD660" s="19"/>
      <c r="AE660" s="19"/>
    </row>
    <row r="661" spans="1:31" ht="13.15" x14ac:dyDescent="0.4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24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  <c r="AA661" s="19"/>
      <c r="AB661" s="19"/>
      <c r="AC661" s="19"/>
      <c r="AD661" s="19"/>
      <c r="AE661" s="19"/>
    </row>
    <row r="662" spans="1:31" ht="13.15" x14ac:dyDescent="0.4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24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  <c r="AA662" s="19"/>
      <c r="AB662" s="19"/>
      <c r="AC662" s="19"/>
      <c r="AD662" s="19"/>
      <c r="AE662" s="19"/>
    </row>
    <row r="663" spans="1:31" ht="13.15" x14ac:dyDescent="0.4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24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  <c r="AA663" s="19"/>
      <c r="AB663" s="19"/>
      <c r="AC663" s="19"/>
      <c r="AD663" s="19"/>
      <c r="AE663" s="19"/>
    </row>
    <row r="664" spans="1:31" ht="13.15" x14ac:dyDescent="0.4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24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  <c r="AA664" s="19"/>
      <c r="AB664" s="19"/>
      <c r="AC664" s="19"/>
      <c r="AD664" s="19"/>
      <c r="AE664" s="19"/>
    </row>
    <row r="665" spans="1:31" ht="13.15" x14ac:dyDescent="0.4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24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  <c r="AA665" s="19"/>
      <c r="AB665" s="19"/>
      <c r="AC665" s="19"/>
      <c r="AD665" s="19"/>
      <c r="AE665" s="19"/>
    </row>
    <row r="666" spans="1:31" ht="13.15" x14ac:dyDescent="0.4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24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  <c r="AA666" s="19"/>
      <c r="AB666" s="19"/>
      <c r="AC666" s="19"/>
      <c r="AD666" s="19"/>
      <c r="AE666" s="19"/>
    </row>
    <row r="667" spans="1:31" ht="13.15" x14ac:dyDescent="0.4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24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  <c r="AA667" s="19"/>
      <c r="AB667" s="19"/>
      <c r="AC667" s="19"/>
      <c r="AD667" s="19"/>
      <c r="AE667" s="19"/>
    </row>
    <row r="668" spans="1:31" ht="13.15" x14ac:dyDescent="0.4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24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  <c r="AA668" s="19"/>
      <c r="AB668" s="19"/>
      <c r="AC668" s="19"/>
      <c r="AD668" s="19"/>
      <c r="AE668" s="19"/>
    </row>
    <row r="669" spans="1:31" ht="13.15" x14ac:dyDescent="0.4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24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  <c r="AA669" s="19"/>
      <c r="AB669" s="19"/>
      <c r="AC669" s="19"/>
      <c r="AD669" s="19"/>
      <c r="AE669" s="19"/>
    </row>
    <row r="670" spans="1:31" ht="13.15" x14ac:dyDescent="0.4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24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  <c r="AA670" s="19"/>
      <c r="AB670" s="19"/>
      <c r="AC670" s="19"/>
      <c r="AD670" s="19"/>
      <c r="AE670" s="19"/>
    </row>
    <row r="671" spans="1:31" ht="13.15" x14ac:dyDescent="0.4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24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  <c r="AA671" s="19"/>
      <c r="AB671" s="19"/>
      <c r="AC671" s="19"/>
      <c r="AD671" s="19"/>
      <c r="AE671" s="19"/>
    </row>
    <row r="672" spans="1:31" ht="13.15" x14ac:dyDescent="0.4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24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  <c r="AA672" s="19"/>
      <c r="AB672" s="19"/>
      <c r="AC672" s="19"/>
      <c r="AD672" s="19"/>
      <c r="AE672" s="19"/>
    </row>
    <row r="673" spans="1:31" ht="13.15" x14ac:dyDescent="0.4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24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  <c r="AA673" s="19"/>
      <c r="AB673" s="19"/>
      <c r="AC673" s="19"/>
      <c r="AD673" s="19"/>
      <c r="AE673" s="19"/>
    </row>
    <row r="674" spans="1:31" ht="13.15" x14ac:dyDescent="0.4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24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  <c r="AA674" s="19"/>
      <c r="AB674" s="19"/>
      <c r="AC674" s="19"/>
      <c r="AD674" s="19"/>
      <c r="AE674" s="19"/>
    </row>
    <row r="675" spans="1:31" ht="13.15" x14ac:dyDescent="0.4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24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  <c r="AA675" s="19"/>
      <c r="AB675" s="19"/>
      <c r="AC675" s="19"/>
      <c r="AD675" s="19"/>
      <c r="AE675" s="19"/>
    </row>
    <row r="676" spans="1:31" ht="13.15" x14ac:dyDescent="0.4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24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  <c r="AA676" s="19"/>
      <c r="AB676" s="19"/>
      <c r="AC676" s="19"/>
      <c r="AD676" s="19"/>
      <c r="AE676" s="19"/>
    </row>
    <row r="677" spans="1:31" ht="13.15" x14ac:dyDescent="0.4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24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  <c r="AA677" s="19"/>
      <c r="AB677" s="19"/>
      <c r="AC677" s="19"/>
      <c r="AD677" s="19"/>
      <c r="AE677" s="19"/>
    </row>
    <row r="678" spans="1:31" ht="13.15" x14ac:dyDescent="0.4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24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  <c r="AA678" s="19"/>
      <c r="AB678" s="19"/>
      <c r="AC678" s="19"/>
      <c r="AD678" s="19"/>
      <c r="AE678" s="19"/>
    </row>
    <row r="679" spans="1:31" ht="13.15" x14ac:dyDescent="0.4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24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A679" s="19"/>
      <c r="AB679" s="19"/>
      <c r="AC679" s="19"/>
      <c r="AD679" s="19"/>
      <c r="AE679" s="19"/>
    </row>
    <row r="680" spans="1:31" ht="13.15" x14ac:dyDescent="0.4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24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  <c r="AA680" s="19"/>
      <c r="AB680" s="19"/>
      <c r="AC680" s="19"/>
      <c r="AD680" s="19"/>
      <c r="AE680" s="19"/>
    </row>
    <row r="681" spans="1:31" ht="13.15" x14ac:dyDescent="0.4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24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  <c r="AA681" s="19"/>
      <c r="AB681" s="19"/>
      <c r="AC681" s="19"/>
      <c r="AD681" s="19"/>
      <c r="AE681" s="19"/>
    </row>
    <row r="682" spans="1:31" ht="13.15" x14ac:dyDescent="0.4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24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  <c r="AA682" s="19"/>
      <c r="AB682" s="19"/>
      <c r="AC682" s="19"/>
      <c r="AD682" s="19"/>
      <c r="AE682" s="19"/>
    </row>
    <row r="683" spans="1:31" ht="13.15" x14ac:dyDescent="0.4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24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  <c r="AA683" s="19"/>
      <c r="AB683" s="19"/>
      <c r="AC683" s="19"/>
      <c r="AD683" s="19"/>
      <c r="AE683" s="19"/>
    </row>
    <row r="684" spans="1:31" ht="13.15" x14ac:dyDescent="0.4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24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  <c r="AA684" s="19"/>
      <c r="AB684" s="19"/>
      <c r="AC684" s="19"/>
      <c r="AD684" s="19"/>
      <c r="AE684" s="19"/>
    </row>
    <row r="685" spans="1:31" ht="13.15" x14ac:dyDescent="0.4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24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  <c r="AA685" s="19"/>
      <c r="AB685" s="19"/>
      <c r="AC685" s="19"/>
      <c r="AD685" s="19"/>
      <c r="AE685" s="19"/>
    </row>
    <row r="686" spans="1:31" ht="13.15" x14ac:dyDescent="0.4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24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  <c r="AA686" s="19"/>
      <c r="AB686" s="19"/>
      <c r="AC686" s="19"/>
      <c r="AD686" s="19"/>
      <c r="AE686" s="19"/>
    </row>
    <row r="687" spans="1:31" ht="13.15" x14ac:dyDescent="0.4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24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  <c r="AA687" s="19"/>
      <c r="AB687" s="19"/>
      <c r="AC687" s="19"/>
      <c r="AD687" s="19"/>
      <c r="AE687" s="19"/>
    </row>
    <row r="688" spans="1:31" ht="13.15" x14ac:dyDescent="0.4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24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  <c r="AA688" s="19"/>
      <c r="AB688" s="19"/>
      <c r="AC688" s="19"/>
      <c r="AD688" s="19"/>
      <c r="AE688" s="19"/>
    </row>
    <row r="689" spans="1:31" ht="13.15" x14ac:dyDescent="0.4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24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  <c r="AA689" s="19"/>
      <c r="AB689" s="19"/>
      <c r="AC689" s="19"/>
      <c r="AD689" s="19"/>
      <c r="AE689" s="19"/>
    </row>
    <row r="690" spans="1:31" ht="13.15" x14ac:dyDescent="0.4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24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  <c r="AA690" s="19"/>
      <c r="AB690" s="19"/>
      <c r="AC690" s="19"/>
      <c r="AD690" s="19"/>
      <c r="AE690" s="19"/>
    </row>
    <row r="691" spans="1:31" ht="13.15" x14ac:dyDescent="0.4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24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  <c r="AA691" s="19"/>
      <c r="AB691" s="19"/>
      <c r="AC691" s="19"/>
      <c r="AD691" s="19"/>
      <c r="AE691" s="19"/>
    </row>
    <row r="692" spans="1:31" ht="13.15" x14ac:dyDescent="0.4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24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  <c r="AA692" s="19"/>
      <c r="AB692" s="19"/>
      <c r="AC692" s="19"/>
      <c r="AD692" s="19"/>
      <c r="AE692" s="19"/>
    </row>
    <row r="693" spans="1:31" ht="13.15" x14ac:dyDescent="0.4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24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  <c r="AA693" s="19"/>
      <c r="AB693" s="19"/>
      <c r="AC693" s="19"/>
      <c r="AD693" s="19"/>
      <c r="AE693" s="19"/>
    </row>
    <row r="694" spans="1:31" ht="13.15" x14ac:dyDescent="0.4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24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  <c r="AA694" s="19"/>
      <c r="AB694" s="19"/>
      <c r="AC694" s="19"/>
      <c r="AD694" s="19"/>
      <c r="AE694" s="19"/>
    </row>
    <row r="695" spans="1:31" ht="13.15" x14ac:dyDescent="0.4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24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  <c r="AA695" s="19"/>
      <c r="AB695" s="19"/>
      <c r="AC695" s="19"/>
      <c r="AD695" s="19"/>
      <c r="AE695" s="19"/>
    </row>
    <row r="696" spans="1:31" ht="13.15" x14ac:dyDescent="0.4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24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  <c r="AA696" s="19"/>
      <c r="AB696" s="19"/>
      <c r="AC696" s="19"/>
      <c r="AD696" s="19"/>
      <c r="AE696" s="19"/>
    </row>
    <row r="697" spans="1:31" ht="13.15" x14ac:dyDescent="0.4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24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  <c r="AA697" s="19"/>
      <c r="AB697" s="19"/>
      <c r="AC697" s="19"/>
      <c r="AD697" s="19"/>
      <c r="AE697" s="19"/>
    </row>
    <row r="698" spans="1:31" ht="13.15" x14ac:dyDescent="0.4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24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  <c r="AA698" s="19"/>
      <c r="AB698" s="19"/>
      <c r="AC698" s="19"/>
      <c r="AD698" s="19"/>
      <c r="AE698" s="19"/>
    </row>
    <row r="699" spans="1:31" ht="13.15" x14ac:dyDescent="0.4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24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  <c r="AA699" s="19"/>
      <c r="AB699" s="19"/>
      <c r="AC699" s="19"/>
      <c r="AD699" s="19"/>
      <c r="AE699" s="19"/>
    </row>
    <row r="700" spans="1:31" ht="13.15" x14ac:dyDescent="0.4">
      <c r="A700" s="19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24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  <c r="AA700" s="19"/>
      <c r="AB700" s="19"/>
      <c r="AC700" s="19"/>
      <c r="AD700" s="19"/>
      <c r="AE700" s="19"/>
    </row>
    <row r="701" spans="1:31" ht="13.15" x14ac:dyDescent="0.4">
      <c r="A701" s="19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24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  <c r="AA701" s="19"/>
      <c r="AB701" s="19"/>
      <c r="AC701" s="19"/>
      <c r="AD701" s="19"/>
      <c r="AE701" s="19"/>
    </row>
    <row r="702" spans="1:31" ht="13.15" x14ac:dyDescent="0.4">
      <c r="A702" s="19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24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  <c r="AA702" s="19"/>
      <c r="AB702" s="19"/>
      <c r="AC702" s="19"/>
      <c r="AD702" s="19"/>
      <c r="AE702" s="19"/>
    </row>
    <row r="703" spans="1:31" ht="13.15" x14ac:dyDescent="0.4">
      <c r="A703" s="19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24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  <c r="AA703" s="19"/>
      <c r="AB703" s="19"/>
      <c r="AC703" s="19"/>
      <c r="AD703" s="19"/>
      <c r="AE703" s="19"/>
    </row>
    <row r="704" spans="1:31" ht="13.15" x14ac:dyDescent="0.4">
      <c r="A704" s="19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24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  <c r="AA704" s="19"/>
      <c r="AB704" s="19"/>
      <c r="AC704" s="19"/>
      <c r="AD704" s="19"/>
      <c r="AE704" s="19"/>
    </row>
    <row r="705" spans="1:31" ht="13.15" x14ac:dyDescent="0.4">
      <c r="A705" s="19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24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  <c r="AA705" s="19"/>
      <c r="AB705" s="19"/>
      <c r="AC705" s="19"/>
      <c r="AD705" s="19"/>
      <c r="AE705" s="19"/>
    </row>
    <row r="706" spans="1:31" ht="13.15" x14ac:dyDescent="0.4">
      <c r="A706" s="19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24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A706" s="19"/>
      <c r="AB706" s="19"/>
      <c r="AC706" s="19"/>
      <c r="AD706" s="19"/>
      <c r="AE706" s="19"/>
    </row>
    <row r="707" spans="1:31" ht="13.15" x14ac:dyDescent="0.4">
      <c r="A707" s="19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24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  <c r="AA707" s="19"/>
      <c r="AB707" s="19"/>
      <c r="AC707" s="19"/>
      <c r="AD707" s="19"/>
      <c r="AE707" s="19"/>
    </row>
    <row r="708" spans="1:31" ht="13.15" x14ac:dyDescent="0.4">
      <c r="A708" s="19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24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  <c r="AA708" s="19"/>
      <c r="AB708" s="19"/>
      <c r="AC708" s="19"/>
      <c r="AD708" s="19"/>
      <c r="AE708" s="19"/>
    </row>
    <row r="709" spans="1:31" ht="13.15" x14ac:dyDescent="0.4">
      <c r="A709" s="19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24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  <c r="AA709" s="19"/>
      <c r="AB709" s="19"/>
      <c r="AC709" s="19"/>
      <c r="AD709" s="19"/>
      <c r="AE709" s="19"/>
    </row>
    <row r="710" spans="1:31" ht="13.15" x14ac:dyDescent="0.4">
      <c r="A710" s="19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24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  <c r="AA710" s="19"/>
      <c r="AB710" s="19"/>
      <c r="AC710" s="19"/>
      <c r="AD710" s="19"/>
      <c r="AE710" s="19"/>
    </row>
    <row r="711" spans="1:31" ht="13.15" x14ac:dyDescent="0.4">
      <c r="A711" s="19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24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  <c r="AB711" s="19"/>
      <c r="AC711" s="19"/>
      <c r="AD711" s="19"/>
      <c r="AE711" s="19"/>
    </row>
    <row r="712" spans="1:31" ht="13.15" x14ac:dyDescent="0.4">
      <c r="A712" s="19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24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  <c r="AA712" s="19"/>
      <c r="AB712" s="19"/>
      <c r="AC712" s="19"/>
      <c r="AD712" s="19"/>
      <c r="AE712" s="19"/>
    </row>
    <row r="713" spans="1:31" ht="13.15" x14ac:dyDescent="0.4">
      <c r="A713" s="19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24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  <c r="AA713" s="19"/>
      <c r="AB713" s="19"/>
      <c r="AC713" s="19"/>
      <c r="AD713" s="19"/>
      <c r="AE713" s="19"/>
    </row>
    <row r="714" spans="1:31" ht="13.15" x14ac:dyDescent="0.4">
      <c r="A714" s="19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24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  <c r="AA714" s="19"/>
      <c r="AB714" s="19"/>
      <c r="AC714" s="19"/>
      <c r="AD714" s="19"/>
      <c r="AE714" s="19"/>
    </row>
    <row r="715" spans="1:31" ht="13.15" x14ac:dyDescent="0.4">
      <c r="A715" s="19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24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  <c r="AA715" s="19"/>
      <c r="AB715" s="19"/>
      <c r="AC715" s="19"/>
      <c r="AD715" s="19"/>
      <c r="AE715" s="19"/>
    </row>
    <row r="716" spans="1:31" ht="13.15" x14ac:dyDescent="0.4">
      <c r="A716" s="19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24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  <c r="AA716" s="19"/>
      <c r="AB716" s="19"/>
      <c r="AC716" s="19"/>
      <c r="AD716" s="19"/>
      <c r="AE716" s="19"/>
    </row>
    <row r="717" spans="1:31" ht="13.15" x14ac:dyDescent="0.4">
      <c r="A717" s="19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24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  <c r="AA717" s="19"/>
      <c r="AB717" s="19"/>
      <c r="AC717" s="19"/>
      <c r="AD717" s="19"/>
      <c r="AE717" s="19"/>
    </row>
    <row r="718" spans="1:31" ht="13.15" x14ac:dyDescent="0.4">
      <c r="A718" s="19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24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  <c r="AA718" s="19"/>
      <c r="AB718" s="19"/>
      <c r="AC718" s="19"/>
      <c r="AD718" s="19"/>
      <c r="AE718" s="19"/>
    </row>
    <row r="719" spans="1:31" ht="13.15" x14ac:dyDescent="0.4">
      <c r="A719" s="19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24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  <c r="AA719" s="19"/>
      <c r="AB719" s="19"/>
      <c r="AC719" s="19"/>
      <c r="AD719" s="19"/>
      <c r="AE719" s="19"/>
    </row>
    <row r="720" spans="1:31" ht="13.15" x14ac:dyDescent="0.4">
      <c r="A720" s="19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24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  <c r="AA720" s="19"/>
      <c r="AB720" s="19"/>
      <c r="AC720" s="19"/>
      <c r="AD720" s="19"/>
      <c r="AE720" s="19"/>
    </row>
    <row r="721" spans="1:31" ht="13.15" x14ac:dyDescent="0.4">
      <c r="A721" s="19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24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  <c r="AA721" s="19"/>
      <c r="AB721" s="19"/>
      <c r="AC721" s="19"/>
      <c r="AD721" s="19"/>
      <c r="AE721" s="19"/>
    </row>
    <row r="722" spans="1:31" ht="13.15" x14ac:dyDescent="0.4">
      <c r="A722" s="19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24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  <c r="AA722" s="19"/>
      <c r="AB722" s="19"/>
      <c r="AC722" s="19"/>
      <c r="AD722" s="19"/>
      <c r="AE722" s="19"/>
    </row>
    <row r="723" spans="1:31" ht="13.15" x14ac:dyDescent="0.4">
      <c r="A723" s="19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24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  <c r="AA723" s="19"/>
      <c r="AB723" s="19"/>
      <c r="AC723" s="19"/>
      <c r="AD723" s="19"/>
      <c r="AE723" s="19"/>
    </row>
    <row r="724" spans="1:31" ht="13.15" x14ac:dyDescent="0.4">
      <c r="A724" s="19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24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  <c r="AA724" s="19"/>
      <c r="AB724" s="19"/>
      <c r="AC724" s="19"/>
      <c r="AD724" s="19"/>
      <c r="AE724" s="19"/>
    </row>
    <row r="725" spans="1:31" ht="13.15" x14ac:dyDescent="0.4">
      <c r="A725" s="19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24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  <c r="AA725" s="19"/>
      <c r="AB725" s="19"/>
      <c r="AC725" s="19"/>
      <c r="AD725" s="19"/>
      <c r="AE725" s="19"/>
    </row>
    <row r="726" spans="1:31" ht="13.15" x14ac:dyDescent="0.4">
      <c r="A726" s="19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24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  <c r="AA726" s="19"/>
      <c r="AB726" s="19"/>
      <c r="AC726" s="19"/>
      <c r="AD726" s="19"/>
      <c r="AE726" s="19"/>
    </row>
    <row r="727" spans="1:31" ht="13.15" x14ac:dyDescent="0.4">
      <c r="A727" s="19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24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  <c r="AA727" s="19"/>
      <c r="AB727" s="19"/>
      <c r="AC727" s="19"/>
      <c r="AD727" s="19"/>
      <c r="AE727" s="19"/>
    </row>
    <row r="728" spans="1:31" ht="13.15" x14ac:dyDescent="0.4">
      <c r="A728" s="19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24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  <c r="AB728" s="19"/>
      <c r="AC728" s="19"/>
      <c r="AD728" s="19"/>
      <c r="AE728" s="19"/>
    </row>
    <row r="729" spans="1:31" ht="13.15" x14ac:dyDescent="0.4">
      <c r="A729" s="19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24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A729" s="19"/>
      <c r="AB729" s="19"/>
      <c r="AC729" s="19"/>
      <c r="AD729" s="19"/>
      <c r="AE729" s="19"/>
    </row>
    <row r="730" spans="1:31" ht="13.15" x14ac:dyDescent="0.4">
      <c r="A730" s="19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24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  <c r="AA730" s="19"/>
      <c r="AB730" s="19"/>
      <c r="AC730" s="19"/>
      <c r="AD730" s="19"/>
      <c r="AE730" s="19"/>
    </row>
    <row r="731" spans="1:31" ht="13.15" x14ac:dyDescent="0.4">
      <c r="A731" s="19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24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  <c r="AA731" s="19"/>
      <c r="AB731" s="19"/>
      <c r="AC731" s="19"/>
      <c r="AD731" s="19"/>
      <c r="AE731" s="19"/>
    </row>
    <row r="732" spans="1:31" ht="13.15" x14ac:dyDescent="0.4">
      <c r="A732" s="19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24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  <c r="AA732" s="19"/>
      <c r="AB732" s="19"/>
      <c r="AC732" s="19"/>
      <c r="AD732" s="19"/>
      <c r="AE732" s="19"/>
    </row>
    <row r="733" spans="1:31" ht="13.15" x14ac:dyDescent="0.4">
      <c r="A733" s="19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24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  <c r="AA733" s="19"/>
      <c r="AB733" s="19"/>
      <c r="AC733" s="19"/>
      <c r="AD733" s="19"/>
      <c r="AE733" s="19"/>
    </row>
    <row r="734" spans="1:31" ht="13.15" x14ac:dyDescent="0.4">
      <c r="A734" s="19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24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  <c r="AA734" s="19"/>
      <c r="AB734" s="19"/>
      <c r="AC734" s="19"/>
      <c r="AD734" s="19"/>
      <c r="AE734" s="19"/>
    </row>
    <row r="735" spans="1:31" ht="13.15" x14ac:dyDescent="0.4">
      <c r="A735" s="19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24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  <c r="AA735" s="19"/>
      <c r="AB735" s="19"/>
      <c r="AC735" s="19"/>
      <c r="AD735" s="19"/>
      <c r="AE735" s="19"/>
    </row>
    <row r="736" spans="1:31" ht="13.15" x14ac:dyDescent="0.4">
      <c r="A736" s="19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24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  <c r="AA736" s="19"/>
      <c r="AB736" s="19"/>
      <c r="AC736" s="19"/>
      <c r="AD736" s="19"/>
      <c r="AE736" s="19"/>
    </row>
    <row r="737" spans="1:31" ht="13.15" x14ac:dyDescent="0.4">
      <c r="A737" s="19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24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  <c r="AA737" s="19"/>
      <c r="AB737" s="19"/>
      <c r="AC737" s="19"/>
      <c r="AD737" s="19"/>
      <c r="AE737" s="19"/>
    </row>
    <row r="738" spans="1:31" ht="13.15" x14ac:dyDescent="0.4">
      <c r="A738" s="19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24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  <c r="AA738" s="19"/>
      <c r="AB738" s="19"/>
      <c r="AC738" s="19"/>
      <c r="AD738" s="19"/>
      <c r="AE738" s="19"/>
    </row>
    <row r="739" spans="1:31" ht="13.15" x14ac:dyDescent="0.4">
      <c r="A739" s="19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24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  <c r="AA739" s="19"/>
      <c r="AB739" s="19"/>
      <c r="AC739" s="19"/>
      <c r="AD739" s="19"/>
      <c r="AE739" s="19"/>
    </row>
    <row r="740" spans="1:31" ht="13.15" x14ac:dyDescent="0.4">
      <c r="A740" s="19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24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  <c r="AA740" s="19"/>
      <c r="AB740" s="19"/>
      <c r="AC740" s="19"/>
      <c r="AD740" s="19"/>
      <c r="AE740" s="19"/>
    </row>
    <row r="741" spans="1:31" ht="13.15" x14ac:dyDescent="0.4">
      <c r="A741" s="19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24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  <c r="AA741" s="19"/>
      <c r="AB741" s="19"/>
      <c r="AC741" s="19"/>
      <c r="AD741" s="19"/>
      <c r="AE741" s="19"/>
    </row>
    <row r="742" spans="1:31" ht="13.15" x14ac:dyDescent="0.4">
      <c r="A742" s="19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24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  <c r="AA742" s="19"/>
      <c r="AB742" s="19"/>
      <c r="AC742" s="19"/>
      <c r="AD742" s="19"/>
      <c r="AE742" s="19"/>
    </row>
    <row r="743" spans="1:31" ht="13.15" x14ac:dyDescent="0.4">
      <c r="A743" s="19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24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  <c r="AA743" s="19"/>
      <c r="AB743" s="19"/>
      <c r="AC743" s="19"/>
      <c r="AD743" s="19"/>
      <c r="AE743" s="19"/>
    </row>
    <row r="744" spans="1:31" ht="13.15" x14ac:dyDescent="0.4">
      <c r="A744" s="19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24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  <c r="AA744" s="19"/>
      <c r="AB744" s="19"/>
      <c r="AC744" s="19"/>
      <c r="AD744" s="19"/>
      <c r="AE744" s="19"/>
    </row>
    <row r="745" spans="1:31" ht="13.15" x14ac:dyDescent="0.4">
      <c r="A745" s="19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24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  <c r="AA745" s="19"/>
      <c r="AB745" s="19"/>
      <c r="AC745" s="19"/>
      <c r="AD745" s="19"/>
      <c r="AE745" s="19"/>
    </row>
    <row r="746" spans="1:31" ht="13.15" x14ac:dyDescent="0.4">
      <c r="A746" s="19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24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  <c r="AA746" s="19"/>
      <c r="AB746" s="19"/>
      <c r="AC746" s="19"/>
      <c r="AD746" s="19"/>
      <c r="AE746" s="19"/>
    </row>
    <row r="747" spans="1:31" ht="13.15" x14ac:dyDescent="0.4">
      <c r="A747" s="19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24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  <c r="AA747" s="19"/>
      <c r="AB747" s="19"/>
      <c r="AC747" s="19"/>
      <c r="AD747" s="19"/>
      <c r="AE747" s="19"/>
    </row>
    <row r="748" spans="1:31" ht="13.15" x14ac:dyDescent="0.4">
      <c r="A748" s="19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24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  <c r="AA748" s="19"/>
      <c r="AB748" s="19"/>
      <c r="AC748" s="19"/>
      <c r="AD748" s="19"/>
      <c r="AE748" s="19"/>
    </row>
    <row r="749" spans="1:31" ht="13.15" x14ac:dyDescent="0.4">
      <c r="A749" s="19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24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  <c r="AA749" s="19"/>
      <c r="AB749" s="19"/>
      <c r="AC749" s="19"/>
      <c r="AD749" s="19"/>
      <c r="AE749" s="19"/>
    </row>
    <row r="750" spans="1:31" ht="13.15" x14ac:dyDescent="0.4">
      <c r="A750" s="19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24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  <c r="AA750" s="19"/>
      <c r="AB750" s="19"/>
      <c r="AC750" s="19"/>
      <c r="AD750" s="19"/>
      <c r="AE750" s="19"/>
    </row>
    <row r="751" spans="1:31" ht="13.15" x14ac:dyDescent="0.4">
      <c r="A751" s="19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24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  <c r="AA751" s="19"/>
      <c r="AB751" s="19"/>
      <c r="AC751" s="19"/>
      <c r="AD751" s="19"/>
      <c r="AE751" s="19"/>
    </row>
    <row r="752" spans="1:31" ht="13.15" x14ac:dyDescent="0.4">
      <c r="A752" s="19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24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  <c r="AA752" s="19"/>
      <c r="AB752" s="19"/>
      <c r="AC752" s="19"/>
      <c r="AD752" s="19"/>
      <c r="AE752" s="19"/>
    </row>
    <row r="753" spans="1:31" ht="13.15" x14ac:dyDescent="0.4">
      <c r="A753" s="19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24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  <c r="AA753" s="19"/>
      <c r="AB753" s="19"/>
      <c r="AC753" s="19"/>
      <c r="AD753" s="19"/>
      <c r="AE753" s="19"/>
    </row>
    <row r="754" spans="1:31" ht="13.15" x14ac:dyDescent="0.4">
      <c r="A754" s="19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24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  <c r="AA754" s="19"/>
      <c r="AB754" s="19"/>
      <c r="AC754" s="19"/>
      <c r="AD754" s="19"/>
      <c r="AE754" s="19"/>
    </row>
    <row r="755" spans="1:31" ht="13.15" x14ac:dyDescent="0.4">
      <c r="A755" s="19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24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  <c r="AA755" s="19"/>
      <c r="AB755" s="19"/>
      <c r="AC755" s="19"/>
      <c r="AD755" s="19"/>
      <c r="AE755" s="19"/>
    </row>
    <row r="756" spans="1:31" ht="13.15" x14ac:dyDescent="0.4">
      <c r="A756" s="19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24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  <c r="AA756" s="19"/>
      <c r="AB756" s="19"/>
      <c r="AC756" s="19"/>
      <c r="AD756" s="19"/>
      <c r="AE756" s="19"/>
    </row>
    <row r="757" spans="1:31" ht="13.15" x14ac:dyDescent="0.4">
      <c r="A757" s="19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24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  <c r="AA757" s="19"/>
      <c r="AB757" s="19"/>
      <c r="AC757" s="19"/>
      <c r="AD757" s="19"/>
      <c r="AE757" s="19"/>
    </row>
    <row r="758" spans="1:31" ht="13.15" x14ac:dyDescent="0.4">
      <c r="A758" s="19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24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  <c r="AA758" s="19"/>
      <c r="AB758" s="19"/>
      <c r="AC758" s="19"/>
      <c r="AD758" s="19"/>
      <c r="AE758" s="19"/>
    </row>
    <row r="759" spans="1:31" ht="13.15" x14ac:dyDescent="0.4">
      <c r="A759" s="19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24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  <c r="AA759" s="19"/>
      <c r="AB759" s="19"/>
      <c r="AC759" s="19"/>
      <c r="AD759" s="19"/>
      <c r="AE759" s="19"/>
    </row>
    <row r="760" spans="1:31" ht="13.15" x14ac:dyDescent="0.4">
      <c r="A760" s="19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24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  <c r="AA760" s="19"/>
      <c r="AB760" s="19"/>
      <c r="AC760" s="19"/>
      <c r="AD760" s="19"/>
      <c r="AE760" s="19"/>
    </row>
    <row r="761" spans="1:31" ht="13.15" x14ac:dyDescent="0.4">
      <c r="A761" s="19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24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  <c r="AA761" s="19"/>
      <c r="AB761" s="19"/>
      <c r="AC761" s="19"/>
      <c r="AD761" s="19"/>
      <c r="AE761" s="19"/>
    </row>
    <row r="762" spans="1:31" ht="13.15" x14ac:dyDescent="0.4">
      <c r="A762" s="19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24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  <c r="AB762" s="19"/>
      <c r="AC762" s="19"/>
      <c r="AD762" s="19"/>
      <c r="AE762" s="19"/>
    </row>
    <row r="763" spans="1:31" ht="13.15" x14ac:dyDescent="0.4">
      <c r="A763" s="19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24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  <c r="AA763" s="19"/>
      <c r="AB763" s="19"/>
      <c r="AC763" s="19"/>
      <c r="AD763" s="19"/>
      <c r="AE763" s="19"/>
    </row>
    <row r="764" spans="1:31" ht="13.15" x14ac:dyDescent="0.4">
      <c r="A764" s="19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24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  <c r="AA764" s="19"/>
      <c r="AB764" s="19"/>
      <c r="AC764" s="19"/>
      <c r="AD764" s="19"/>
      <c r="AE764" s="19"/>
    </row>
    <row r="765" spans="1:31" ht="13.15" x14ac:dyDescent="0.4">
      <c r="A765" s="19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24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  <c r="AA765" s="19"/>
      <c r="AB765" s="19"/>
      <c r="AC765" s="19"/>
      <c r="AD765" s="19"/>
      <c r="AE765" s="19"/>
    </row>
    <row r="766" spans="1:31" ht="13.15" x14ac:dyDescent="0.4">
      <c r="A766" s="19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24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  <c r="AA766" s="19"/>
      <c r="AB766" s="19"/>
      <c r="AC766" s="19"/>
      <c r="AD766" s="19"/>
      <c r="AE766" s="19"/>
    </row>
    <row r="767" spans="1:31" ht="13.15" x14ac:dyDescent="0.4">
      <c r="A767" s="19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24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  <c r="AA767" s="19"/>
      <c r="AB767" s="19"/>
      <c r="AC767" s="19"/>
      <c r="AD767" s="19"/>
      <c r="AE767" s="19"/>
    </row>
    <row r="768" spans="1:31" ht="13.15" x14ac:dyDescent="0.4">
      <c r="A768" s="19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24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  <c r="AA768" s="19"/>
      <c r="AB768" s="19"/>
      <c r="AC768" s="19"/>
      <c r="AD768" s="19"/>
      <c r="AE768" s="19"/>
    </row>
    <row r="769" spans="1:31" ht="13.15" x14ac:dyDescent="0.4">
      <c r="A769" s="19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24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  <c r="AA769" s="19"/>
      <c r="AB769" s="19"/>
      <c r="AC769" s="19"/>
      <c r="AD769" s="19"/>
      <c r="AE769" s="19"/>
    </row>
    <row r="770" spans="1:31" ht="13.15" x14ac:dyDescent="0.4">
      <c r="A770" s="19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24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  <c r="AA770" s="19"/>
      <c r="AB770" s="19"/>
      <c r="AC770" s="19"/>
      <c r="AD770" s="19"/>
      <c r="AE770" s="19"/>
    </row>
    <row r="771" spans="1:31" ht="13.15" x14ac:dyDescent="0.4">
      <c r="A771" s="19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24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  <c r="AA771" s="19"/>
      <c r="AB771" s="19"/>
      <c r="AC771" s="19"/>
      <c r="AD771" s="19"/>
      <c r="AE771" s="19"/>
    </row>
    <row r="772" spans="1:31" ht="13.15" x14ac:dyDescent="0.4">
      <c r="A772" s="19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24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  <c r="AA772" s="19"/>
      <c r="AB772" s="19"/>
      <c r="AC772" s="19"/>
      <c r="AD772" s="19"/>
      <c r="AE772" s="19"/>
    </row>
    <row r="773" spans="1:31" ht="13.15" x14ac:dyDescent="0.4">
      <c r="A773" s="19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24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  <c r="AA773" s="19"/>
      <c r="AB773" s="19"/>
      <c r="AC773" s="19"/>
      <c r="AD773" s="19"/>
      <c r="AE773" s="19"/>
    </row>
    <row r="774" spans="1:31" ht="13.15" x14ac:dyDescent="0.4">
      <c r="A774" s="19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24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  <c r="AA774" s="19"/>
      <c r="AB774" s="19"/>
      <c r="AC774" s="19"/>
      <c r="AD774" s="19"/>
      <c r="AE774" s="19"/>
    </row>
    <row r="775" spans="1:31" ht="13.15" x14ac:dyDescent="0.4">
      <c r="A775" s="19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24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  <c r="AA775" s="19"/>
      <c r="AB775" s="19"/>
      <c r="AC775" s="19"/>
      <c r="AD775" s="19"/>
      <c r="AE775" s="19"/>
    </row>
    <row r="776" spans="1:31" ht="13.15" x14ac:dyDescent="0.4">
      <c r="A776" s="19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24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  <c r="AA776" s="19"/>
      <c r="AB776" s="19"/>
      <c r="AC776" s="19"/>
      <c r="AD776" s="19"/>
      <c r="AE776" s="19"/>
    </row>
    <row r="777" spans="1:31" ht="13.15" x14ac:dyDescent="0.4">
      <c r="A777" s="19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24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  <c r="AA777" s="19"/>
      <c r="AB777" s="19"/>
      <c r="AC777" s="19"/>
      <c r="AD777" s="19"/>
      <c r="AE777" s="19"/>
    </row>
    <row r="778" spans="1:31" ht="13.15" x14ac:dyDescent="0.4">
      <c r="A778" s="19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24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  <c r="AA778" s="19"/>
      <c r="AB778" s="19"/>
      <c r="AC778" s="19"/>
      <c r="AD778" s="19"/>
      <c r="AE778" s="19"/>
    </row>
    <row r="779" spans="1:31" ht="13.15" x14ac:dyDescent="0.4">
      <c r="A779" s="19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24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  <c r="AA779" s="19"/>
      <c r="AB779" s="19"/>
      <c r="AC779" s="19"/>
      <c r="AD779" s="19"/>
      <c r="AE779" s="19"/>
    </row>
    <row r="780" spans="1:31" ht="13.15" x14ac:dyDescent="0.4">
      <c r="A780" s="19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24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  <c r="AA780" s="19"/>
      <c r="AB780" s="19"/>
      <c r="AC780" s="19"/>
      <c r="AD780" s="19"/>
      <c r="AE780" s="19"/>
    </row>
    <row r="781" spans="1:31" ht="13.15" x14ac:dyDescent="0.4">
      <c r="A781" s="19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24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  <c r="AA781" s="19"/>
      <c r="AB781" s="19"/>
      <c r="AC781" s="19"/>
      <c r="AD781" s="19"/>
      <c r="AE781" s="19"/>
    </row>
    <row r="782" spans="1:31" ht="13.15" x14ac:dyDescent="0.4">
      <c r="A782" s="19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24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  <c r="AA782" s="19"/>
      <c r="AB782" s="19"/>
      <c r="AC782" s="19"/>
      <c r="AD782" s="19"/>
      <c r="AE782" s="19"/>
    </row>
    <row r="783" spans="1:31" ht="13.15" x14ac:dyDescent="0.4">
      <c r="A783" s="19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24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  <c r="AA783" s="19"/>
      <c r="AB783" s="19"/>
      <c r="AC783" s="19"/>
      <c r="AD783" s="19"/>
      <c r="AE783" s="19"/>
    </row>
    <row r="784" spans="1:31" ht="13.15" x14ac:dyDescent="0.4">
      <c r="A784" s="19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24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  <c r="AA784" s="19"/>
      <c r="AB784" s="19"/>
      <c r="AC784" s="19"/>
      <c r="AD784" s="19"/>
      <c r="AE784" s="19"/>
    </row>
    <row r="785" spans="1:31" ht="13.15" x14ac:dyDescent="0.4">
      <c r="A785" s="19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24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  <c r="AA785" s="19"/>
      <c r="AB785" s="19"/>
      <c r="AC785" s="19"/>
      <c r="AD785" s="19"/>
      <c r="AE785" s="19"/>
    </row>
    <row r="786" spans="1:31" ht="13.15" x14ac:dyDescent="0.4">
      <c r="A786" s="19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24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  <c r="AA786" s="19"/>
      <c r="AB786" s="19"/>
      <c r="AC786" s="19"/>
      <c r="AD786" s="19"/>
      <c r="AE786" s="19"/>
    </row>
    <row r="787" spans="1:31" ht="13.15" x14ac:dyDescent="0.4">
      <c r="A787" s="19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24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  <c r="AA787" s="19"/>
      <c r="AB787" s="19"/>
      <c r="AC787" s="19"/>
      <c r="AD787" s="19"/>
      <c r="AE787" s="19"/>
    </row>
    <row r="788" spans="1:31" ht="13.15" x14ac:dyDescent="0.4">
      <c r="A788" s="19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24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  <c r="AA788" s="19"/>
      <c r="AB788" s="19"/>
      <c r="AC788" s="19"/>
      <c r="AD788" s="19"/>
      <c r="AE788" s="19"/>
    </row>
    <row r="789" spans="1:31" ht="13.15" x14ac:dyDescent="0.4">
      <c r="A789" s="19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24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  <c r="AA789" s="19"/>
      <c r="AB789" s="19"/>
      <c r="AC789" s="19"/>
      <c r="AD789" s="19"/>
      <c r="AE789" s="19"/>
    </row>
    <row r="790" spans="1:31" ht="13.15" x14ac:dyDescent="0.4">
      <c r="A790" s="19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24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  <c r="AA790" s="19"/>
      <c r="AB790" s="19"/>
      <c r="AC790" s="19"/>
      <c r="AD790" s="19"/>
      <c r="AE790" s="19"/>
    </row>
    <row r="791" spans="1:31" ht="13.15" x14ac:dyDescent="0.4">
      <c r="A791" s="19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24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  <c r="AA791" s="19"/>
      <c r="AB791" s="19"/>
      <c r="AC791" s="19"/>
      <c r="AD791" s="19"/>
      <c r="AE791" s="19"/>
    </row>
    <row r="792" spans="1:31" ht="13.15" x14ac:dyDescent="0.4">
      <c r="A792" s="19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24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  <c r="AA792" s="19"/>
      <c r="AB792" s="19"/>
      <c r="AC792" s="19"/>
      <c r="AD792" s="19"/>
      <c r="AE792" s="19"/>
    </row>
    <row r="793" spans="1:31" ht="13.15" x14ac:dyDescent="0.4">
      <c r="A793" s="19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24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  <c r="AA793" s="19"/>
      <c r="AB793" s="19"/>
      <c r="AC793" s="19"/>
      <c r="AD793" s="19"/>
      <c r="AE793" s="19"/>
    </row>
    <row r="794" spans="1:31" ht="13.15" x14ac:dyDescent="0.4">
      <c r="A794" s="19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24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  <c r="AA794" s="19"/>
      <c r="AB794" s="19"/>
      <c r="AC794" s="19"/>
      <c r="AD794" s="19"/>
      <c r="AE794" s="19"/>
    </row>
    <row r="795" spans="1:31" ht="13.15" x14ac:dyDescent="0.4">
      <c r="A795" s="19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24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  <c r="AA795" s="19"/>
      <c r="AB795" s="19"/>
      <c r="AC795" s="19"/>
      <c r="AD795" s="19"/>
      <c r="AE795" s="19"/>
    </row>
    <row r="796" spans="1:31" ht="13.15" x14ac:dyDescent="0.4">
      <c r="A796" s="19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24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  <c r="AA796" s="19"/>
      <c r="AB796" s="19"/>
      <c r="AC796" s="19"/>
      <c r="AD796" s="19"/>
      <c r="AE796" s="19"/>
    </row>
    <row r="797" spans="1:31" ht="13.15" x14ac:dyDescent="0.4">
      <c r="A797" s="19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24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  <c r="AA797" s="19"/>
      <c r="AB797" s="19"/>
      <c r="AC797" s="19"/>
      <c r="AD797" s="19"/>
      <c r="AE797" s="19"/>
    </row>
    <row r="798" spans="1:31" ht="13.15" x14ac:dyDescent="0.4">
      <c r="A798" s="19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24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  <c r="AA798" s="19"/>
      <c r="AB798" s="19"/>
      <c r="AC798" s="19"/>
      <c r="AD798" s="19"/>
      <c r="AE798" s="19"/>
    </row>
    <row r="799" spans="1:31" ht="13.15" x14ac:dyDescent="0.4">
      <c r="A799" s="19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24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  <c r="AA799" s="19"/>
      <c r="AB799" s="19"/>
      <c r="AC799" s="19"/>
      <c r="AD799" s="19"/>
      <c r="AE799" s="19"/>
    </row>
    <row r="800" spans="1:31" ht="13.15" x14ac:dyDescent="0.4">
      <c r="A800" s="19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24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  <c r="AA800" s="19"/>
      <c r="AB800" s="19"/>
      <c r="AC800" s="19"/>
      <c r="AD800" s="19"/>
      <c r="AE800" s="19"/>
    </row>
    <row r="801" spans="1:31" ht="13.15" x14ac:dyDescent="0.4">
      <c r="A801" s="19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24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  <c r="AA801" s="19"/>
      <c r="AB801" s="19"/>
      <c r="AC801" s="19"/>
      <c r="AD801" s="19"/>
      <c r="AE801" s="19"/>
    </row>
    <row r="802" spans="1:31" ht="13.15" x14ac:dyDescent="0.4">
      <c r="A802" s="19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24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  <c r="AA802" s="19"/>
      <c r="AB802" s="19"/>
      <c r="AC802" s="19"/>
      <c r="AD802" s="19"/>
      <c r="AE802" s="19"/>
    </row>
    <row r="803" spans="1:31" ht="13.15" x14ac:dyDescent="0.4">
      <c r="A803" s="19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24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  <c r="AA803" s="19"/>
      <c r="AB803" s="19"/>
      <c r="AC803" s="19"/>
      <c r="AD803" s="19"/>
      <c r="AE803" s="19"/>
    </row>
    <row r="804" spans="1:31" ht="13.15" x14ac:dyDescent="0.4">
      <c r="A804" s="19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24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  <c r="AA804" s="19"/>
      <c r="AB804" s="19"/>
      <c r="AC804" s="19"/>
      <c r="AD804" s="19"/>
      <c r="AE804" s="19"/>
    </row>
    <row r="805" spans="1:31" ht="13.15" x14ac:dyDescent="0.4">
      <c r="A805" s="19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24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  <c r="AA805" s="19"/>
      <c r="AB805" s="19"/>
      <c r="AC805" s="19"/>
      <c r="AD805" s="19"/>
      <c r="AE805" s="19"/>
    </row>
    <row r="806" spans="1:31" ht="13.15" x14ac:dyDescent="0.4">
      <c r="A806" s="19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24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  <c r="AA806" s="19"/>
      <c r="AB806" s="19"/>
      <c r="AC806" s="19"/>
      <c r="AD806" s="19"/>
      <c r="AE806" s="19"/>
    </row>
    <row r="807" spans="1:31" ht="13.15" x14ac:dyDescent="0.4">
      <c r="A807" s="19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24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  <c r="AA807" s="19"/>
      <c r="AB807" s="19"/>
      <c r="AC807" s="19"/>
      <c r="AD807" s="19"/>
      <c r="AE807" s="19"/>
    </row>
    <row r="808" spans="1:31" ht="13.15" x14ac:dyDescent="0.4">
      <c r="A808" s="19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24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  <c r="AA808" s="19"/>
      <c r="AB808" s="19"/>
      <c r="AC808" s="19"/>
      <c r="AD808" s="19"/>
      <c r="AE808" s="19"/>
    </row>
    <row r="809" spans="1:31" ht="13.15" x14ac:dyDescent="0.4">
      <c r="A809" s="19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24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  <c r="AA809" s="19"/>
      <c r="AB809" s="19"/>
      <c r="AC809" s="19"/>
      <c r="AD809" s="19"/>
      <c r="AE809" s="19"/>
    </row>
    <row r="810" spans="1:31" ht="13.15" x14ac:dyDescent="0.4">
      <c r="A810" s="19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24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  <c r="AA810" s="19"/>
      <c r="AB810" s="19"/>
      <c r="AC810" s="19"/>
      <c r="AD810" s="19"/>
      <c r="AE810" s="19"/>
    </row>
    <row r="811" spans="1:31" ht="13.15" x14ac:dyDescent="0.4">
      <c r="A811" s="19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24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  <c r="AA811" s="19"/>
      <c r="AB811" s="19"/>
      <c r="AC811" s="19"/>
      <c r="AD811" s="19"/>
      <c r="AE811" s="19"/>
    </row>
    <row r="812" spans="1:31" ht="13.15" x14ac:dyDescent="0.4">
      <c r="A812" s="19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24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  <c r="AA812" s="19"/>
      <c r="AB812" s="19"/>
      <c r="AC812" s="19"/>
      <c r="AD812" s="19"/>
      <c r="AE812" s="19"/>
    </row>
    <row r="813" spans="1:31" ht="13.15" x14ac:dyDescent="0.4">
      <c r="A813" s="19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24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  <c r="AA813" s="19"/>
      <c r="AB813" s="19"/>
      <c r="AC813" s="19"/>
      <c r="AD813" s="19"/>
      <c r="AE813" s="19"/>
    </row>
    <row r="814" spans="1:31" ht="13.15" x14ac:dyDescent="0.4">
      <c r="A814" s="19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24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  <c r="AA814" s="19"/>
      <c r="AB814" s="19"/>
      <c r="AC814" s="19"/>
      <c r="AD814" s="19"/>
      <c r="AE814" s="19"/>
    </row>
    <row r="815" spans="1:31" ht="13.15" x14ac:dyDescent="0.4">
      <c r="A815" s="19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24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  <c r="AA815" s="19"/>
      <c r="AB815" s="19"/>
      <c r="AC815" s="19"/>
      <c r="AD815" s="19"/>
      <c r="AE815" s="19"/>
    </row>
    <row r="816" spans="1:31" ht="13.15" x14ac:dyDescent="0.4">
      <c r="A816" s="19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24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  <c r="AA816" s="19"/>
      <c r="AB816" s="19"/>
      <c r="AC816" s="19"/>
      <c r="AD816" s="19"/>
      <c r="AE816" s="19"/>
    </row>
    <row r="817" spans="1:31" ht="13.15" x14ac:dyDescent="0.4">
      <c r="A817" s="19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24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  <c r="AA817" s="19"/>
      <c r="AB817" s="19"/>
      <c r="AC817" s="19"/>
      <c r="AD817" s="19"/>
      <c r="AE817" s="19"/>
    </row>
    <row r="818" spans="1:31" ht="13.15" x14ac:dyDescent="0.4">
      <c r="A818" s="19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24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  <c r="AA818" s="19"/>
      <c r="AB818" s="19"/>
      <c r="AC818" s="19"/>
      <c r="AD818" s="19"/>
      <c r="AE818" s="19"/>
    </row>
    <row r="819" spans="1:31" ht="13.15" x14ac:dyDescent="0.4">
      <c r="A819" s="19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24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  <c r="AA819" s="19"/>
      <c r="AB819" s="19"/>
      <c r="AC819" s="19"/>
      <c r="AD819" s="19"/>
      <c r="AE819" s="19"/>
    </row>
    <row r="820" spans="1:31" ht="13.15" x14ac:dyDescent="0.4">
      <c r="A820" s="19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24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  <c r="AA820" s="19"/>
      <c r="AB820" s="19"/>
      <c r="AC820" s="19"/>
      <c r="AD820" s="19"/>
      <c r="AE820" s="19"/>
    </row>
    <row r="821" spans="1:31" ht="13.15" x14ac:dyDescent="0.4">
      <c r="A821" s="19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24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  <c r="AA821" s="19"/>
      <c r="AB821" s="19"/>
      <c r="AC821" s="19"/>
      <c r="AD821" s="19"/>
      <c r="AE821" s="19"/>
    </row>
    <row r="822" spans="1:31" ht="13.15" x14ac:dyDescent="0.4">
      <c r="A822" s="19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24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  <c r="AA822" s="19"/>
      <c r="AB822" s="19"/>
      <c r="AC822" s="19"/>
      <c r="AD822" s="19"/>
      <c r="AE822" s="19"/>
    </row>
    <row r="823" spans="1:31" ht="13.15" x14ac:dyDescent="0.4">
      <c r="A823" s="19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24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  <c r="AA823" s="19"/>
      <c r="AB823" s="19"/>
      <c r="AC823" s="19"/>
      <c r="AD823" s="19"/>
      <c r="AE823" s="19"/>
    </row>
    <row r="824" spans="1:31" ht="13.15" x14ac:dyDescent="0.4">
      <c r="A824" s="19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24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  <c r="AA824" s="19"/>
      <c r="AB824" s="19"/>
      <c r="AC824" s="19"/>
      <c r="AD824" s="19"/>
      <c r="AE824" s="19"/>
    </row>
    <row r="825" spans="1:31" ht="13.15" x14ac:dyDescent="0.4">
      <c r="A825" s="19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24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  <c r="AA825" s="19"/>
      <c r="AB825" s="19"/>
      <c r="AC825" s="19"/>
      <c r="AD825" s="19"/>
      <c r="AE825" s="19"/>
    </row>
    <row r="826" spans="1:31" ht="13.15" x14ac:dyDescent="0.4">
      <c r="A826" s="19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24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  <c r="AA826" s="19"/>
      <c r="AB826" s="19"/>
      <c r="AC826" s="19"/>
      <c r="AD826" s="19"/>
      <c r="AE826" s="19"/>
    </row>
    <row r="827" spans="1:31" ht="13.15" x14ac:dyDescent="0.4">
      <c r="A827" s="19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24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  <c r="AA827" s="19"/>
      <c r="AB827" s="19"/>
      <c r="AC827" s="19"/>
      <c r="AD827" s="19"/>
      <c r="AE827" s="19"/>
    </row>
    <row r="828" spans="1:31" ht="13.15" x14ac:dyDescent="0.4">
      <c r="A828" s="19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24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  <c r="AA828" s="19"/>
      <c r="AB828" s="19"/>
      <c r="AC828" s="19"/>
      <c r="AD828" s="19"/>
      <c r="AE828" s="19"/>
    </row>
    <row r="829" spans="1:31" ht="13.15" x14ac:dyDescent="0.4">
      <c r="A829" s="19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24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  <c r="AA829" s="19"/>
      <c r="AB829" s="19"/>
      <c r="AC829" s="19"/>
      <c r="AD829" s="19"/>
      <c r="AE829" s="19"/>
    </row>
    <row r="830" spans="1:31" ht="13.15" x14ac:dyDescent="0.4">
      <c r="A830" s="19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24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  <c r="AA830" s="19"/>
      <c r="AB830" s="19"/>
      <c r="AC830" s="19"/>
      <c r="AD830" s="19"/>
      <c r="AE830" s="19"/>
    </row>
    <row r="831" spans="1:31" ht="13.15" x14ac:dyDescent="0.4">
      <c r="A831" s="19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24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  <c r="AA831" s="19"/>
      <c r="AB831" s="19"/>
      <c r="AC831" s="19"/>
      <c r="AD831" s="19"/>
      <c r="AE831" s="19"/>
    </row>
    <row r="832" spans="1:31" ht="13.15" x14ac:dyDescent="0.4">
      <c r="A832" s="19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24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  <c r="AA832" s="19"/>
      <c r="AB832" s="19"/>
      <c r="AC832" s="19"/>
      <c r="AD832" s="19"/>
      <c r="AE832" s="19"/>
    </row>
    <row r="833" spans="1:31" ht="13.15" x14ac:dyDescent="0.4">
      <c r="A833" s="19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24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  <c r="AA833" s="19"/>
      <c r="AB833" s="19"/>
      <c r="AC833" s="19"/>
      <c r="AD833" s="19"/>
      <c r="AE833" s="19"/>
    </row>
    <row r="834" spans="1:31" ht="13.15" x14ac:dyDescent="0.4">
      <c r="A834" s="19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24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  <c r="AA834" s="19"/>
      <c r="AB834" s="19"/>
      <c r="AC834" s="19"/>
      <c r="AD834" s="19"/>
      <c r="AE834" s="19"/>
    </row>
    <row r="835" spans="1:31" ht="13.15" x14ac:dyDescent="0.4">
      <c r="A835" s="19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24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  <c r="AA835" s="19"/>
      <c r="AB835" s="19"/>
      <c r="AC835" s="19"/>
      <c r="AD835" s="19"/>
      <c r="AE835" s="19"/>
    </row>
    <row r="836" spans="1:31" ht="13.15" x14ac:dyDescent="0.4">
      <c r="A836" s="19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24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  <c r="AA836" s="19"/>
      <c r="AB836" s="19"/>
      <c r="AC836" s="19"/>
      <c r="AD836" s="19"/>
      <c r="AE836" s="19"/>
    </row>
    <row r="837" spans="1:31" ht="13.15" x14ac:dyDescent="0.4">
      <c r="A837" s="19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24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  <c r="AA837" s="19"/>
      <c r="AB837" s="19"/>
      <c r="AC837" s="19"/>
      <c r="AD837" s="19"/>
      <c r="AE837" s="19"/>
    </row>
    <row r="838" spans="1:31" ht="13.15" x14ac:dyDescent="0.4">
      <c r="A838" s="19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24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  <c r="AA838" s="19"/>
      <c r="AB838" s="19"/>
      <c r="AC838" s="19"/>
      <c r="AD838" s="19"/>
      <c r="AE838" s="19"/>
    </row>
    <row r="839" spans="1:31" ht="13.15" x14ac:dyDescent="0.4">
      <c r="A839" s="19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24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  <c r="AA839" s="19"/>
      <c r="AB839" s="19"/>
      <c r="AC839" s="19"/>
      <c r="AD839" s="19"/>
      <c r="AE839" s="19"/>
    </row>
    <row r="840" spans="1:31" ht="13.15" x14ac:dyDescent="0.4">
      <c r="A840" s="19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24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  <c r="AA840" s="19"/>
      <c r="AB840" s="19"/>
      <c r="AC840" s="19"/>
      <c r="AD840" s="19"/>
      <c r="AE840" s="19"/>
    </row>
    <row r="841" spans="1:31" ht="13.15" x14ac:dyDescent="0.4">
      <c r="A841" s="19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24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  <c r="AA841" s="19"/>
      <c r="AB841" s="19"/>
      <c r="AC841" s="19"/>
      <c r="AD841" s="19"/>
      <c r="AE841" s="19"/>
    </row>
    <row r="842" spans="1:31" ht="13.15" x14ac:dyDescent="0.4">
      <c r="A842" s="19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24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  <c r="AA842" s="19"/>
      <c r="AB842" s="19"/>
      <c r="AC842" s="19"/>
      <c r="AD842" s="19"/>
      <c r="AE842" s="19"/>
    </row>
    <row r="843" spans="1:31" ht="13.15" x14ac:dyDescent="0.4">
      <c r="A843" s="19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24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  <c r="AA843" s="19"/>
      <c r="AB843" s="19"/>
      <c r="AC843" s="19"/>
      <c r="AD843" s="19"/>
      <c r="AE843" s="19"/>
    </row>
    <row r="844" spans="1:31" ht="13.15" x14ac:dyDescent="0.4">
      <c r="A844" s="19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24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  <c r="AA844" s="19"/>
      <c r="AB844" s="19"/>
      <c r="AC844" s="19"/>
      <c r="AD844" s="19"/>
      <c r="AE844" s="19"/>
    </row>
    <row r="845" spans="1:31" ht="13.15" x14ac:dyDescent="0.4">
      <c r="A845" s="19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24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  <c r="AA845" s="19"/>
      <c r="AB845" s="19"/>
      <c r="AC845" s="19"/>
      <c r="AD845" s="19"/>
      <c r="AE845" s="19"/>
    </row>
    <row r="846" spans="1:31" ht="13.15" x14ac:dyDescent="0.4">
      <c r="A846" s="19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24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  <c r="AA846" s="19"/>
      <c r="AB846" s="19"/>
      <c r="AC846" s="19"/>
      <c r="AD846" s="19"/>
      <c r="AE846" s="19"/>
    </row>
    <row r="847" spans="1:31" ht="13.15" x14ac:dyDescent="0.4">
      <c r="A847" s="19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24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  <c r="AA847" s="19"/>
      <c r="AB847" s="19"/>
      <c r="AC847" s="19"/>
      <c r="AD847" s="19"/>
      <c r="AE847" s="19"/>
    </row>
    <row r="848" spans="1:31" ht="13.15" x14ac:dyDescent="0.4">
      <c r="A848" s="19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24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  <c r="AA848" s="19"/>
      <c r="AB848" s="19"/>
      <c r="AC848" s="19"/>
      <c r="AD848" s="19"/>
      <c r="AE848" s="19"/>
    </row>
    <row r="849" spans="1:31" ht="13.15" x14ac:dyDescent="0.4">
      <c r="A849" s="19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24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  <c r="AA849" s="19"/>
      <c r="AB849" s="19"/>
      <c r="AC849" s="19"/>
      <c r="AD849" s="19"/>
      <c r="AE849" s="19"/>
    </row>
    <row r="850" spans="1:31" ht="13.15" x14ac:dyDescent="0.4">
      <c r="A850" s="19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24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  <c r="AA850" s="19"/>
      <c r="AB850" s="19"/>
      <c r="AC850" s="19"/>
      <c r="AD850" s="19"/>
      <c r="AE850" s="19"/>
    </row>
    <row r="851" spans="1:31" ht="13.15" x14ac:dyDescent="0.4">
      <c r="A851" s="19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24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  <c r="AA851" s="19"/>
      <c r="AB851" s="19"/>
      <c r="AC851" s="19"/>
      <c r="AD851" s="19"/>
      <c r="AE851" s="19"/>
    </row>
    <row r="852" spans="1:31" ht="13.15" x14ac:dyDescent="0.4">
      <c r="A852" s="19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24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  <c r="AA852" s="19"/>
      <c r="AB852" s="19"/>
      <c r="AC852" s="19"/>
      <c r="AD852" s="19"/>
      <c r="AE852" s="19"/>
    </row>
    <row r="853" spans="1:31" ht="13.15" x14ac:dyDescent="0.4">
      <c r="A853" s="19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24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  <c r="AA853" s="19"/>
      <c r="AB853" s="19"/>
      <c r="AC853" s="19"/>
      <c r="AD853" s="19"/>
      <c r="AE853" s="19"/>
    </row>
    <row r="854" spans="1:31" ht="13.15" x14ac:dyDescent="0.4">
      <c r="A854" s="19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24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  <c r="AA854" s="19"/>
      <c r="AB854" s="19"/>
      <c r="AC854" s="19"/>
      <c r="AD854" s="19"/>
      <c r="AE854" s="19"/>
    </row>
    <row r="855" spans="1:31" ht="13.15" x14ac:dyDescent="0.4">
      <c r="A855" s="19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24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  <c r="AA855" s="19"/>
      <c r="AB855" s="19"/>
      <c r="AC855" s="19"/>
      <c r="AD855" s="19"/>
      <c r="AE855" s="19"/>
    </row>
    <row r="856" spans="1:31" ht="13.15" x14ac:dyDescent="0.4">
      <c r="A856" s="19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24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  <c r="AA856" s="19"/>
      <c r="AB856" s="19"/>
      <c r="AC856" s="19"/>
      <c r="AD856" s="19"/>
      <c r="AE856" s="19"/>
    </row>
    <row r="857" spans="1:31" ht="13.15" x14ac:dyDescent="0.4">
      <c r="A857" s="19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24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  <c r="AA857" s="19"/>
      <c r="AB857" s="19"/>
      <c r="AC857" s="19"/>
      <c r="AD857" s="19"/>
      <c r="AE857" s="19"/>
    </row>
    <row r="858" spans="1:31" ht="13.15" x14ac:dyDescent="0.4">
      <c r="A858" s="19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24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  <c r="AA858" s="19"/>
      <c r="AB858" s="19"/>
      <c r="AC858" s="19"/>
      <c r="AD858" s="19"/>
      <c r="AE858" s="19"/>
    </row>
    <row r="859" spans="1:31" ht="13.15" x14ac:dyDescent="0.4">
      <c r="A859" s="19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24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  <c r="AA859" s="19"/>
      <c r="AB859" s="19"/>
      <c r="AC859" s="19"/>
      <c r="AD859" s="19"/>
      <c r="AE859" s="19"/>
    </row>
    <row r="860" spans="1:31" ht="13.15" x14ac:dyDescent="0.4">
      <c r="A860" s="19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24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  <c r="AA860" s="19"/>
      <c r="AB860" s="19"/>
      <c r="AC860" s="19"/>
      <c r="AD860" s="19"/>
      <c r="AE860" s="19"/>
    </row>
    <row r="861" spans="1:31" ht="13.15" x14ac:dyDescent="0.4">
      <c r="A861" s="19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24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  <c r="AA861" s="19"/>
      <c r="AB861" s="19"/>
      <c r="AC861" s="19"/>
      <c r="AD861" s="19"/>
      <c r="AE861" s="19"/>
    </row>
    <row r="862" spans="1:31" ht="13.15" x14ac:dyDescent="0.4">
      <c r="A862" s="19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24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  <c r="AA862" s="19"/>
      <c r="AB862" s="19"/>
      <c r="AC862" s="19"/>
      <c r="AD862" s="19"/>
      <c r="AE862" s="19"/>
    </row>
    <row r="863" spans="1:31" ht="13.15" x14ac:dyDescent="0.4">
      <c r="A863" s="19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24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  <c r="AA863" s="19"/>
      <c r="AB863" s="19"/>
      <c r="AC863" s="19"/>
      <c r="AD863" s="19"/>
      <c r="AE863" s="19"/>
    </row>
    <row r="864" spans="1:31" ht="13.15" x14ac:dyDescent="0.4">
      <c r="A864" s="19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24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  <c r="AA864" s="19"/>
      <c r="AB864" s="19"/>
      <c r="AC864" s="19"/>
      <c r="AD864" s="19"/>
      <c r="AE864" s="19"/>
    </row>
    <row r="865" spans="1:31" ht="13.15" x14ac:dyDescent="0.4">
      <c r="A865" s="19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24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  <c r="AA865" s="19"/>
      <c r="AB865" s="19"/>
      <c r="AC865" s="19"/>
      <c r="AD865" s="19"/>
      <c r="AE865" s="19"/>
    </row>
    <row r="866" spans="1:31" ht="13.15" x14ac:dyDescent="0.4">
      <c r="A866" s="19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24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  <c r="AA866" s="19"/>
      <c r="AB866" s="19"/>
      <c r="AC866" s="19"/>
      <c r="AD866" s="19"/>
      <c r="AE866" s="19"/>
    </row>
    <row r="867" spans="1:31" ht="13.15" x14ac:dyDescent="0.4">
      <c r="A867" s="19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24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  <c r="AA867" s="19"/>
      <c r="AB867" s="19"/>
      <c r="AC867" s="19"/>
      <c r="AD867" s="19"/>
      <c r="AE867" s="19"/>
    </row>
    <row r="868" spans="1:31" ht="13.15" x14ac:dyDescent="0.4">
      <c r="A868" s="19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24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  <c r="AA868" s="19"/>
      <c r="AB868" s="19"/>
      <c r="AC868" s="19"/>
      <c r="AD868" s="19"/>
      <c r="AE868" s="19"/>
    </row>
    <row r="869" spans="1:31" ht="13.15" x14ac:dyDescent="0.4">
      <c r="A869" s="19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24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  <c r="AA869" s="19"/>
      <c r="AB869" s="19"/>
      <c r="AC869" s="19"/>
      <c r="AD869" s="19"/>
      <c r="AE869" s="19"/>
    </row>
    <row r="870" spans="1:31" ht="13.15" x14ac:dyDescent="0.4">
      <c r="A870" s="19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24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  <c r="AA870" s="19"/>
      <c r="AB870" s="19"/>
      <c r="AC870" s="19"/>
      <c r="AD870" s="19"/>
      <c r="AE870" s="19"/>
    </row>
    <row r="871" spans="1:31" ht="13.15" x14ac:dyDescent="0.4">
      <c r="A871" s="19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24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  <c r="AA871" s="19"/>
      <c r="AB871" s="19"/>
      <c r="AC871" s="19"/>
      <c r="AD871" s="19"/>
      <c r="AE871" s="19"/>
    </row>
    <row r="872" spans="1:31" ht="13.15" x14ac:dyDescent="0.4">
      <c r="A872" s="19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24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  <c r="AA872" s="19"/>
      <c r="AB872" s="19"/>
      <c r="AC872" s="19"/>
      <c r="AD872" s="19"/>
      <c r="AE872" s="19"/>
    </row>
    <row r="873" spans="1:31" ht="13.15" x14ac:dyDescent="0.4">
      <c r="A873" s="19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24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  <c r="AA873" s="19"/>
      <c r="AB873" s="19"/>
      <c r="AC873" s="19"/>
      <c r="AD873" s="19"/>
      <c r="AE873" s="19"/>
    </row>
    <row r="874" spans="1:31" ht="13.15" x14ac:dyDescent="0.4">
      <c r="A874" s="19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24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  <c r="AA874" s="19"/>
      <c r="AB874" s="19"/>
      <c r="AC874" s="19"/>
      <c r="AD874" s="19"/>
      <c r="AE874" s="19"/>
    </row>
    <row r="875" spans="1:31" ht="13.15" x14ac:dyDescent="0.4">
      <c r="A875" s="19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24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  <c r="AA875" s="19"/>
      <c r="AB875" s="19"/>
      <c r="AC875" s="19"/>
      <c r="AD875" s="19"/>
      <c r="AE875" s="19"/>
    </row>
    <row r="876" spans="1:31" ht="13.15" x14ac:dyDescent="0.4">
      <c r="A876" s="19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24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  <c r="AA876" s="19"/>
      <c r="AB876" s="19"/>
      <c r="AC876" s="19"/>
      <c r="AD876" s="19"/>
      <c r="AE876" s="19"/>
    </row>
    <row r="877" spans="1:31" ht="13.15" x14ac:dyDescent="0.4">
      <c r="A877" s="19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24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  <c r="AA877" s="19"/>
      <c r="AB877" s="19"/>
      <c r="AC877" s="19"/>
      <c r="AD877" s="19"/>
      <c r="AE877" s="19"/>
    </row>
    <row r="878" spans="1:31" ht="13.15" x14ac:dyDescent="0.4">
      <c r="A878" s="19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24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  <c r="AA878" s="19"/>
      <c r="AB878" s="19"/>
      <c r="AC878" s="19"/>
      <c r="AD878" s="19"/>
      <c r="AE878" s="19"/>
    </row>
    <row r="879" spans="1:31" ht="13.15" x14ac:dyDescent="0.4">
      <c r="A879" s="19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24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  <c r="AA879" s="19"/>
      <c r="AB879" s="19"/>
      <c r="AC879" s="19"/>
      <c r="AD879" s="19"/>
      <c r="AE879" s="19"/>
    </row>
    <row r="880" spans="1:31" ht="13.15" x14ac:dyDescent="0.4">
      <c r="A880" s="19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24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  <c r="AA880" s="19"/>
      <c r="AB880" s="19"/>
      <c r="AC880" s="19"/>
      <c r="AD880" s="19"/>
      <c r="AE880" s="19"/>
    </row>
    <row r="881" spans="1:31" ht="13.15" x14ac:dyDescent="0.4">
      <c r="A881" s="19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24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  <c r="AA881" s="19"/>
      <c r="AB881" s="19"/>
      <c r="AC881" s="19"/>
      <c r="AD881" s="19"/>
      <c r="AE881" s="19"/>
    </row>
    <row r="882" spans="1:31" ht="13.15" x14ac:dyDescent="0.4">
      <c r="A882" s="19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24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  <c r="AA882" s="19"/>
      <c r="AB882" s="19"/>
      <c r="AC882" s="19"/>
      <c r="AD882" s="19"/>
      <c r="AE882" s="19"/>
    </row>
    <row r="883" spans="1:31" ht="13.15" x14ac:dyDescent="0.4">
      <c r="A883" s="19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24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  <c r="AA883" s="19"/>
      <c r="AB883" s="19"/>
      <c r="AC883" s="19"/>
      <c r="AD883" s="19"/>
      <c r="AE883" s="19"/>
    </row>
    <row r="884" spans="1:31" ht="13.15" x14ac:dyDescent="0.4">
      <c r="A884" s="19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24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  <c r="AA884" s="19"/>
      <c r="AB884" s="19"/>
      <c r="AC884" s="19"/>
      <c r="AD884" s="19"/>
      <c r="AE884" s="19"/>
    </row>
    <row r="885" spans="1:31" ht="13.15" x14ac:dyDescent="0.4">
      <c r="A885" s="19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24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  <c r="AA885" s="19"/>
      <c r="AB885" s="19"/>
      <c r="AC885" s="19"/>
      <c r="AD885" s="19"/>
      <c r="AE885" s="19"/>
    </row>
    <row r="886" spans="1:31" ht="13.15" x14ac:dyDescent="0.4">
      <c r="A886" s="19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24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  <c r="AA886" s="19"/>
      <c r="AB886" s="19"/>
      <c r="AC886" s="19"/>
      <c r="AD886" s="19"/>
      <c r="AE886" s="19"/>
    </row>
    <row r="887" spans="1:31" ht="13.15" x14ac:dyDescent="0.4">
      <c r="A887" s="19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24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  <c r="AA887" s="19"/>
      <c r="AB887" s="19"/>
      <c r="AC887" s="19"/>
      <c r="AD887" s="19"/>
      <c r="AE887" s="19"/>
    </row>
    <row r="888" spans="1:31" ht="13.15" x14ac:dyDescent="0.4">
      <c r="A888" s="19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24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  <c r="AA888" s="19"/>
      <c r="AB888" s="19"/>
      <c r="AC888" s="19"/>
      <c r="AD888" s="19"/>
      <c r="AE888" s="19"/>
    </row>
    <row r="889" spans="1:31" ht="13.15" x14ac:dyDescent="0.4">
      <c r="A889" s="19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24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  <c r="AA889" s="19"/>
      <c r="AB889" s="19"/>
      <c r="AC889" s="19"/>
      <c r="AD889" s="19"/>
      <c r="AE889" s="19"/>
    </row>
    <row r="890" spans="1:31" ht="13.15" x14ac:dyDescent="0.4">
      <c r="A890" s="19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24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  <c r="AA890" s="19"/>
      <c r="AB890" s="19"/>
      <c r="AC890" s="19"/>
      <c r="AD890" s="19"/>
      <c r="AE890" s="19"/>
    </row>
    <row r="891" spans="1:31" ht="13.15" x14ac:dyDescent="0.4">
      <c r="A891" s="19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24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  <c r="AA891" s="19"/>
      <c r="AB891" s="19"/>
      <c r="AC891" s="19"/>
      <c r="AD891" s="19"/>
      <c r="AE891" s="19"/>
    </row>
    <row r="892" spans="1:31" ht="13.15" x14ac:dyDescent="0.4">
      <c r="A892" s="19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24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  <c r="AA892" s="19"/>
      <c r="AB892" s="19"/>
      <c r="AC892" s="19"/>
      <c r="AD892" s="19"/>
      <c r="AE892" s="19"/>
    </row>
    <row r="893" spans="1:31" ht="13.15" x14ac:dyDescent="0.4">
      <c r="A893" s="19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24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  <c r="AA893" s="19"/>
      <c r="AB893" s="19"/>
      <c r="AC893" s="19"/>
      <c r="AD893" s="19"/>
      <c r="AE893" s="19"/>
    </row>
    <row r="894" spans="1:31" ht="13.15" x14ac:dyDescent="0.4">
      <c r="A894" s="19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24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  <c r="AA894" s="19"/>
      <c r="AB894" s="19"/>
      <c r="AC894" s="19"/>
      <c r="AD894" s="19"/>
      <c r="AE894" s="19"/>
    </row>
    <row r="895" spans="1:31" ht="13.15" x14ac:dyDescent="0.4">
      <c r="A895" s="19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24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  <c r="AA895" s="19"/>
      <c r="AB895" s="19"/>
      <c r="AC895" s="19"/>
      <c r="AD895" s="19"/>
      <c r="AE895" s="19"/>
    </row>
    <row r="896" spans="1:31" ht="13.15" x14ac:dyDescent="0.4">
      <c r="A896" s="19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24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  <c r="AA896" s="19"/>
      <c r="AB896" s="19"/>
      <c r="AC896" s="19"/>
      <c r="AD896" s="19"/>
      <c r="AE896" s="19"/>
    </row>
    <row r="897" spans="1:31" ht="13.15" x14ac:dyDescent="0.4">
      <c r="A897" s="19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24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  <c r="AA897" s="19"/>
      <c r="AB897" s="19"/>
      <c r="AC897" s="19"/>
      <c r="AD897" s="19"/>
      <c r="AE897" s="19"/>
    </row>
    <row r="898" spans="1:31" ht="13.15" x14ac:dyDescent="0.4">
      <c r="A898" s="19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24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  <c r="AA898" s="19"/>
      <c r="AB898" s="19"/>
      <c r="AC898" s="19"/>
      <c r="AD898" s="19"/>
      <c r="AE898" s="19"/>
    </row>
    <row r="899" spans="1:31" ht="13.15" x14ac:dyDescent="0.4">
      <c r="A899" s="19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24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  <c r="AA899" s="19"/>
      <c r="AB899" s="19"/>
      <c r="AC899" s="19"/>
      <c r="AD899" s="19"/>
      <c r="AE899" s="19"/>
    </row>
    <row r="900" spans="1:31" ht="13.15" x14ac:dyDescent="0.4">
      <c r="A900" s="19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24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  <c r="AA900" s="19"/>
      <c r="AB900" s="19"/>
      <c r="AC900" s="19"/>
      <c r="AD900" s="19"/>
      <c r="AE900" s="19"/>
    </row>
    <row r="901" spans="1:31" ht="13.15" x14ac:dyDescent="0.4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24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  <c r="AA901" s="19"/>
      <c r="AB901" s="19"/>
      <c r="AC901" s="19"/>
      <c r="AD901" s="19"/>
      <c r="AE901" s="19"/>
    </row>
    <row r="902" spans="1:31" ht="13.15" x14ac:dyDescent="0.4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24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  <c r="AA902" s="19"/>
      <c r="AB902" s="19"/>
      <c r="AC902" s="19"/>
      <c r="AD902" s="19"/>
      <c r="AE902" s="19"/>
    </row>
    <row r="903" spans="1:31" ht="13.15" x14ac:dyDescent="0.4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24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  <c r="AA903" s="19"/>
      <c r="AB903" s="19"/>
      <c r="AC903" s="19"/>
      <c r="AD903" s="19"/>
      <c r="AE903" s="19"/>
    </row>
    <row r="904" spans="1:31" ht="13.15" x14ac:dyDescent="0.4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24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  <c r="AA904" s="19"/>
      <c r="AB904" s="19"/>
      <c r="AC904" s="19"/>
      <c r="AD904" s="19"/>
      <c r="AE904" s="19"/>
    </row>
    <row r="905" spans="1:31" ht="13.15" x14ac:dyDescent="0.4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24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  <c r="AA905" s="19"/>
      <c r="AB905" s="19"/>
      <c r="AC905" s="19"/>
      <c r="AD905" s="19"/>
      <c r="AE905" s="19"/>
    </row>
    <row r="906" spans="1:31" ht="13.15" x14ac:dyDescent="0.4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24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  <c r="AA906" s="19"/>
      <c r="AB906" s="19"/>
      <c r="AC906" s="19"/>
      <c r="AD906" s="19"/>
      <c r="AE906" s="19"/>
    </row>
    <row r="907" spans="1:31" ht="13.15" x14ac:dyDescent="0.4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24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  <c r="AA907" s="19"/>
      <c r="AB907" s="19"/>
      <c r="AC907" s="19"/>
      <c r="AD907" s="19"/>
      <c r="AE907" s="19"/>
    </row>
    <row r="908" spans="1:31" ht="13.15" x14ac:dyDescent="0.4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24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  <c r="AA908" s="19"/>
      <c r="AB908" s="19"/>
      <c r="AC908" s="19"/>
      <c r="AD908" s="19"/>
      <c r="AE908" s="19"/>
    </row>
    <row r="909" spans="1:31" ht="13.15" x14ac:dyDescent="0.4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24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  <c r="AA909" s="19"/>
      <c r="AB909" s="19"/>
      <c r="AC909" s="19"/>
      <c r="AD909" s="19"/>
      <c r="AE909" s="19"/>
    </row>
    <row r="910" spans="1:31" ht="13.15" x14ac:dyDescent="0.4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24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  <c r="AB910" s="19"/>
      <c r="AC910" s="19"/>
      <c r="AD910" s="19"/>
      <c r="AE910" s="19"/>
    </row>
    <row r="911" spans="1:31" ht="13.15" x14ac:dyDescent="0.4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24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  <c r="AA911" s="19"/>
      <c r="AB911" s="19"/>
      <c r="AC911" s="19"/>
      <c r="AD911" s="19"/>
      <c r="AE911" s="19"/>
    </row>
    <row r="912" spans="1:31" ht="13.15" x14ac:dyDescent="0.4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24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  <c r="AA912" s="19"/>
      <c r="AB912" s="19"/>
      <c r="AC912" s="19"/>
      <c r="AD912" s="19"/>
      <c r="AE912" s="19"/>
    </row>
    <row r="913" spans="1:31" ht="13.15" x14ac:dyDescent="0.4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24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  <c r="AA913" s="19"/>
      <c r="AB913" s="19"/>
      <c r="AC913" s="19"/>
      <c r="AD913" s="19"/>
      <c r="AE913" s="19"/>
    </row>
    <row r="914" spans="1:31" ht="13.15" x14ac:dyDescent="0.4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24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  <c r="AA914" s="19"/>
      <c r="AB914" s="19"/>
      <c r="AC914" s="19"/>
      <c r="AD914" s="19"/>
      <c r="AE914" s="19"/>
    </row>
    <row r="915" spans="1:31" ht="13.15" x14ac:dyDescent="0.4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24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  <c r="AA915" s="19"/>
      <c r="AB915" s="19"/>
      <c r="AC915" s="19"/>
      <c r="AD915" s="19"/>
      <c r="AE915" s="19"/>
    </row>
    <row r="916" spans="1:31" ht="13.15" x14ac:dyDescent="0.4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24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  <c r="AA916" s="19"/>
      <c r="AB916" s="19"/>
      <c r="AC916" s="19"/>
      <c r="AD916" s="19"/>
      <c r="AE916" s="19"/>
    </row>
    <row r="917" spans="1:31" ht="13.15" x14ac:dyDescent="0.4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24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  <c r="AA917" s="19"/>
      <c r="AB917" s="19"/>
      <c r="AC917" s="19"/>
      <c r="AD917" s="19"/>
      <c r="AE917" s="19"/>
    </row>
    <row r="918" spans="1:31" ht="13.15" x14ac:dyDescent="0.4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24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  <c r="AB918" s="19"/>
      <c r="AC918" s="19"/>
      <c r="AD918" s="19"/>
      <c r="AE918" s="19"/>
    </row>
    <row r="919" spans="1:31" ht="13.15" x14ac:dyDescent="0.4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24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  <c r="AA919" s="19"/>
      <c r="AB919" s="19"/>
      <c r="AC919" s="19"/>
      <c r="AD919" s="19"/>
      <c r="AE919" s="19"/>
    </row>
    <row r="920" spans="1:31" ht="13.15" x14ac:dyDescent="0.4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24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  <c r="AA920" s="19"/>
      <c r="AB920" s="19"/>
      <c r="AC920" s="19"/>
      <c r="AD920" s="19"/>
      <c r="AE920" s="19"/>
    </row>
    <row r="921" spans="1:31" ht="13.15" x14ac:dyDescent="0.4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24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  <c r="AA921" s="19"/>
      <c r="AB921" s="19"/>
      <c r="AC921" s="19"/>
      <c r="AD921" s="19"/>
      <c r="AE921" s="19"/>
    </row>
    <row r="922" spans="1:31" ht="13.15" x14ac:dyDescent="0.4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24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  <c r="AA922" s="19"/>
      <c r="AB922" s="19"/>
      <c r="AC922" s="19"/>
      <c r="AD922" s="19"/>
      <c r="AE922" s="19"/>
    </row>
    <row r="923" spans="1:31" ht="13.15" x14ac:dyDescent="0.4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24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  <c r="AA923" s="19"/>
      <c r="AB923" s="19"/>
      <c r="AC923" s="19"/>
      <c r="AD923" s="19"/>
      <c r="AE923" s="19"/>
    </row>
    <row r="924" spans="1:31" ht="13.15" x14ac:dyDescent="0.4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24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  <c r="AA924" s="19"/>
      <c r="AB924" s="19"/>
      <c r="AC924" s="19"/>
      <c r="AD924" s="19"/>
      <c r="AE924" s="19"/>
    </row>
    <row r="925" spans="1:31" ht="13.15" x14ac:dyDescent="0.4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24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  <c r="AA925" s="19"/>
      <c r="AB925" s="19"/>
      <c r="AC925" s="19"/>
      <c r="AD925" s="19"/>
      <c r="AE925" s="19"/>
    </row>
    <row r="926" spans="1:31" ht="13.15" x14ac:dyDescent="0.4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24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  <c r="AA926" s="19"/>
      <c r="AB926" s="19"/>
      <c r="AC926" s="19"/>
      <c r="AD926" s="19"/>
      <c r="AE926" s="19"/>
    </row>
    <row r="927" spans="1:31" ht="13.15" x14ac:dyDescent="0.4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24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  <c r="AA927" s="19"/>
      <c r="AB927" s="19"/>
      <c r="AC927" s="19"/>
      <c r="AD927" s="19"/>
      <c r="AE927" s="19"/>
    </row>
    <row r="928" spans="1:31" ht="13.15" x14ac:dyDescent="0.4">
      <c r="A928" s="19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24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  <c r="AA928" s="19"/>
      <c r="AB928" s="19"/>
      <c r="AC928" s="19"/>
      <c r="AD928" s="19"/>
      <c r="AE928" s="19"/>
    </row>
    <row r="929" spans="1:31" ht="13.15" x14ac:dyDescent="0.4">
      <c r="A929" s="19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24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  <c r="AA929" s="19"/>
      <c r="AB929" s="19"/>
      <c r="AC929" s="19"/>
      <c r="AD929" s="19"/>
      <c r="AE929" s="19"/>
    </row>
    <row r="930" spans="1:31" ht="13.15" x14ac:dyDescent="0.4">
      <c r="A930" s="19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24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  <c r="AA930" s="19"/>
      <c r="AB930" s="19"/>
      <c r="AC930" s="19"/>
      <c r="AD930" s="19"/>
      <c r="AE930" s="19"/>
    </row>
    <row r="931" spans="1:31" ht="13.15" x14ac:dyDescent="0.4">
      <c r="A931" s="19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24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  <c r="AA931" s="19"/>
      <c r="AB931" s="19"/>
      <c r="AC931" s="19"/>
      <c r="AD931" s="19"/>
      <c r="AE931" s="19"/>
    </row>
    <row r="932" spans="1:31" ht="13.15" x14ac:dyDescent="0.4">
      <c r="A932" s="19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24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  <c r="AA932" s="19"/>
      <c r="AB932" s="19"/>
      <c r="AC932" s="19"/>
      <c r="AD932" s="19"/>
      <c r="AE932" s="19"/>
    </row>
    <row r="933" spans="1:31" ht="13.15" x14ac:dyDescent="0.4">
      <c r="A933" s="19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24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  <c r="AA933" s="19"/>
      <c r="AB933" s="19"/>
      <c r="AC933" s="19"/>
      <c r="AD933" s="19"/>
      <c r="AE933" s="19"/>
    </row>
    <row r="934" spans="1:31" ht="13.15" x14ac:dyDescent="0.4">
      <c r="A934" s="19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24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  <c r="AA934" s="19"/>
      <c r="AB934" s="19"/>
      <c r="AC934" s="19"/>
      <c r="AD934" s="19"/>
      <c r="AE934" s="19"/>
    </row>
    <row r="935" spans="1:31" ht="13.15" x14ac:dyDescent="0.4">
      <c r="A935" s="19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24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  <c r="AA935" s="19"/>
      <c r="AB935" s="19"/>
      <c r="AC935" s="19"/>
      <c r="AD935" s="19"/>
      <c r="AE935" s="19"/>
    </row>
    <row r="936" spans="1:31" ht="13.15" x14ac:dyDescent="0.4">
      <c r="A936" s="19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24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  <c r="AA936" s="19"/>
      <c r="AB936" s="19"/>
      <c r="AC936" s="19"/>
      <c r="AD936" s="19"/>
      <c r="AE936" s="19"/>
    </row>
    <row r="937" spans="1:31" ht="13.15" x14ac:dyDescent="0.4">
      <c r="A937" s="19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24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  <c r="AA937" s="19"/>
      <c r="AB937" s="19"/>
      <c r="AC937" s="19"/>
      <c r="AD937" s="19"/>
      <c r="AE937" s="19"/>
    </row>
    <row r="938" spans="1:31" ht="13.15" x14ac:dyDescent="0.4">
      <c r="A938" s="19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24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  <c r="AA938" s="19"/>
      <c r="AB938" s="19"/>
      <c r="AC938" s="19"/>
      <c r="AD938" s="19"/>
      <c r="AE938" s="19"/>
    </row>
    <row r="939" spans="1:31" ht="13.15" x14ac:dyDescent="0.4">
      <c r="A939" s="19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24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  <c r="AA939" s="19"/>
      <c r="AB939" s="19"/>
      <c r="AC939" s="19"/>
      <c r="AD939" s="19"/>
      <c r="AE939" s="19"/>
    </row>
    <row r="940" spans="1:31" ht="13.15" x14ac:dyDescent="0.4">
      <c r="A940" s="19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24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  <c r="AB940" s="19"/>
      <c r="AC940" s="19"/>
      <c r="AD940" s="19"/>
      <c r="AE940" s="19"/>
    </row>
    <row r="941" spans="1:31" ht="13.15" x14ac:dyDescent="0.4">
      <c r="A941" s="19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24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  <c r="AA941" s="19"/>
      <c r="AB941" s="19"/>
      <c r="AC941" s="19"/>
      <c r="AD941" s="19"/>
      <c r="AE941" s="19"/>
    </row>
    <row r="942" spans="1:31" ht="13.15" x14ac:dyDescent="0.4">
      <c r="A942" s="19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24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  <c r="AA942" s="19"/>
      <c r="AB942" s="19"/>
      <c r="AC942" s="19"/>
      <c r="AD942" s="19"/>
      <c r="AE942" s="19"/>
    </row>
    <row r="943" spans="1:31" ht="13.15" x14ac:dyDescent="0.4">
      <c r="A943" s="19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24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  <c r="AA943" s="19"/>
      <c r="AB943" s="19"/>
      <c r="AC943" s="19"/>
      <c r="AD943" s="19"/>
      <c r="AE943" s="19"/>
    </row>
    <row r="944" spans="1:31" ht="13.15" x14ac:dyDescent="0.4">
      <c r="A944" s="19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24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  <c r="AA944" s="19"/>
      <c r="AB944" s="19"/>
      <c r="AC944" s="19"/>
      <c r="AD944" s="19"/>
      <c r="AE944" s="19"/>
    </row>
    <row r="945" spans="1:31" ht="13.15" x14ac:dyDescent="0.4">
      <c r="A945" s="19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24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  <c r="AA945" s="19"/>
      <c r="AB945" s="19"/>
      <c r="AC945" s="19"/>
      <c r="AD945" s="19"/>
      <c r="AE945" s="19"/>
    </row>
    <row r="946" spans="1:31" ht="13.15" x14ac:dyDescent="0.4">
      <c r="A946" s="19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24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  <c r="AA946" s="19"/>
      <c r="AB946" s="19"/>
      <c r="AC946" s="19"/>
      <c r="AD946" s="19"/>
      <c r="AE946" s="19"/>
    </row>
    <row r="947" spans="1:31" ht="13.15" x14ac:dyDescent="0.4">
      <c r="A947" s="19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24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  <c r="AA947" s="19"/>
      <c r="AB947" s="19"/>
      <c r="AC947" s="19"/>
      <c r="AD947" s="19"/>
      <c r="AE947" s="19"/>
    </row>
    <row r="948" spans="1:31" ht="13.15" x14ac:dyDescent="0.4">
      <c r="A948" s="19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24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  <c r="AA948" s="19"/>
      <c r="AB948" s="19"/>
      <c r="AC948" s="19"/>
      <c r="AD948" s="19"/>
      <c r="AE948" s="19"/>
    </row>
    <row r="949" spans="1:31" ht="13.15" x14ac:dyDescent="0.4">
      <c r="A949" s="19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24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  <c r="AA949" s="19"/>
      <c r="AB949" s="19"/>
      <c r="AC949" s="19"/>
      <c r="AD949" s="19"/>
      <c r="AE949" s="19"/>
    </row>
    <row r="950" spans="1:31" ht="13.15" x14ac:dyDescent="0.4">
      <c r="A950" s="19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24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  <c r="AA950" s="19"/>
      <c r="AB950" s="19"/>
      <c r="AC950" s="19"/>
      <c r="AD950" s="19"/>
      <c r="AE950" s="19"/>
    </row>
    <row r="951" spans="1:31" ht="13.15" x14ac:dyDescent="0.4">
      <c r="A951" s="19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24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  <c r="AA951" s="19"/>
      <c r="AB951" s="19"/>
      <c r="AC951" s="19"/>
      <c r="AD951" s="19"/>
      <c r="AE951" s="19"/>
    </row>
    <row r="952" spans="1:31" ht="13.15" x14ac:dyDescent="0.4">
      <c r="A952" s="19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24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  <c r="AA952" s="19"/>
      <c r="AB952" s="19"/>
      <c r="AC952" s="19"/>
      <c r="AD952" s="19"/>
      <c r="AE952" s="19"/>
    </row>
    <row r="953" spans="1:31" ht="13.15" x14ac:dyDescent="0.4">
      <c r="A953" s="19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24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  <c r="AA953" s="19"/>
      <c r="AB953" s="19"/>
      <c r="AC953" s="19"/>
      <c r="AD953" s="19"/>
      <c r="AE953" s="19"/>
    </row>
    <row r="954" spans="1:31" ht="13.15" x14ac:dyDescent="0.4">
      <c r="A954" s="19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24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  <c r="AA954" s="19"/>
      <c r="AB954" s="19"/>
      <c r="AC954" s="19"/>
      <c r="AD954" s="19"/>
      <c r="AE954" s="19"/>
    </row>
    <row r="955" spans="1:31" ht="13.15" x14ac:dyDescent="0.4">
      <c r="A955" s="19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24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  <c r="AA955" s="19"/>
      <c r="AB955" s="19"/>
      <c r="AC955" s="19"/>
      <c r="AD955" s="19"/>
      <c r="AE955" s="19"/>
    </row>
    <row r="956" spans="1:31" ht="13.15" x14ac:dyDescent="0.4">
      <c r="A956" s="19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24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  <c r="AA956" s="19"/>
      <c r="AB956" s="19"/>
      <c r="AC956" s="19"/>
      <c r="AD956" s="19"/>
      <c r="AE956" s="19"/>
    </row>
    <row r="957" spans="1:31" ht="13.15" x14ac:dyDescent="0.4">
      <c r="A957" s="19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24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  <c r="AA957" s="19"/>
      <c r="AB957" s="19"/>
      <c r="AC957" s="19"/>
      <c r="AD957" s="19"/>
      <c r="AE957" s="19"/>
    </row>
    <row r="958" spans="1:31" ht="13.15" x14ac:dyDescent="0.4">
      <c r="A958" s="19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24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  <c r="AA958" s="19"/>
      <c r="AB958" s="19"/>
      <c r="AC958" s="19"/>
      <c r="AD958" s="19"/>
      <c r="AE958" s="19"/>
    </row>
    <row r="959" spans="1:31" ht="13.15" x14ac:dyDescent="0.4">
      <c r="A959" s="19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24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  <c r="AA959" s="19"/>
      <c r="AB959" s="19"/>
      <c r="AC959" s="19"/>
      <c r="AD959" s="19"/>
      <c r="AE959" s="19"/>
    </row>
    <row r="960" spans="1:31" ht="13.15" x14ac:dyDescent="0.4">
      <c r="A960" s="19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24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  <c r="AA960" s="19"/>
      <c r="AB960" s="19"/>
      <c r="AC960" s="19"/>
      <c r="AD960" s="19"/>
      <c r="AE960" s="19"/>
    </row>
    <row r="961" spans="1:31" ht="13.15" x14ac:dyDescent="0.4">
      <c r="A961" s="19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24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  <c r="AA961" s="19"/>
      <c r="AB961" s="19"/>
      <c r="AC961" s="19"/>
      <c r="AD961" s="19"/>
      <c r="AE961" s="19"/>
    </row>
    <row r="962" spans="1:31" ht="13.15" x14ac:dyDescent="0.4">
      <c r="A962" s="19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24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  <c r="AA962" s="19"/>
      <c r="AB962" s="19"/>
      <c r="AC962" s="19"/>
      <c r="AD962" s="19"/>
      <c r="AE962" s="19"/>
    </row>
    <row r="963" spans="1:31" ht="13.15" x14ac:dyDescent="0.4">
      <c r="A963" s="19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24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  <c r="AB963" s="19"/>
      <c r="AC963" s="19"/>
      <c r="AD963" s="19"/>
      <c r="AE963" s="19"/>
    </row>
    <row r="964" spans="1:31" ht="13.15" x14ac:dyDescent="0.4">
      <c r="A964" s="19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24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  <c r="AA964" s="19"/>
      <c r="AB964" s="19"/>
      <c r="AC964" s="19"/>
      <c r="AD964" s="19"/>
      <c r="AE964" s="19"/>
    </row>
    <row r="965" spans="1:31" ht="13.15" x14ac:dyDescent="0.4">
      <c r="A965" s="19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24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  <c r="AA965" s="19"/>
      <c r="AB965" s="19"/>
      <c r="AC965" s="19"/>
      <c r="AD965" s="19"/>
      <c r="AE965" s="19"/>
    </row>
    <row r="966" spans="1:31" ht="13.15" x14ac:dyDescent="0.4">
      <c r="A966" s="19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24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  <c r="AA966" s="19"/>
      <c r="AB966" s="19"/>
      <c r="AC966" s="19"/>
      <c r="AD966" s="19"/>
      <c r="AE966" s="19"/>
    </row>
    <row r="967" spans="1:31" ht="13.15" x14ac:dyDescent="0.4">
      <c r="A967" s="19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24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  <c r="AA967" s="19"/>
      <c r="AB967" s="19"/>
      <c r="AC967" s="19"/>
      <c r="AD967" s="19"/>
      <c r="AE967" s="19"/>
    </row>
    <row r="968" spans="1:31" ht="13.15" x14ac:dyDescent="0.4">
      <c r="A968" s="19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24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  <c r="AA968" s="19"/>
      <c r="AB968" s="19"/>
      <c r="AC968" s="19"/>
      <c r="AD968" s="19"/>
      <c r="AE968" s="19"/>
    </row>
    <row r="969" spans="1:31" ht="13.15" x14ac:dyDescent="0.4">
      <c r="A969" s="19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24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  <c r="AA969" s="19"/>
      <c r="AB969" s="19"/>
      <c r="AC969" s="19"/>
      <c r="AD969" s="19"/>
      <c r="AE969" s="19"/>
    </row>
    <row r="970" spans="1:31" ht="13.15" x14ac:dyDescent="0.4">
      <c r="A970" s="19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24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  <c r="AA970" s="19"/>
      <c r="AB970" s="19"/>
      <c r="AC970" s="19"/>
      <c r="AD970" s="19"/>
      <c r="AE970" s="19"/>
    </row>
    <row r="971" spans="1:31" ht="13.15" x14ac:dyDescent="0.4">
      <c r="A971" s="19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24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  <c r="AA971" s="19"/>
      <c r="AB971" s="19"/>
      <c r="AC971" s="19"/>
      <c r="AD971" s="19"/>
      <c r="AE971" s="19"/>
    </row>
    <row r="972" spans="1:31" ht="13.15" x14ac:dyDescent="0.4">
      <c r="A972" s="19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24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  <c r="AA972" s="19"/>
      <c r="AB972" s="19"/>
      <c r="AC972" s="19"/>
      <c r="AD972" s="19"/>
      <c r="AE972" s="19"/>
    </row>
    <row r="973" spans="1:31" ht="13.15" x14ac:dyDescent="0.4">
      <c r="A973" s="19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24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  <c r="AA973" s="19"/>
      <c r="AB973" s="19"/>
      <c r="AC973" s="19"/>
      <c r="AD973" s="19"/>
      <c r="AE973" s="19"/>
    </row>
    <row r="974" spans="1:31" ht="13.15" x14ac:dyDescent="0.4">
      <c r="A974" s="19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24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  <c r="AA974" s="19"/>
      <c r="AB974" s="19"/>
      <c r="AC974" s="19"/>
      <c r="AD974" s="19"/>
      <c r="AE974" s="19"/>
    </row>
    <row r="975" spans="1:31" ht="13.15" x14ac:dyDescent="0.4">
      <c r="A975" s="19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24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  <c r="AA975" s="19"/>
      <c r="AB975" s="19"/>
      <c r="AC975" s="19"/>
      <c r="AD975" s="19"/>
      <c r="AE975" s="19"/>
    </row>
    <row r="976" spans="1:31" ht="13.15" x14ac:dyDescent="0.4">
      <c r="A976" s="19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24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  <c r="AA976" s="19"/>
      <c r="AB976" s="19"/>
      <c r="AC976" s="19"/>
      <c r="AD976" s="19"/>
      <c r="AE976" s="19"/>
    </row>
    <row r="977" spans="1:31" ht="13.15" x14ac:dyDescent="0.4">
      <c r="A977" s="19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24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  <c r="AA977" s="19"/>
      <c r="AB977" s="19"/>
      <c r="AC977" s="19"/>
      <c r="AD977" s="19"/>
      <c r="AE977" s="19"/>
    </row>
    <row r="978" spans="1:31" ht="13.15" x14ac:dyDescent="0.4">
      <c r="A978" s="19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24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  <c r="AA978" s="19"/>
      <c r="AB978" s="19"/>
      <c r="AC978" s="19"/>
      <c r="AD978" s="19"/>
      <c r="AE978" s="19"/>
    </row>
    <row r="979" spans="1:31" ht="13.15" x14ac:dyDescent="0.4">
      <c r="A979" s="19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24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  <c r="AA979" s="19"/>
      <c r="AB979" s="19"/>
      <c r="AC979" s="19"/>
      <c r="AD979" s="19"/>
      <c r="AE979" s="19"/>
    </row>
    <row r="980" spans="1:31" ht="13.15" x14ac:dyDescent="0.4">
      <c r="A980" s="19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24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  <c r="AA980" s="19"/>
      <c r="AB980" s="19"/>
      <c r="AC980" s="19"/>
      <c r="AD980" s="19"/>
      <c r="AE980" s="19"/>
    </row>
    <row r="981" spans="1:31" ht="13.15" x14ac:dyDescent="0.4">
      <c r="A981" s="19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24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  <c r="AA981" s="19"/>
      <c r="AB981" s="19"/>
      <c r="AC981" s="19"/>
      <c r="AD981" s="19"/>
      <c r="AE981" s="19"/>
    </row>
    <row r="982" spans="1:31" ht="13.15" x14ac:dyDescent="0.4">
      <c r="A982" s="19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24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  <c r="AA982" s="19"/>
      <c r="AB982" s="19"/>
      <c r="AC982" s="19"/>
      <c r="AD982" s="19"/>
      <c r="AE982" s="19"/>
    </row>
    <row r="983" spans="1:31" ht="13.15" x14ac:dyDescent="0.4">
      <c r="A983" s="19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24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  <c r="AA983" s="19"/>
      <c r="AB983" s="19"/>
      <c r="AC983" s="19"/>
      <c r="AD983" s="19"/>
      <c r="AE983" s="19"/>
    </row>
    <row r="984" spans="1:31" ht="13.15" x14ac:dyDescent="0.4">
      <c r="A984" s="19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24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  <c r="AA984" s="19"/>
      <c r="AB984" s="19"/>
      <c r="AC984" s="19"/>
      <c r="AD984" s="19"/>
      <c r="AE984" s="19"/>
    </row>
    <row r="985" spans="1:31" ht="13.15" x14ac:dyDescent="0.4">
      <c r="A985" s="19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24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  <c r="AA985" s="19"/>
      <c r="AB985" s="19"/>
      <c r="AC985" s="19"/>
      <c r="AD985" s="19"/>
      <c r="AE985" s="19"/>
    </row>
    <row r="986" spans="1:31" ht="13.15" x14ac:dyDescent="0.4">
      <c r="A986" s="19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24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  <c r="AA986" s="19"/>
      <c r="AB986" s="19"/>
      <c r="AC986" s="19"/>
      <c r="AD986" s="19"/>
      <c r="AE986" s="19"/>
    </row>
    <row r="987" spans="1:31" ht="13.15" x14ac:dyDescent="0.4">
      <c r="A987" s="19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24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  <c r="AA987" s="19"/>
      <c r="AB987" s="19"/>
      <c r="AC987" s="19"/>
      <c r="AD987" s="19"/>
      <c r="AE987" s="19"/>
    </row>
    <row r="988" spans="1:31" ht="13.15" x14ac:dyDescent="0.4">
      <c r="A988" s="19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24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  <c r="AA988" s="19"/>
      <c r="AB988" s="19"/>
      <c r="AC988" s="19"/>
      <c r="AD988" s="19"/>
      <c r="AE988" s="19"/>
    </row>
    <row r="989" spans="1:31" ht="13.15" x14ac:dyDescent="0.4">
      <c r="A989" s="19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24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  <c r="AA989" s="19"/>
      <c r="AB989" s="19"/>
      <c r="AC989" s="19"/>
      <c r="AD989" s="19"/>
      <c r="AE989" s="19"/>
    </row>
    <row r="990" spans="1:31" ht="13.15" x14ac:dyDescent="0.4">
      <c r="A990" s="19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24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  <c r="AA990" s="19"/>
      <c r="AB990" s="19"/>
      <c r="AC990" s="19"/>
      <c r="AD990" s="19"/>
      <c r="AE990" s="19"/>
    </row>
    <row r="991" spans="1:31" ht="13.15" x14ac:dyDescent="0.4">
      <c r="A991" s="19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24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  <c r="AA991" s="19"/>
      <c r="AB991" s="19"/>
      <c r="AC991" s="19"/>
      <c r="AD991" s="19"/>
      <c r="AE991" s="19"/>
    </row>
    <row r="992" spans="1:31" ht="13.15" x14ac:dyDescent="0.4">
      <c r="A992" s="19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24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  <c r="AA992" s="19"/>
      <c r="AB992" s="19"/>
      <c r="AC992" s="19"/>
      <c r="AD992" s="19"/>
      <c r="AE992" s="19"/>
    </row>
    <row r="993" spans="1:31" ht="13.15" x14ac:dyDescent="0.4">
      <c r="A993" s="19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24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  <c r="AA993" s="19"/>
      <c r="AB993" s="19"/>
      <c r="AC993" s="19"/>
      <c r="AD993" s="19"/>
      <c r="AE993" s="19"/>
    </row>
    <row r="994" spans="1:31" ht="13.15" x14ac:dyDescent="0.4">
      <c r="A994" s="19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24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  <c r="AA994" s="19"/>
      <c r="AB994" s="19"/>
      <c r="AC994" s="19"/>
      <c r="AD994" s="19"/>
      <c r="AE994" s="19"/>
    </row>
    <row r="995" spans="1:31" ht="13.15" x14ac:dyDescent="0.4">
      <c r="A995" s="19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24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  <c r="AA995" s="19"/>
      <c r="AB995" s="19"/>
      <c r="AC995" s="19"/>
      <c r="AD995" s="19"/>
      <c r="AE995" s="19"/>
    </row>
    <row r="996" spans="1:31" ht="13.15" x14ac:dyDescent="0.4">
      <c r="A996" s="19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24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  <c r="AA996" s="19"/>
      <c r="AB996" s="19"/>
      <c r="AC996" s="19"/>
      <c r="AD996" s="19"/>
      <c r="AE996" s="19"/>
    </row>
    <row r="997" spans="1:31" ht="13.15" x14ac:dyDescent="0.4">
      <c r="A997" s="19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24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  <c r="AA997" s="19"/>
      <c r="AB997" s="19"/>
      <c r="AC997" s="19"/>
      <c r="AD997" s="19"/>
      <c r="AE997" s="19"/>
    </row>
    <row r="998" spans="1:31" ht="13.15" x14ac:dyDescent="0.4">
      <c r="A998" s="19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24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  <c r="AA998" s="19"/>
      <c r="AB998" s="19"/>
      <c r="AC998" s="19"/>
      <c r="AD998" s="19"/>
      <c r="AE998" s="19"/>
    </row>
    <row r="999" spans="1:31" ht="13.15" x14ac:dyDescent="0.4">
      <c r="A999" s="19"/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24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  <c r="AA999" s="19"/>
      <c r="AB999" s="19"/>
      <c r="AC999" s="19"/>
      <c r="AD999" s="19"/>
      <c r="AE999" s="19"/>
    </row>
    <row r="1000" spans="1:31" ht="13.15" x14ac:dyDescent="0.4">
      <c r="A1000" s="19"/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24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  <c r="AA1000" s="19"/>
      <c r="AB1000" s="19"/>
      <c r="AC1000" s="19"/>
      <c r="AD1000" s="19"/>
      <c r="AE1000" s="19"/>
    </row>
    <row r="1001" spans="1:31" ht="13.15" x14ac:dyDescent="0.4">
      <c r="A1001" s="19"/>
      <c r="B1001" s="19"/>
      <c r="C1001" s="19"/>
      <c r="D1001" s="19"/>
      <c r="E1001" s="19"/>
      <c r="F1001" s="19"/>
      <c r="G1001" s="19"/>
      <c r="H1001" s="19"/>
      <c r="I1001" s="19"/>
      <c r="J1001" s="19"/>
      <c r="K1001" s="19"/>
      <c r="L1001" s="19"/>
      <c r="M1001" s="19"/>
      <c r="N1001" s="19"/>
      <c r="O1001" s="24"/>
      <c r="P1001" s="19"/>
      <c r="Q1001" s="19"/>
      <c r="R1001" s="19"/>
      <c r="S1001" s="19"/>
      <c r="T1001" s="19"/>
      <c r="U1001" s="19"/>
      <c r="V1001" s="19"/>
      <c r="W1001" s="19"/>
      <c r="X1001" s="19"/>
      <c r="Y1001" s="19"/>
      <c r="Z1001" s="19"/>
      <c r="AA1001" s="19"/>
      <c r="AB1001" s="19"/>
      <c r="AC1001" s="19"/>
      <c r="AD1001" s="19"/>
      <c r="AE1001" s="19"/>
    </row>
    <row r="1002" spans="1:31" ht="13.15" x14ac:dyDescent="0.4">
      <c r="A1002" s="19"/>
      <c r="B1002" s="19"/>
      <c r="C1002" s="19"/>
      <c r="D1002" s="19"/>
      <c r="E1002" s="19"/>
      <c r="F1002" s="19"/>
      <c r="G1002" s="19"/>
      <c r="H1002" s="19"/>
      <c r="I1002" s="19"/>
      <c r="J1002" s="19"/>
      <c r="K1002" s="19"/>
      <c r="L1002" s="19"/>
      <c r="M1002" s="19"/>
      <c r="N1002" s="19"/>
      <c r="O1002" s="24"/>
      <c r="P1002" s="19"/>
      <c r="Q1002" s="19"/>
      <c r="R1002" s="19"/>
      <c r="S1002" s="19"/>
      <c r="T1002" s="19"/>
      <c r="U1002" s="19"/>
      <c r="V1002" s="19"/>
      <c r="W1002" s="19"/>
      <c r="X1002" s="19"/>
      <c r="Y1002" s="19"/>
      <c r="Z1002" s="19"/>
      <c r="AA1002" s="19"/>
      <c r="AB1002" s="19"/>
      <c r="AC1002" s="19"/>
      <c r="AD1002" s="19"/>
      <c r="AE1002" s="19"/>
    </row>
    <row r="1003" spans="1:31" ht="13.15" x14ac:dyDescent="0.4">
      <c r="A1003" s="19"/>
      <c r="B1003" s="19"/>
      <c r="C1003" s="19"/>
      <c r="D1003" s="19"/>
      <c r="E1003" s="19"/>
      <c r="F1003" s="19"/>
      <c r="G1003" s="19"/>
      <c r="H1003" s="19"/>
      <c r="I1003" s="19"/>
      <c r="J1003" s="19"/>
      <c r="K1003" s="19"/>
      <c r="L1003" s="19"/>
      <c r="M1003" s="19"/>
      <c r="N1003" s="19"/>
      <c r="O1003" s="24"/>
      <c r="P1003" s="19"/>
      <c r="Q1003" s="19"/>
      <c r="R1003" s="19"/>
      <c r="S1003" s="19"/>
      <c r="T1003" s="19"/>
      <c r="U1003" s="19"/>
      <c r="V1003" s="19"/>
      <c r="W1003" s="19"/>
      <c r="X1003" s="19"/>
      <c r="Y1003" s="19"/>
      <c r="Z1003" s="19"/>
      <c r="AA1003" s="19"/>
      <c r="AB1003" s="19"/>
      <c r="AC1003" s="19"/>
      <c r="AD1003" s="19"/>
      <c r="AE1003" s="19"/>
    </row>
    <row r="1004" spans="1:31" ht="13.15" x14ac:dyDescent="0.4">
      <c r="A1004" s="19"/>
      <c r="B1004" s="19"/>
      <c r="C1004" s="19"/>
      <c r="D1004" s="19"/>
      <c r="E1004" s="19"/>
      <c r="F1004" s="19"/>
      <c r="G1004" s="19"/>
      <c r="H1004" s="19"/>
      <c r="I1004" s="19"/>
      <c r="J1004" s="19"/>
      <c r="K1004" s="19"/>
      <c r="L1004" s="19"/>
      <c r="M1004" s="19"/>
      <c r="N1004" s="19"/>
      <c r="O1004" s="24"/>
      <c r="P1004" s="19"/>
      <c r="Q1004" s="19"/>
      <c r="R1004" s="19"/>
      <c r="S1004" s="19"/>
      <c r="T1004" s="19"/>
      <c r="U1004" s="19"/>
      <c r="V1004" s="19"/>
      <c r="W1004" s="19"/>
      <c r="X1004" s="19"/>
      <c r="Y1004" s="19"/>
      <c r="Z1004" s="19"/>
      <c r="AA1004" s="19"/>
      <c r="AB1004" s="19"/>
      <c r="AC1004" s="19"/>
      <c r="AD1004" s="19"/>
      <c r="AE1004" s="19"/>
    </row>
    <row r="1005" spans="1:31" ht="13.15" x14ac:dyDescent="0.4">
      <c r="A1005" s="19"/>
      <c r="B1005" s="19"/>
      <c r="C1005" s="19"/>
      <c r="D1005" s="19"/>
      <c r="E1005" s="19"/>
      <c r="F1005" s="19"/>
      <c r="G1005" s="19"/>
      <c r="H1005" s="19"/>
      <c r="I1005" s="19"/>
      <c r="J1005" s="19"/>
      <c r="K1005" s="19"/>
      <c r="L1005" s="19"/>
      <c r="M1005" s="19"/>
      <c r="N1005" s="19"/>
      <c r="O1005" s="24"/>
      <c r="P1005" s="19"/>
      <c r="Q1005" s="19"/>
      <c r="R1005" s="19"/>
      <c r="S1005" s="19"/>
      <c r="T1005" s="19"/>
      <c r="U1005" s="19"/>
      <c r="V1005" s="19"/>
      <c r="W1005" s="19"/>
      <c r="X1005" s="19"/>
      <c r="Y1005" s="19"/>
      <c r="Z1005" s="19"/>
      <c r="AA1005" s="19"/>
      <c r="AB1005" s="19"/>
      <c r="AC1005" s="19"/>
      <c r="AD1005" s="19"/>
      <c r="AE1005" s="19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AH1002"/>
  <sheetViews>
    <sheetView workbookViewId="0">
      <pane ySplit="1" topLeftCell="A2" activePane="bottomLeft" state="frozen"/>
      <selection pane="bottomLeft" activeCell="B3" sqref="B3"/>
    </sheetView>
  </sheetViews>
  <sheetFormatPr defaultColWidth="12.59765625" defaultRowHeight="15.75" customHeight="1" x14ac:dyDescent="0.35"/>
  <cols>
    <col min="6" max="6" width="19.73046875" customWidth="1"/>
    <col min="7" max="7" width="16.1328125" customWidth="1"/>
    <col min="8" max="8" width="16.3984375" customWidth="1"/>
  </cols>
  <sheetData>
    <row r="1" spans="1:34" ht="15.75" customHeight="1" x14ac:dyDescent="0.4">
      <c r="A1" s="18"/>
      <c r="B1" s="18"/>
      <c r="C1" s="18"/>
      <c r="D1" s="18"/>
      <c r="E1" s="18" t="s">
        <v>0</v>
      </c>
      <c r="F1" s="18" t="s">
        <v>4</v>
      </c>
      <c r="G1" s="18" t="s">
        <v>5</v>
      </c>
      <c r="H1" s="18" t="s">
        <v>6</v>
      </c>
      <c r="I1" s="18" t="s">
        <v>7</v>
      </c>
      <c r="J1" s="18" t="s">
        <v>8</v>
      </c>
      <c r="K1" s="18" t="s">
        <v>9</v>
      </c>
      <c r="L1" s="18" t="s">
        <v>10</v>
      </c>
      <c r="M1" s="18" t="s">
        <v>11</v>
      </c>
      <c r="N1" s="18" t="s">
        <v>12</v>
      </c>
      <c r="O1" s="18" t="s">
        <v>13</v>
      </c>
      <c r="P1" s="18" t="s">
        <v>14</v>
      </c>
      <c r="Q1" s="18" t="s">
        <v>15</v>
      </c>
      <c r="R1" s="18" t="s">
        <v>16</v>
      </c>
      <c r="S1" s="18" t="s">
        <v>17</v>
      </c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</row>
    <row r="2" spans="1:34" ht="15.75" customHeight="1" x14ac:dyDescent="0.4">
      <c r="A2" s="20" t="s">
        <v>3</v>
      </c>
      <c r="B2" s="20" t="s">
        <v>1</v>
      </c>
      <c r="C2" s="19"/>
      <c r="D2" s="19"/>
      <c r="E2" s="19" t="s">
        <v>27</v>
      </c>
      <c r="F2" s="19" t="s">
        <v>75</v>
      </c>
      <c r="G2" s="19" t="s">
        <v>282</v>
      </c>
      <c r="H2" s="19" t="s">
        <v>283</v>
      </c>
      <c r="I2" s="21">
        <v>45355</v>
      </c>
      <c r="J2" s="21">
        <v>45355</v>
      </c>
      <c r="K2" s="19" t="s">
        <v>78</v>
      </c>
      <c r="L2" s="19" t="s">
        <v>113</v>
      </c>
      <c r="M2" s="19" t="s">
        <v>108</v>
      </c>
      <c r="N2" s="19">
        <v>5.5</v>
      </c>
      <c r="O2" s="19" t="s">
        <v>81</v>
      </c>
      <c r="P2" s="19">
        <v>1</v>
      </c>
      <c r="Q2" s="19">
        <v>1.5</v>
      </c>
      <c r="R2" s="19">
        <v>1.5</v>
      </c>
      <c r="S2" s="19">
        <v>1.5</v>
      </c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</row>
    <row r="3" spans="1:34" ht="15.75" customHeight="1" x14ac:dyDescent="0.4">
      <c r="A3" s="19" t="s">
        <v>68</v>
      </c>
      <c r="B3" s="19">
        <f>COUNTIF($H$2:$H1002,"Elizabeth Miranda")</f>
        <v>2</v>
      </c>
      <c r="C3" s="19"/>
      <c r="D3" s="19"/>
      <c r="E3" s="19" t="s">
        <v>27</v>
      </c>
      <c r="F3" s="19" t="s">
        <v>75</v>
      </c>
      <c r="G3" s="19" t="s">
        <v>284</v>
      </c>
      <c r="H3" s="19" t="s">
        <v>283</v>
      </c>
      <c r="I3" s="21">
        <v>45356</v>
      </c>
      <c r="J3" s="21"/>
      <c r="K3" s="19" t="s">
        <v>85</v>
      </c>
      <c r="L3" s="19" t="s">
        <v>113</v>
      </c>
      <c r="M3" s="19" t="s">
        <v>80</v>
      </c>
      <c r="N3" s="19">
        <v>5.5</v>
      </c>
      <c r="O3" s="19" t="s">
        <v>81</v>
      </c>
      <c r="P3" s="19">
        <v>1</v>
      </c>
      <c r="Q3" s="19">
        <v>1.5</v>
      </c>
      <c r="R3" s="19">
        <v>1.5</v>
      </c>
      <c r="S3" s="19">
        <v>1.5</v>
      </c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</row>
    <row r="4" spans="1:34" ht="15.75" customHeight="1" x14ac:dyDescent="0.4">
      <c r="A4" s="19" t="s">
        <v>69</v>
      </c>
      <c r="B4" s="19">
        <f>COUNTIF($H$2:$H1002,"Jeremiah Willis")</f>
        <v>5</v>
      </c>
      <c r="C4" s="19"/>
      <c r="D4" s="19"/>
      <c r="E4" s="19" t="s">
        <v>27</v>
      </c>
      <c r="F4" s="19" t="s">
        <v>75</v>
      </c>
      <c r="G4" s="19" t="s">
        <v>285</v>
      </c>
      <c r="H4" s="19" t="s">
        <v>286</v>
      </c>
      <c r="I4" s="21">
        <v>45355</v>
      </c>
      <c r="J4" s="21"/>
      <c r="K4" s="19" t="s">
        <v>85</v>
      </c>
      <c r="L4" s="19" t="s">
        <v>107</v>
      </c>
      <c r="M4" s="19" t="s">
        <v>95</v>
      </c>
      <c r="N4" s="19">
        <v>6.5</v>
      </c>
      <c r="O4" s="19" t="s">
        <v>97</v>
      </c>
      <c r="P4" s="19">
        <v>1</v>
      </c>
      <c r="Q4" s="19">
        <v>2</v>
      </c>
      <c r="R4" s="19">
        <v>2</v>
      </c>
      <c r="S4" s="19">
        <v>1.5</v>
      </c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</row>
    <row r="5" spans="1:34" ht="15.75" customHeight="1" x14ac:dyDescent="0.4">
      <c r="A5" s="18" t="s">
        <v>29</v>
      </c>
      <c r="B5" s="18">
        <f>SUM(B3:B4)</f>
        <v>7</v>
      </c>
      <c r="C5" s="19"/>
      <c r="D5" s="19"/>
      <c r="E5" s="19" t="s">
        <v>27</v>
      </c>
      <c r="F5" s="19" t="s">
        <v>209</v>
      </c>
      <c r="G5" s="19" t="s">
        <v>287</v>
      </c>
      <c r="H5" s="19" t="s">
        <v>286</v>
      </c>
      <c r="I5" s="21">
        <v>45355</v>
      </c>
      <c r="J5" s="21"/>
      <c r="K5" s="19" t="s">
        <v>78</v>
      </c>
      <c r="L5" s="19" t="s">
        <v>107</v>
      </c>
      <c r="M5" s="19" t="s">
        <v>117</v>
      </c>
      <c r="N5" s="19">
        <v>7</v>
      </c>
      <c r="O5" s="19" t="s">
        <v>97</v>
      </c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</row>
    <row r="6" spans="1:34" ht="15.75" customHeight="1" x14ac:dyDescent="0.4">
      <c r="A6" s="19"/>
      <c r="B6" s="19"/>
      <c r="C6" s="19"/>
      <c r="D6" s="19"/>
      <c r="E6" s="19" t="s">
        <v>27</v>
      </c>
      <c r="F6" s="19" t="s">
        <v>75</v>
      </c>
      <c r="G6" s="19" t="s">
        <v>288</v>
      </c>
      <c r="H6" s="19" t="s">
        <v>286</v>
      </c>
      <c r="I6" s="21">
        <v>45356</v>
      </c>
      <c r="J6" s="21">
        <v>45356</v>
      </c>
      <c r="K6" s="19" t="s">
        <v>85</v>
      </c>
      <c r="L6" s="19" t="s">
        <v>107</v>
      </c>
      <c r="M6" s="19" t="s">
        <v>80</v>
      </c>
      <c r="N6" s="19">
        <v>7</v>
      </c>
      <c r="O6" s="19" t="s">
        <v>97</v>
      </c>
      <c r="P6" s="19">
        <v>1</v>
      </c>
      <c r="Q6" s="19">
        <v>2</v>
      </c>
      <c r="R6" s="19">
        <v>2</v>
      </c>
      <c r="S6" s="19">
        <v>2</v>
      </c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</row>
    <row r="7" spans="1:34" ht="15.75" customHeight="1" x14ac:dyDescent="0.4">
      <c r="A7" s="19"/>
      <c r="B7" s="19"/>
      <c r="C7" s="19"/>
      <c r="D7" s="19"/>
      <c r="E7" s="19" t="s">
        <v>27</v>
      </c>
      <c r="F7" s="19" t="s">
        <v>75</v>
      </c>
      <c r="G7" s="19" t="s">
        <v>289</v>
      </c>
      <c r="H7" s="19" t="s">
        <v>286</v>
      </c>
      <c r="I7" s="21">
        <v>45359</v>
      </c>
      <c r="J7" s="21">
        <v>45359</v>
      </c>
      <c r="K7" s="19" t="s">
        <v>85</v>
      </c>
      <c r="L7" s="19" t="s">
        <v>107</v>
      </c>
      <c r="M7" s="19" t="s">
        <v>108</v>
      </c>
      <c r="N7" s="19">
        <v>6</v>
      </c>
      <c r="O7" s="19" t="s">
        <v>97</v>
      </c>
      <c r="P7" s="19">
        <v>1</v>
      </c>
      <c r="Q7" s="19">
        <v>1.5</v>
      </c>
      <c r="R7" s="19">
        <v>2</v>
      </c>
      <c r="S7" s="19">
        <v>1.5</v>
      </c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</row>
    <row r="8" spans="1:34" ht="15.75" customHeight="1" x14ac:dyDescent="0.4">
      <c r="A8" s="20" t="s">
        <v>13</v>
      </c>
      <c r="B8" s="20" t="s">
        <v>104</v>
      </c>
      <c r="C8" s="20" t="s">
        <v>105</v>
      </c>
      <c r="D8" s="19"/>
      <c r="E8" s="19" t="s">
        <v>27</v>
      </c>
      <c r="F8" s="19" t="s">
        <v>75</v>
      </c>
      <c r="G8" s="19" t="s">
        <v>288</v>
      </c>
      <c r="H8" s="19" t="s">
        <v>286</v>
      </c>
      <c r="I8" s="21">
        <v>45359</v>
      </c>
      <c r="J8" s="21">
        <v>45359</v>
      </c>
      <c r="K8" s="19" t="s">
        <v>78</v>
      </c>
      <c r="L8" s="19" t="s">
        <v>107</v>
      </c>
      <c r="M8" s="19" t="s">
        <v>80</v>
      </c>
      <c r="N8" s="19">
        <v>7</v>
      </c>
      <c r="O8" s="19" t="s">
        <v>97</v>
      </c>
      <c r="P8" s="19">
        <v>1</v>
      </c>
      <c r="Q8" s="19">
        <v>2</v>
      </c>
      <c r="R8" s="19">
        <v>2</v>
      </c>
      <c r="S8" s="19">
        <v>2</v>
      </c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</row>
    <row r="9" spans="1:34" ht="15.75" customHeight="1" x14ac:dyDescent="0.4">
      <c r="A9" s="19" t="s">
        <v>109</v>
      </c>
      <c r="B9" s="22">
        <f>C9/B5</f>
        <v>0.7142857142857143</v>
      </c>
      <c r="C9" s="19">
        <f>(COUNTIF($O$2:$O1002,"Proficient I"))+(COUNTIF($O$2:$O1002,"Proficient II"))+(COUNTIF($O$2:$O1002,"Exemplary"))</f>
        <v>5</v>
      </c>
      <c r="D9" s="19"/>
      <c r="E9" s="19"/>
      <c r="F9" s="19"/>
      <c r="G9" s="19"/>
      <c r="H9" s="19"/>
      <c r="I9" s="21"/>
      <c r="J9" s="21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</row>
    <row r="10" spans="1:34" ht="15.75" customHeight="1" x14ac:dyDescent="0.4">
      <c r="A10" s="19" t="s">
        <v>111</v>
      </c>
      <c r="B10" s="22">
        <f>C10/B5</f>
        <v>0.2857142857142857</v>
      </c>
      <c r="C10" s="19">
        <f>(COUNTIF($O$2:$O1002,"Unsatisfactory"))+(COUNTIF($O$2:$O1002,"Progressing"))</f>
        <v>2</v>
      </c>
      <c r="D10" s="19"/>
      <c r="E10" s="19"/>
      <c r="F10" s="19"/>
      <c r="G10" s="19"/>
      <c r="H10" s="19"/>
      <c r="I10" s="21"/>
      <c r="J10" s="21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</row>
    <row r="11" spans="1:34" ht="15.75" customHeight="1" x14ac:dyDescent="0.4">
      <c r="A11" s="19"/>
      <c r="B11" s="19"/>
      <c r="C11" s="19"/>
      <c r="D11" s="19"/>
      <c r="E11" s="19"/>
      <c r="F11" s="19"/>
      <c r="G11" s="19"/>
      <c r="H11" s="19"/>
      <c r="I11" s="21"/>
      <c r="J11" s="21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</row>
    <row r="12" spans="1:34" ht="15.75" customHeight="1" x14ac:dyDescent="0.4">
      <c r="A12" s="19"/>
      <c r="B12" s="19"/>
      <c r="C12" s="19"/>
      <c r="D12" s="19"/>
      <c r="E12" s="19"/>
      <c r="F12" s="19"/>
      <c r="G12" s="19"/>
      <c r="H12" s="19"/>
      <c r="I12" s="21"/>
      <c r="J12" s="21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</row>
    <row r="13" spans="1:34" ht="15.75" customHeight="1" x14ac:dyDescent="0.4">
      <c r="A13" s="19"/>
      <c r="B13" s="19"/>
      <c r="C13" s="19"/>
      <c r="D13" s="19"/>
      <c r="E13" s="19"/>
      <c r="F13" s="19"/>
      <c r="G13" s="19"/>
      <c r="H13" s="19"/>
      <c r="I13" s="21"/>
      <c r="J13" s="21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</row>
    <row r="14" spans="1:34" ht="15.75" customHeight="1" x14ac:dyDescent="0.4">
      <c r="A14" s="19"/>
      <c r="B14" s="19"/>
      <c r="C14" s="19"/>
      <c r="D14" s="19"/>
      <c r="E14" s="19"/>
      <c r="F14" s="19"/>
      <c r="G14" s="19"/>
      <c r="H14" s="19"/>
      <c r="I14" s="21"/>
      <c r="J14" s="21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</row>
    <row r="15" spans="1:34" ht="15.75" customHeight="1" x14ac:dyDescent="0.4">
      <c r="A15" s="19"/>
      <c r="B15" s="19"/>
      <c r="C15" s="19"/>
      <c r="D15" s="19"/>
      <c r="E15" s="19"/>
      <c r="F15" s="19"/>
      <c r="G15" s="19"/>
      <c r="H15" s="19"/>
      <c r="I15" s="21"/>
      <c r="J15" s="21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</row>
    <row r="16" spans="1:34" ht="15.75" customHeight="1" x14ac:dyDescent="0.4">
      <c r="A16" s="19"/>
      <c r="B16" s="19"/>
      <c r="C16" s="19"/>
      <c r="D16" s="19"/>
      <c r="E16" s="19"/>
      <c r="F16" s="19"/>
      <c r="G16" s="19"/>
      <c r="H16" s="19"/>
      <c r="I16" s="21"/>
      <c r="J16" s="21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</row>
    <row r="17" spans="1:34" ht="15.75" customHeight="1" x14ac:dyDescent="0.4">
      <c r="A17" s="19"/>
      <c r="B17" s="19"/>
      <c r="C17" s="19"/>
      <c r="D17" s="19"/>
      <c r="E17" s="19"/>
      <c r="F17" s="19"/>
      <c r="G17" s="19"/>
      <c r="H17" s="19"/>
      <c r="I17" s="21"/>
      <c r="J17" s="21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</row>
    <row r="18" spans="1:34" ht="15.75" customHeight="1" x14ac:dyDescent="0.4">
      <c r="A18" s="19"/>
      <c r="B18" s="19"/>
      <c r="C18" s="19"/>
      <c r="D18" s="19"/>
      <c r="E18" s="19"/>
      <c r="F18" s="19"/>
      <c r="G18" s="19"/>
      <c r="H18" s="19"/>
      <c r="I18" s="21"/>
      <c r="J18" s="21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</row>
    <row r="19" spans="1:34" ht="15.75" customHeight="1" x14ac:dyDescent="0.4">
      <c r="A19" s="19"/>
      <c r="B19" s="19"/>
      <c r="C19" s="19"/>
      <c r="D19" s="19"/>
      <c r="E19" s="19"/>
      <c r="F19" s="19"/>
      <c r="G19" s="19"/>
      <c r="H19" s="19"/>
      <c r="I19" s="21"/>
      <c r="J19" s="21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</row>
    <row r="20" spans="1:34" ht="15.75" customHeight="1" x14ac:dyDescent="0.4">
      <c r="A20" s="19"/>
      <c r="B20" s="19"/>
      <c r="C20" s="19"/>
      <c r="D20" s="19"/>
      <c r="E20" s="19"/>
      <c r="F20" s="19"/>
      <c r="G20" s="19"/>
      <c r="H20" s="19"/>
      <c r="I20" s="21"/>
      <c r="J20" s="21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</row>
    <row r="21" spans="1:34" ht="15.75" customHeight="1" x14ac:dyDescent="0.4">
      <c r="A21" s="19"/>
      <c r="B21" s="19"/>
      <c r="C21" s="19"/>
      <c r="D21" s="19"/>
      <c r="E21" s="19"/>
      <c r="F21" s="19"/>
      <c r="G21" s="19"/>
      <c r="H21" s="19"/>
      <c r="I21" s="21"/>
      <c r="J21" s="21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</row>
    <row r="22" spans="1:34" ht="15.75" customHeight="1" x14ac:dyDescent="0.4">
      <c r="A22" s="19"/>
      <c r="B22" s="19"/>
      <c r="C22" s="19"/>
      <c r="D22" s="19"/>
      <c r="E22" s="19"/>
      <c r="F22" s="19"/>
      <c r="G22" s="19"/>
      <c r="H22" s="19"/>
      <c r="I22" s="21"/>
      <c r="J22" s="21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</row>
    <row r="23" spans="1:34" ht="15.75" customHeight="1" x14ac:dyDescent="0.4">
      <c r="A23" s="19"/>
      <c r="B23" s="19"/>
      <c r="C23" s="19"/>
      <c r="D23" s="19"/>
      <c r="E23" s="19"/>
      <c r="F23" s="19"/>
      <c r="G23" s="19"/>
      <c r="H23" s="19"/>
      <c r="I23" s="21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</row>
    <row r="24" spans="1:34" ht="15.75" customHeight="1" x14ac:dyDescent="0.4">
      <c r="A24" s="19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</row>
    <row r="25" spans="1:34" ht="15.75" customHeight="1" x14ac:dyDescent="0.4">
      <c r="A25" s="19"/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</row>
    <row r="26" spans="1:34" ht="15.75" customHeight="1" x14ac:dyDescent="0.4">
      <c r="A26" s="19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</row>
    <row r="27" spans="1:34" ht="15.75" customHeight="1" x14ac:dyDescent="0.4">
      <c r="A27" s="19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</row>
    <row r="28" spans="1:34" ht="15.75" customHeight="1" x14ac:dyDescent="0.4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</row>
    <row r="29" spans="1:34" ht="15.75" customHeight="1" x14ac:dyDescent="0.4">
      <c r="A29" s="19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</row>
    <row r="30" spans="1:34" ht="15.75" customHeight="1" x14ac:dyDescent="0.4">
      <c r="A30" s="19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</row>
    <row r="31" spans="1:34" ht="15.75" customHeight="1" x14ac:dyDescent="0.4">
      <c r="A31" s="19"/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</row>
    <row r="32" spans="1:34" ht="15.75" customHeight="1" x14ac:dyDescent="0.4">
      <c r="A32" s="19"/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</row>
    <row r="33" spans="1:34" ht="15.75" customHeight="1" x14ac:dyDescent="0.4">
      <c r="A33" s="19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</row>
    <row r="34" spans="1:34" ht="15.75" customHeight="1" x14ac:dyDescent="0.4">
      <c r="A34" s="19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</row>
    <row r="35" spans="1:34" ht="13.15" x14ac:dyDescent="0.4">
      <c r="A35" s="19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</row>
    <row r="36" spans="1:34" ht="13.15" x14ac:dyDescent="0.4">
      <c r="A36" s="19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</row>
    <row r="37" spans="1:34" ht="13.15" x14ac:dyDescent="0.4">
      <c r="A37" s="19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</row>
    <row r="38" spans="1:34" ht="13.15" x14ac:dyDescent="0.4">
      <c r="A38" s="19"/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</row>
    <row r="39" spans="1:34" ht="13.15" x14ac:dyDescent="0.4">
      <c r="A39" s="19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</row>
    <row r="40" spans="1:34" ht="13.15" x14ac:dyDescent="0.4">
      <c r="A40" s="19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</row>
    <row r="41" spans="1:34" ht="13.15" x14ac:dyDescent="0.4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</row>
    <row r="42" spans="1:34" ht="13.15" x14ac:dyDescent="0.4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</row>
    <row r="43" spans="1:34" ht="13.15" x14ac:dyDescent="0.4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</row>
    <row r="44" spans="1:34" ht="13.15" x14ac:dyDescent="0.4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</row>
    <row r="45" spans="1:34" ht="13.15" x14ac:dyDescent="0.4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</row>
    <row r="46" spans="1:34" ht="13.15" x14ac:dyDescent="0.4">
      <c r="A46" s="19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</row>
    <row r="47" spans="1:34" ht="13.15" x14ac:dyDescent="0.4">
      <c r="A47" s="19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</row>
    <row r="48" spans="1:34" ht="13.15" x14ac:dyDescent="0.4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</row>
    <row r="49" spans="1:34" ht="13.15" x14ac:dyDescent="0.4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</row>
    <row r="50" spans="1:34" ht="13.15" x14ac:dyDescent="0.4">
      <c r="A50" s="19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</row>
    <row r="51" spans="1:34" ht="13.15" x14ac:dyDescent="0.4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</row>
    <row r="52" spans="1:34" ht="13.15" x14ac:dyDescent="0.4">
      <c r="A52" s="19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</row>
    <row r="53" spans="1:34" ht="13.15" x14ac:dyDescent="0.4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</row>
    <row r="54" spans="1:34" ht="13.15" x14ac:dyDescent="0.4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</row>
    <row r="55" spans="1:34" ht="13.15" x14ac:dyDescent="0.4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</row>
    <row r="56" spans="1:34" ht="13.15" x14ac:dyDescent="0.4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</row>
    <row r="57" spans="1:34" ht="13.15" x14ac:dyDescent="0.4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</row>
    <row r="58" spans="1:34" ht="13.15" x14ac:dyDescent="0.4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</row>
    <row r="59" spans="1:34" ht="13.15" x14ac:dyDescent="0.4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</row>
    <row r="60" spans="1:34" ht="13.15" x14ac:dyDescent="0.4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</row>
    <row r="61" spans="1:34" ht="13.15" x14ac:dyDescent="0.4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</row>
    <row r="62" spans="1:34" ht="13.15" x14ac:dyDescent="0.4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</row>
    <row r="63" spans="1:34" ht="13.15" x14ac:dyDescent="0.4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</row>
    <row r="64" spans="1:34" ht="13.15" x14ac:dyDescent="0.4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</row>
    <row r="65" spans="1:34" ht="13.15" x14ac:dyDescent="0.4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</row>
    <row r="66" spans="1:34" ht="13.15" x14ac:dyDescent="0.4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</row>
    <row r="67" spans="1:34" ht="13.15" x14ac:dyDescent="0.4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</row>
    <row r="68" spans="1:34" ht="13.15" x14ac:dyDescent="0.4">
      <c r="A68" s="19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</row>
    <row r="69" spans="1:34" ht="13.15" x14ac:dyDescent="0.4">
      <c r="A69" s="19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</row>
    <row r="70" spans="1:34" ht="13.15" x14ac:dyDescent="0.4">
      <c r="A70" s="19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</row>
    <row r="71" spans="1:34" ht="13.15" x14ac:dyDescent="0.4">
      <c r="A71" s="19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</row>
    <row r="72" spans="1:34" ht="13.15" x14ac:dyDescent="0.4">
      <c r="A72" s="19"/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</row>
    <row r="73" spans="1:34" ht="13.15" x14ac:dyDescent="0.4">
      <c r="A73" s="19"/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</row>
    <row r="74" spans="1:34" ht="13.15" x14ac:dyDescent="0.4">
      <c r="A74" s="19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</row>
    <row r="75" spans="1:34" ht="13.15" x14ac:dyDescent="0.4">
      <c r="A75" s="19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</row>
    <row r="76" spans="1:34" ht="13.15" x14ac:dyDescent="0.4">
      <c r="A76" s="19"/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</row>
    <row r="77" spans="1:34" ht="13.15" x14ac:dyDescent="0.4">
      <c r="A77" s="19"/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</row>
    <row r="78" spans="1:34" ht="13.15" x14ac:dyDescent="0.4">
      <c r="A78" s="19"/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</row>
    <row r="79" spans="1:34" ht="13.15" x14ac:dyDescent="0.4">
      <c r="A79" s="19"/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</row>
    <row r="80" spans="1:34" ht="13.15" x14ac:dyDescent="0.4">
      <c r="A80" s="19"/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</row>
    <row r="81" spans="1:34" ht="13.15" x14ac:dyDescent="0.4">
      <c r="A81" s="19"/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</row>
    <row r="82" spans="1:34" ht="13.15" x14ac:dyDescent="0.4">
      <c r="A82" s="19"/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</row>
    <row r="83" spans="1:34" ht="13.15" x14ac:dyDescent="0.4">
      <c r="A83" s="19"/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</row>
    <row r="84" spans="1:34" ht="13.15" x14ac:dyDescent="0.4">
      <c r="A84" s="19"/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</row>
    <row r="85" spans="1:34" ht="13.15" x14ac:dyDescent="0.4">
      <c r="A85" s="19"/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</row>
    <row r="86" spans="1:34" ht="13.15" x14ac:dyDescent="0.4">
      <c r="A86" s="19"/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</row>
    <row r="87" spans="1:34" ht="13.15" x14ac:dyDescent="0.4">
      <c r="A87" s="19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</row>
    <row r="88" spans="1:34" ht="13.15" x14ac:dyDescent="0.4">
      <c r="A88" s="19"/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</row>
    <row r="89" spans="1:34" ht="13.15" x14ac:dyDescent="0.4">
      <c r="A89" s="19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</row>
    <row r="90" spans="1:34" ht="13.15" x14ac:dyDescent="0.4">
      <c r="A90" s="19"/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</row>
    <row r="91" spans="1:34" ht="13.15" x14ac:dyDescent="0.4">
      <c r="A91" s="19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</row>
    <row r="92" spans="1:34" ht="13.15" x14ac:dyDescent="0.4">
      <c r="A92" s="19"/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</row>
    <row r="93" spans="1:34" ht="13.15" x14ac:dyDescent="0.4">
      <c r="A93" s="19"/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</row>
    <row r="94" spans="1:34" ht="13.15" x14ac:dyDescent="0.4">
      <c r="A94" s="19"/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</row>
    <row r="95" spans="1:34" ht="13.15" x14ac:dyDescent="0.4">
      <c r="A95" s="19"/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</row>
    <row r="96" spans="1:34" ht="13.15" x14ac:dyDescent="0.4">
      <c r="A96" s="19"/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</row>
    <row r="97" spans="1:34" ht="13.15" x14ac:dyDescent="0.4">
      <c r="A97" s="19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</row>
    <row r="98" spans="1:34" ht="13.15" x14ac:dyDescent="0.4">
      <c r="A98" s="19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</row>
    <row r="99" spans="1:34" ht="13.15" x14ac:dyDescent="0.4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</row>
    <row r="100" spans="1:34" ht="13.15" x14ac:dyDescent="0.4">
      <c r="A100" s="19"/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</row>
    <row r="101" spans="1:34" ht="13.15" x14ac:dyDescent="0.4">
      <c r="A101" s="19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</row>
    <row r="102" spans="1:34" ht="13.15" x14ac:dyDescent="0.4">
      <c r="A102" s="19"/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</row>
    <row r="103" spans="1:34" ht="13.15" x14ac:dyDescent="0.4">
      <c r="A103" s="19"/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</row>
    <row r="104" spans="1:34" ht="13.15" x14ac:dyDescent="0.4">
      <c r="A104" s="19"/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</row>
    <row r="105" spans="1:34" ht="13.15" x14ac:dyDescent="0.4">
      <c r="A105" s="19"/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</row>
    <row r="106" spans="1:34" ht="13.15" x14ac:dyDescent="0.4">
      <c r="A106" s="19"/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</row>
    <row r="107" spans="1:34" ht="13.15" x14ac:dyDescent="0.4">
      <c r="A107" s="19"/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</row>
    <row r="108" spans="1:34" ht="13.15" x14ac:dyDescent="0.4">
      <c r="A108" s="19"/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</row>
    <row r="109" spans="1:34" ht="13.15" x14ac:dyDescent="0.4">
      <c r="A109" s="19"/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</row>
    <row r="110" spans="1:34" ht="13.15" x14ac:dyDescent="0.4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</row>
    <row r="111" spans="1:34" ht="13.15" x14ac:dyDescent="0.4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</row>
    <row r="112" spans="1:34" ht="13.15" x14ac:dyDescent="0.4">
      <c r="A112" s="19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</row>
    <row r="113" spans="1:34" ht="13.15" x14ac:dyDescent="0.4">
      <c r="A113" s="19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</row>
    <row r="114" spans="1:34" ht="13.15" x14ac:dyDescent="0.4">
      <c r="A114" s="19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</row>
    <row r="115" spans="1:34" ht="13.15" x14ac:dyDescent="0.4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</row>
    <row r="116" spans="1:34" ht="13.15" x14ac:dyDescent="0.4">
      <c r="A116" s="19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</row>
    <row r="117" spans="1:34" ht="13.15" x14ac:dyDescent="0.4">
      <c r="A117" s="19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</row>
    <row r="118" spans="1:34" ht="13.15" x14ac:dyDescent="0.4">
      <c r="A118" s="19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</row>
    <row r="119" spans="1:34" ht="13.15" x14ac:dyDescent="0.4">
      <c r="A119" s="19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</row>
    <row r="120" spans="1:34" ht="13.15" x14ac:dyDescent="0.4">
      <c r="A120" s="19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</row>
    <row r="121" spans="1:34" ht="13.15" x14ac:dyDescent="0.4">
      <c r="A121" s="19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</row>
    <row r="122" spans="1:34" ht="13.15" x14ac:dyDescent="0.4">
      <c r="A122" s="19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</row>
    <row r="123" spans="1:34" ht="13.15" x14ac:dyDescent="0.4">
      <c r="A123" s="19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</row>
    <row r="124" spans="1:34" ht="13.15" x14ac:dyDescent="0.4">
      <c r="A124" s="19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</row>
    <row r="125" spans="1:34" ht="13.15" x14ac:dyDescent="0.4">
      <c r="A125" s="19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</row>
    <row r="126" spans="1:34" ht="13.15" x14ac:dyDescent="0.4">
      <c r="A126" s="19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</row>
    <row r="127" spans="1:34" ht="13.15" x14ac:dyDescent="0.4">
      <c r="A127" s="19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</row>
    <row r="128" spans="1:34" ht="13.15" x14ac:dyDescent="0.4">
      <c r="A128" s="19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</row>
    <row r="129" spans="1:34" ht="13.15" x14ac:dyDescent="0.4">
      <c r="A129" s="19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</row>
    <row r="130" spans="1:34" ht="13.15" x14ac:dyDescent="0.4">
      <c r="A130" s="19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</row>
    <row r="131" spans="1:34" ht="13.15" x14ac:dyDescent="0.4">
      <c r="A131" s="19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</row>
    <row r="132" spans="1:34" ht="13.15" x14ac:dyDescent="0.4">
      <c r="A132" s="19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</row>
    <row r="133" spans="1:34" ht="13.15" x14ac:dyDescent="0.4">
      <c r="A133" s="19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</row>
    <row r="134" spans="1:34" ht="13.15" x14ac:dyDescent="0.4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</row>
    <row r="135" spans="1:34" ht="13.15" x14ac:dyDescent="0.4">
      <c r="A135" s="19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</row>
    <row r="136" spans="1:34" ht="13.15" x14ac:dyDescent="0.4">
      <c r="A136" s="19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</row>
    <row r="137" spans="1:34" ht="13.15" x14ac:dyDescent="0.4">
      <c r="A137" s="19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</row>
    <row r="138" spans="1:34" ht="13.15" x14ac:dyDescent="0.4">
      <c r="A138" s="19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</row>
    <row r="139" spans="1:34" ht="13.15" x14ac:dyDescent="0.4">
      <c r="A139" s="19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</row>
    <row r="140" spans="1:34" ht="13.15" x14ac:dyDescent="0.4">
      <c r="A140" s="19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</row>
    <row r="141" spans="1:34" ht="13.15" x14ac:dyDescent="0.4">
      <c r="A141" s="19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</row>
    <row r="142" spans="1:34" ht="13.15" x14ac:dyDescent="0.4">
      <c r="A142" s="19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</row>
    <row r="143" spans="1:34" ht="13.15" x14ac:dyDescent="0.4">
      <c r="A143" s="19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</row>
    <row r="144" spans="1:34" ht="13.15" x14ac:dyDescent="0.4">
      <c r="A144" s="19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</row>
    <row r="145" spans="1:34" ht="13.15" x14ac:dyDescent="0.4">
      <c r="A145" s="19"/>
      <c r="B145" s="19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</row>
    <row r="146" spans="1:34" ht="13.15" x14ac:dyDescent="0.4">
      <c r="A146" s="19"/>
      <c r="B146" s="19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</row>
    <row r="147" spans="1:34" ht="13.15" x14ac:dyDescent="0.4">
      <c r="A147" s="19"/>
      <c r="B147" s="19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</row>
    <row r="148" spans="1:34" ht="13.15" x14ac:dyDescent="0.4">
      <c r="A148" s="19"/>
      <c r="B148" s="19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</row>
    <row r="149" spans="1:34" ht="13.15" x14ac:dyDescent="0.4">
      <c r="A149" s="19"/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</row>
    <row r="150" spans="1:34" ht="13.15" x14ac:dyDescent="0.4">
      <c r="A150" s="19"/>
      <c r="B150" s="19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</row>
    <row r="151" spans="1:34" ht="13.15" x14ac:dyDescent="0.4">
      <c r="A151" s="19"/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</row>
    <row r="152" spans="1:34" ht="13.15" x14ac:dyDescent="0.4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</row>
    <row r="153" spans="1:34" ht="13.15" x14ac:dyDescent="0.4">
      <c r="A153" s="19"/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</row>
    <row r="154" spans="1:34" ht="13.15" x14ac:dyDescent="0.4">
      <c r="A154" s="19"/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/>
      <c r="AD154" s="19"/>
      <c r="AE154" s="19"/>
      <c r="AF154" s="19"/>
      <c r="AG154" s="19"/>
      <c r="AH154" s="19"/>
    </row>
    <row r="155" spans="1:34" ht="13.15" x14ac:dyDescent="0.4">
      <c r="A155" s="19"/>
      <c r="B155" s="19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</row>
    <row r="156" spans="1:34" ht="13.15" x14ac:dyDescent="0.4">
      <c r="A156" s="19"/>
      <c r="B156" s="19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</row>
    <row r="157" spans="1:34" ht="13.15" x14ac:dyDescent="0.4">
      <c r="A157" s="19"/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  <c r="AE157" s="19"/>
      <c r="AF157" s="19"/>
      <c r="AG157" s="19"/>
      <c r="AH157" s="19"/>
    </row>
    <row r="158" spans="1:34" ht="13.15" x14ac:dyDescent="0.4">
      <c r="A158" s="19"/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</row>
    <row r="159" spans="1:34" ht="13.15" x14ac:dyDescent="0.4">
      <c r="A159" s="19"/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</row>
    <row r="160" spans="1:34" ht="13.15" x14ac:dyDescent="0.4">
      <c r="A160" s="19"/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  <c r="AC160" s="19"/>
      <c r="AD160" s="19"/>
      <c r="AE160" s="19"/>
      <c r="AF160" s="19"/>
      <c r="AG160" s="19"/>
      <c r="AH160" s="19"/>
    </row>
    <row r="161" spans="1:34" ht="13.15" x14ac:dyDescent="0.4">
      <c r="A161" s="19"/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  <c r="AC161" s="19"/>
      <c r="AD161" s="19"/>
      <c r="AE161" s="19"/>
      <c r="AF161" s="19"/>
      <c r="AG161" s="19"/>
      <c r="AH161" s="19"/>
    </row>
    <row r="162" spans="1:34" ht="13.15" x14ac:dyDescent="0.4">
      <c r="A162" s="19"/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</row>
    <row r="163" spans="1:34" ht="13.15" x14ac:dyDescent="0.4">
      <c r="A163" s="19"/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  <c r="AC163" s="19"/>
      <c r="AD163" s="19"/>
      <c r="AE163" s="19"/>
      <c r="AF163" s="19"/>
      <c r="AG163" s="19"/>
      <c r="AH163" s="19"/>
    </row>
    <row r="164" spans="1:34" ht="13.15" x14ac:dyDescent="0.4">
      <c r="A164" s="19"/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  <c r="AC164" s="19"/>
      <c r="AD164" s="19"/>
      <c r="AE164" s="19"/>
      <c r="AF164" s="19"/>
      <c r="AG164" s="19"/>
      <c r="AH164" s="19"/>
    </row>
    <row r="165" spans="1:34" ht="13.15" x14ac:dyDescent="0.4">
      <c r="A165" s="19"/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</row>
    <row r="166" spans="1:34" ht="13.15" x14ac:dyDescent="0.4">
      <c r="A166" s="19"/>
      <c r="B166" s="19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  <c r="AC166" s="19"/>
      <c r="AD166" s="19"/>
      <c r="AE166" s="19"/>
      <c r="AF166" s="19"/>
      <c r="AG166" s="19"/>
      <c r="AH166" s="19"/>
    </row>
    <row r="167" spans="1:34" ht="13.15" x14ac:dyDescent="0.4">
      <c r="A167" s="19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</row>
    <row r="168" spans="1:34" ht="13.15" x14ac:dyDescent="0.4">
      <c r="A168" s="19"/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</row>
    <row r="169" spans="1:34" ht="13.15" x14ac:dyDescent="0.4">
      <c r="A169" s="19"/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</row>
    <row r="170" spans="1:34" ht="13.15" x14ac:dyDescent="0.4">
      <c r="A170" s="19"/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</row>
    <row r="171" spans="1:34" ht="13.15" x14ac:dyDescent="0.4">
      <c r="A171" s="19"/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</row>
    <row r="172" spans="1:34" ht="13.15" x14ac:dyDescent="0.4">
      <c r="A172" s="19"/>
      <c r="B172" s="19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</row>
    <row r="173" spans="1:34" ht="13.15" x14ac:dyDescent="0.4">
      <c r="A173" s="19"/>
      <c r="B173" s="19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</row>
    <row r="174" spans="1:34" ht="13.15" x14ac:dyDescent="0.4">
      <c r="A174" s="19"/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</row>
    <row r="175" spans="1:34" ht="13.15" x14ac:dyDescent="0.4">
      <c r="A175" s="19"/>
      <c r="B175" s="19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</row>
    <row r="176" spans="1:34" ht="13.15" x14ac:dyDescent="0.4">
      <c r="A176" s="19"/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</row>
    <row r="177" spans="1:34" ht="13.15" x14ac:dyDescent="0.4">
      <c r="A177" s="19"/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  <c r="AE177" s="19"/>
      <c r="AF177" s="19"/>
      <c r="AG177" s="19"/>
      <c r="AH177" s="19"/>
    </row>
    <row r="178" spans="1:34" ht="13.15" x14ac:dyDescent="0.4">
      <c r="A178" s="19"/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</row>
    <row r="179" spans="1:34" ht="13.15" x14ac:dyDescent="0.4">
      <c r="A179" s="19"/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  <c r="AF179" s="19"/>
      <c r="AG179" s="19"/>
      <c r="AH179" s="19"/>
    </row>
    <row r="180" spans="1:34" ht="13.15" x14ac:dyDescent="0.4">
      <c r="A180" s="19"/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  <c r="AE180" s="19"/>
      <c r="AF180" s="19"/>
      <c r="AG180" s="19"/>
      <c r="AH180" s="19"/>
    </row>
    <row r="181" spans="1:34" ht="13.15" x14ac:dyDescent="0.4">
      <c r="A181" s="19"/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</row>
    <row r="182" spans="1:34" ht="13.15" x14ac:dyDescent="0.4">
      <c r="A182" s="19"/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</row>
    <row r="183" spans="1:34" ht="13.15" x14ac:dyDescent="0.4">
      <c r="A183" s="19"/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</row>
    <row r="184" spans="1:34" ht="13.15" x14ac:dyDescent="0.4">
      <c r="A184" s="19"/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</row>
    <row r="185" spans="1:34" ht="13.15" x14ac:dyDescent="0.4">
      <c r="A185" s="19"/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</row>
    <row r="186" spans="1:34" ht="13.15" x14ac:dyDescent="0.4">
      <c r="A186" s="19"/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</row>
    <row r="187" spans="1:34" ht="13.15" x14ac:dyDescent="0.4">
      <c r="A187" s="19"/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</row>
    <row r="188" spans="1:34" ht="13.15" x14ac:dyDescent="0.4">
      <c r="A188" s="19"/>
      <c r="B188" s="19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</row>
    <row r="189" spans="1:34" ht="13.15" x14ac:dyDescent="0.4">
      <c r="A189" s="19"/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</row>
    <row r="190" spans="1:34" ht="13.15" x14ac:dyDescent="0.4">
      <c r="A190" s="19"/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</row>
    <row r="191" spans="1:34" ht="13.15" x14ac:dyDescent="0.4">
      <c r="A191" s="19"/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</row>
    <row r="192" spans="1:34" ht="13.15" x14ac:dyDescent="0.4">
      <c r="A192" s="19"/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</row>
    <row r="193" spans="1:34" ht="13.15" x14ac:dyDescent="0.4">
      <c r="A193" s="19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</row>
    <row r="194" spans="1:34" ht="13.15" x14ac:dyDescent="0.4">
      <c r="A194" s="19"/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</row>
    <row r="195" spans="1:34" ht="13.15" x14ac:dyDescent="0.4">
      <c r="A195" s="19"/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</row>
    <row r="196" spans="1:34" ht="13.15" x14ac:dyDescent="0.4">
      <c r="A196" s="19"/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</row>
    <row r="197" spans="1:34" ht="13.15" x14ac:dyDescent="0.4">
      <c r="A197" s="19"/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</row>
    <row r="198" spans="1:34" ht="13.15" x14ac:dyDescent="0.4">
      <c r="A198" s="19"/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</row>
    <row r="199" spans="1:34" ht="13.15" x14ac:dyDescent="0.4">
      <c r="A199" s="19"/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</row>
    <row r="200" spans="1:34" ht="13.15" x14ac:dyDescent="0.4">
      <c r="A200" s="19"/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</row>
    <row r="201" spans="1:34" ht="13.15" x14ac:dyDescent="0.4">
      <c r="A201" s="19"/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</row>
    <row r="202" spans="1:34" ht="13.15" x14ac:dyDescent="0.4">
      <c r="A202" s="19"/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</row>
    <row r="203" spans="1:34" ht="13.15" x14ac:dyDescent="0.4">
      <c r="A203" s="19"/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</row>
    <row r="204" spans="1:34" ht="13.15" x14ac:dyDescent="0.4">
      <c r="A204" s="19"/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</row>
    <row r="205" spans="1:34" ht="13.15" x14ac:dyDescent="0.4">
      <c r="A205" s="19"/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</row>
    <row r="206" spans="1:34" ht="13.15" x14ac:dyDescent="0.4">
      <c r="A206" s="19"/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</row>
    <row r="207" spans="1:34" ht="13.15" x14ac:dyDescent="0.4">
      <c r="A207" s="19"/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</row>
    <row r="208" spans="1:34" ht="13.15" x14ac:dyDescent="0.4">
      <c r="A208" s="19"/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</row>
    <row r="209" spans="1:34" ht="13.15" x14ac:dyDescent="0.4">
      <c r="A209" s="19"/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</row>
    <row r="210" spans="1:34" ht="13.15" x14ac:dyDescent="0.4">
      <c r="A210" s="19"/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</row>
    <row r="211" spans="1:34" ht="13.15" x14ac:dyDescent="0.4">
      <c r="A211" s="19"/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</row>
    <row r="212" spans="1:34" ht="13.15" x14ac:dyDescent="0.4">
      <c r="A212" s="19"/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</row>
    <row r="213" spans="1:34" ht="13.15" x14ac:dyDescent="0.4">
      <c r="A213" s="19"/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</row>
    <row r="214" spans="1:34" ht="13.15" x14ac:dyDescent="0.4">
      <c r="A214" s="19"/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</row>
    <row r="215" spans="1:34" ht="13.15" x14ac:dyDescent="0.4">
      <c r="A215" s="19"/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  <c r="AF215" s="19"/>
      <c r="AG215" s="19"/>
      <c r="AH215" s="19"/>
    </row>
    <row r="216" spans="1:34" ht="13.15" x14ac:dyDescent="0.4">
      <c r="A216" s="19"/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</row>
    <row r="217" spans="1:34" ht="13.15" x14ac:dyDescent="0.4">
      <c r="A217" s="19"/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</row>
    <row r="218" spans="1:34" ht="13.15" x14ac:dyDescent="0.4">
      <c r="A218" s="19"/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</row>
    <row r="219" spans="1:34" ht="13.15" x14ac:dyDescent="0.4">
      <c r="A219" s="19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</row>
    <row r="220" spans="1:34" ht="13.15" x14ac:dyDescent="0.4">
      <c r="A220" s="19"/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</row>
    <row r="221" spans="1:34" ht="13.15" x14ac:dyDescent="0.4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</row>
    <row r="222" spans="1:34" ht="13.15" x14ac:dyDescent="0.4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</row>
    <row r="223" spans="1:34" ht="13.15" x14ac:dyDescent="0.4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</row>
    <row r="224" spans="1:34" ht="13.15" x14ac:dyDescent="0.4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</row>
    <row r="225" spans="1:34" ht="13.15" x14ac:dyDescent="0.4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  <c r="AH225" s="19"/>
    </row>
    <row r="226" spans="1:34" ht="13.15" x14ac:dyDescent="0.4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</row>
    <row r="227" spans="1:34" ht="13.15" x14ac:dyDescent="0.4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</row>
    <row r="228" spans="1:34" ht="13.15" x14ac:dyDescent="0.4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</row>
    <row r="229" spans="1:34" ht="13.15" x14ac:dyDescent="0.4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</row>
    <row r="230" spans="1:34" ht="13.15" x14ac:dyDescent="0.4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</row>
    <row r="231" spans="1:34" ht="13.15" x14ac:dyDescent="0.4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</row>
    <row r="232" spans="1:34" ht="13.15" x14ac:dyDescent="0.4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</row>
    <row r="233" spans="1:34" ht="13.15" x14ac:dyDescent="0.4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</row>
    <row r="234" spans="1:34" ht="13.15" x14ac:dyDescent="0.4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</row>
    <row r="235" spans="1:34" ht="13.15" x14ac:dyDescent="0.4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</row>
    <row r="236" spans="1:34" ht="13.15" x14ac:dyDescent="0.4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</row>
    <row r="237" spans="1:34" ht="13.15" x14ac:dyDescent="0.4">
      <c r="A237" s="19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</row>
    <row r="238" spans="1:34" ht="13.15" x14ac:dyDescent="0.4">
      <c r="A238" s="19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</row>
    <row r="239" spans="1:34" ht="13.15" x14ac:dyDescent="0.4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</row>
    <row r="240" spans="1:34" ht="13.15" x14ac:dyDescent="0.4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</row>
    <row r="241" spans="1:34" ht="13.15" x14ac:dyDescent="0.4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</row>
    <row r="242" spans="1:34" ht="13.15" x14ac:dyDescent="0.4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</row>
    <row r="243" spans="1:34" ht="13.15" x14ac:dyDescent="0.4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</row>
    <row r="244" spans="1:34" ht="13.15" x14ac:dyDescent="0.4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</row>
    <row r="245" spans="1:34" ht="13.15" x14ac:dyDescent="0.4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</row>
    <row r="246" spans="1:34" ht="13.15" x14ac:dyDescent="0.4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</row>
    <row r="247" spans="1:34" ht="13.15" x14ac:dyDescent="0.4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</row>
    <row r="248" spans="1:34" ht="13.15" x14ac:dyDescent="0.4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</row>
    <row r="249" spans="1:34" ht="13.15" x14ac:dyDescent="0.4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</row>
    <row r="250" spans="1:34" ht="13.15" x14ac:dyDescent="0.4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</row>
    <row r="251" spans="1:34" ht="13.15" x14ac:dyDescent="0.4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</row>
    <row r="252" spans="1:34" ht="13.15" x14ac:dyDescent="0.4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</row>
    <row r="253" spans="1:34" ht="13.15" x14ac:dyDescent="0.4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</row>
    <row r="254" spans="1:34" ht="13.15" x14ac:dyDescent="0.4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</row>
    <row r="255" spans="1:34" ht="13.15" x14ac:dyDescent="0.4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</row>
    <row r="256" spans="1:34" ht="13.15" x14ac:dyDescent="0.4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</row>
    <row r="257" spans="1:34" ht="13.15" x14ac:dyDescent="0.4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</row>
    <row r="258" spans="1:34" ht="13.15" x14ac:dyDescent="0.4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</row>
    <row r="259" spans="1:34" ht="13.15" x14ac:dyDescent="0.4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</row>
    <row r="260" spans="1:34" ht="13.15" x14ac:dyDescent="0.4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</row>
    <row r="261" spans="1:34" ht="13.15" x14ac:dyDescent="0.4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</row>
    <row r="262" spans="1:34" ht="13.15" x14ac:dyDescent="0.4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</row>
    <row r="263" spans="1:34" ht="13.15" x14ac:dyDescent="0.4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</row>
    <row r="264" spans="1:34" ht="13.15" x14ac:dyDescent="0.4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</row>
    <row r="265" spans="1:34" ht="13.15" x14ac:dyDescent="0.4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</row>
    <row r="266" spans="1:34" ht="13.15" x14ac:dyDescent="0.4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</row>
    <row r="267" spans="1:34" ht="13.15" x14ac:dyDescent="0.4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</row>
    <row r="268" spans="1:34" ht="13.15" x14ac:dyDescent="0.4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</row>
    <row r="269" spans="1:34" ht="13.15" x14ac:dyDescent="0.4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</row>
    <row r="270" spans="1:34" ht="13.15" x14ac:dyDescent="0.4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</row>
    <row r="271" spans="1:34" ht="13.15" x14ac:dyDescent="0.4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</row>
    <row r="272" spans="1:34" ht="13.15" x14ac:dyDescent="0.4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</row>
    <row r="273" spans="1:34" ht="13.15" x14ac:dyDescent="0.4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</row>
    <row r="274" spans="1:34" ht="13.15" x14ac:dyDescent="0.4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</row>
    <row r="275" spans="1:34" ht="13.15" x14ac:dyDescent="0.4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</row>
    <row r="276" spans="1:34" ht="13.15" x14ac:dyDescent="0.4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</row>
    <row r="277" spans="1:34" ht="13.15" x14ac:dyDescent="0.4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</row>
    <row r="278" spans="1:34" ht="13.15" x14ac:dyDescent="0.4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</row>
    <row r="279" spans="1:34" ht="13.15" x14ac:dyDescent="0.4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</row>
    <row r="280" spans="1:34" ht="13.15" x14ac:dyDescent="0.4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</row>
    <row r="281" spans="1:34" ht="13.15" x14ac:dyDescent="0.4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</row>
    <row r="282" spans="1:34" ht="13.15" x14ac:dyDescent="0.4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</row>
    <row r="283" spans="1:34" ht="13.15" x14ac:dyDescent="0.4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</row>
    <row r="284" spans="1:34" ht="13.15" x14ac:dyDescent="0.4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</row>
    <row r="285" spans="1:34" ht="13.15" x14ac:dyDescent="0.4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</row>
    <row r="286" spans="1:34" ht="13.15" x14ac:dyDescent="0.4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</row>
    <row r="287" spans="1:34" ht="13.15" x14ac:dyDescent="0.4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</row>
    <row r="288" spans="1:34" ht="13.15" x14ac:dyDescent="0.4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</row>
    <row r="289" spans="1:34" ht="13.15" x14ac:dyDescent="0.4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</row>
    <row r="290" spans="1:34" ht="13.15" x14ac:dyDescent="0.4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</row>
    <row r="291" spans="1:34" ht="13.15" x14ac:dyDescent="0.4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</row>
    <row r="292" spans="1:34" ht="13.15" x14ac:dyDescent="0.4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</row>
    <row r="293" spans="1:34" ht="13.15" x14ac:dyDescent="0.4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</row>
    <row r="294" spans="1:34" ht="13.15" x14ac:dyDescent="0.4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</row>
    <row r="295" spans="1:34" ht="13.15" x14ac:dyDescent="0.4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/>
      <c r="AE295" s="19"/>
      <c r="AF295" s="19"/>
      <c r="AG295" s="19"/>
      <c r="AH295" s="19"/>
    </row>
    <row r="296" spans="1:34" ht="13.15" x14ac:dyDescent="0.4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</row>
    <row r="297" spans="1:34" ht="13.15" x14ac:dyDescent="0.4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</row>
    <row r="298" spans="1:34" ht="13.15" x14ac:dyDescent="0.4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</row>
    <row r="299" spans="1:34" ht="13.15" x14ac:dyDescent="0.4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</row>
    <row r="300" spans="1:34" ht="13.15" x14ac:dyDescent="0.4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</row>
    <row r="301" spans="1:34" ht="13.15" x14ac:dyDescent="0.4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</row>
    <row r="302" spans="1:34" ht="13.15" x14ac:dyDescent="0.4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</row>
    <row r="303" spans="1:34" ht="13.15" x14ac:dyDescent="0.4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  <c r="AC303" s="19"/>
      <c r="AD303" s="19"/>
      <c r="AE303" s="19"/>
      <c r="AF303" s="19"/>
      <c r="AG303" s="19"/>
      <c r="AH303" s="19"/>
    </row>
    <row r="304" spans="1:34" ht="13.15" x14ac:dyDescent="0.4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  <c r="AC304" s="19"/>
      <c r="AD304" s="19"/>
      <c r="AE304" s="19"/>
      <c r="AF304" s="19"/>
      <c r="AG304" s="19"/>
      <c r="AH304" s="19"/>
    </row>
    <row r="305" spans="1:34" ht="13.15" x14ac:dyDescent="0.4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  <c r="AC305" s="19"/>
      <c r="AD305" s="19"/>
      <c r="AE305" s="19"/>
      <c r="AF305" s="19"/>
      <c r="AG305" s="19"/>
      <c r="AH305" s="19"/>
    </row>
    <row r="306" spans="1:34" ht="13.15" x14ac:dyDescent="0.4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  <c r="AC306" s="19"/>
      <c r="AD306" s="19"/>
      <c r="AE306" s="19"/>
      <c r="AF306" s="19"/>
      <c r="AG306" s="19"/>
      <c r="AH306" s="19"/>
    </row>
    <row r="307" spans="1:34" ht="13.15" x14ac:dyDescent="0.4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  <c r="AC307" s="19"/>
      <c r="AD307" s="19"/>
      <c r="AE307" s="19"/>
      <c r="AF307" s="19"/>
      <c r="AG307" s="19"/>
      <c r="AH307" s="19"/>
    </row>
    <row r="308" spans="1:34" ht="13.15" x14ac:dyDescent="0.4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  <c r="AC308" s="19"/>
      <c r="AD308" s="19"/>
      <c r="AE308" s="19"/>
      <c r="AF308" s="19"/>
      <c r="AG308" s="19"/>
      <c r="AH308" s="19"/>
    </row>
    <row r="309" spans="1:34" ht="13.15" x14ac:dyDescent="0.4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  <c r="AC309" s="19"/>
      <c r="AD309" s="19"/>
      <c r="AE309" s="19"/>
      <c r="AF309" s="19"/>
      <c r="AG309" s="19"/>
      <c r="AH309" s="19"/>
    </row>
    <row r="310" spans="1:34" ht="13.15" x14ac:dyDescent="0.4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  <c r="AC310" s="19"/>
      <c r="AD310" s="19"/>
      <c r="AE310" s="19"/>
      <c r="AF310" s="19"/>
      <c r="AG310" s="19"/>
      <c r="AH310" s="19"/>
    </row>
    <row r="311" spans="1:34" ht="13.15" x14ac:dyDescent="0.4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  <c r="AC311" s="19"/>
      <c r="AD311" s="19"/>
      <c r="AE311" s="19"/>
      <c r="AF311" s="19"/>
      <c r="AG311" s="19"/>
      <c r="AH311" s="19"/>
    </row>
    <row r="312" spans="1:34" ht="13.15" x14ac:dyDescent="0.4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</row>
    <row r="313" spans="1:34" ht="13.15" x14ac:dyDescent="0.4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</row>
    <row r="314" spans="1:34" ht="13.15" x14ac:dyDescent="0.4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</row>
    <row r="315" spans="1:34" ht="13.15" x14ac:dyDescent="0.4">
      <c r="A315" s="19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</row>
    <row r="316" spans="1:34" ht="13.15" x14ac:dyDescent="0.4">
      <c r="A316" s="19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</row>
    <row r="317" spans="1:34" ht="13.15" x14ac:dyDescent="0.4">
      <c r="A317" s="19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</row>
    <row r="318" spans="1:34" ht="13.15" x14ac:dyDescent="0.4">
      <c r="A318" s="19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</row>
    <row r="319" spans="1:34" ht="13.15" x14ac:dyDescent="0.4">
      <c r="A319" s="19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  <c r="AC319" s="19"/>
      <c r="AD319" s="19"/>
      <c r="AE319" s="19"/>
      <c r="AF319" s="19"/>
      <c r="AG319" s="19"/>
      <c r="AH319" s="19"/>
    </row>
    <row r="320" spans="1:34" ht="13.15" x14ac:dyDescent="0.4">
      <c r="A320" s="19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  <c r="AC320" s="19"/>
      <c r="AD320" s="19"/>
      <c r="AE320" s="19"/>
      <c r="AF320" s="19"/>
      <c r="AG320" s="19"/>
      <c r="AH320" s="19"/>
    </row>
    <row r="321" spans="1:34" ht="13.15" x14ac:dyDescent="0.4">
      <c r="A321" s="19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  <c r="AC321" s="19"/>
      <c r="AD321" s="19"/>
      <c r="AE321" s="19"/>
      <c r="AF321" s="19"/>
      <c r="AG321" s="19"/>
      <c r="AH321" s="19"/>
    </row>
    <row r="322" spans="1:34" ht="13.15" x14ac:dyDescent="0.4">
      <c r="A322" s="19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  <c r="AC322" s="19"/>
      <c r="AD322" s="19"/>
      <c r="AE322" s="19"/>
      <c r="AF322" s="19"/>
      <c r="AG322" s="19"/>
      <c r="AH322" s="19"/>
    </row>
    <row r="323" spans="1:34" ht="13.15" x14ac:dyDescent="0.4">
      <c r="A323" s="19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  <c r="AC323" s="19"/>
      <c r="AD323" s="19"/>
      <c r="AE323" s="19"/>
      <c r="AF323" s="19"/>
      <c r="AG323" s="19"/>
      <c r="AH323" s="19"/>
    </row>
    <row r="324" spans="1:34" ht="13.15" x14ac:dyDescent="0.4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  <c r="AC324" s="19"/>
      <c r="AD324" s="19"/>
      <c r="AE324" s="19"/>
      <c r="AF324" s="19"/>
      <c r="AG324" s="19"/>
      <c r="AH324" s="19"/>
    </row>
    <row r="325" spans="1:34" ht="13.15" x14ac:dyDescent="0.4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  <c r="AC325" s="19"/>
      <c r="AD325" s="19"/>
      <c r="AE325" s="19"/>
      <c r="AF325" s="19"/>
      <c r="AG325" s="19"/>
      <c r="AH325" s="19"/>
    </row>
    <row r="326" spans="1:34" ht="13.15" x14ac:dyDescent="0.4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  <c r="AD326" s="19"/>
      <c r="AE326" s="19"/>
      <c r="AF326" s="19"/>
      <c r="AG326" s="19"/>
      <c r="AH326" s="19"/>
    </row>
    <row r="327" spans="1:34" ht="13.15" x14ac:dyDescent="0.4">
      <c r="A327" s="19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  <c r="AC327" s="19"/>
      <c r="AD327" s="19"/>
      <c r="AE327" s="19"/>
      <c r="AF327" s="19"/>
      <c r="AG327" s="19"/>
      <c r="AH327" s="19"/>
    </row>
    <row r="328" spans="1:34" ht="13.15" x14ac:dyDescent="0.4">
      <c r="A328" s="19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  <c r="AC328" s="19"/>
      <c r="AD328" s="19"/>
      <c r="AE328" s="19"/>
      <c r="AF328" s="19"/>
      <c r="AG328" s="19"/>
      <c r="AH328" s="19"/>
    </row>
    <row r="329" spans="1:34" ht="13.15" x14ac:dyDescent="0.4">
      <c r="A329" s="19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  <c r="AC329" s="19"/>
      <c r="AD329" s="19"/>
      <c r="AE329" s="19"/>
      <c r="AF329" s="19"/>
      <c r="AG329" s="19"/>
      <c r="AH329" s="19"/>
    </row>
    <row r="330" spans="1:34" ht="13.15" x14ac:dyDescent="0.4">
      <c r="A330" s="19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  <c r="AC330" s="19"/>
      <c r="AD330" s="19"/>
      <c r="AE330" s="19"/>
      <c r="AF330" s="19"/>
      <c r="AG330" s="19"/>
      <c r="AH330" s="19"/>
    </row>
    <row r="331" spans="1:34" ht="13.15" x14ac:dyDescent="0.4">
      <c r="A331" s="19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  <c r="AC331" s="19"/>
      <c r="AD331" s="19"/>
      <c r="AE331" s="19"/>
      <c r="AF331" s="19"/>
      <c r="AG331" s="19"/>
      <c r="AH331" s="19"/>
    </row>
    <row r="332" spans="1:34" ht="13.15" x14ac:dyDescent="0.4">
      <c r="A332" s="19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  <c r="AC332" s="19"/>
      <c r="AD332" s="19"/>
      <c r="AE332" s="19"/>
      <c r="AF332" s="19"/>
      <c r="AG332" s="19"/>
      <c r="AH332" s="19"/>
    </row>
    <row r="333" spans="1:34" ht="13.15" x14ac:dyDescent="0.4">
      <c r="A333" s="19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  <c r="AC333" s="19"/>
      <c r="AD333" s="19"/>
      <c r="AE333" s="19"/>
      <c r="AF333" s="19"/>
      <c r="AG333" s="19"/>
      <c r="AH333" s="19"/>
    </row>
    <row r="334" spans="1:34" ht="13.15" x14ac:dyDescent="0.4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  <c r="AC334" s="19"/>
      <c r="AD334" s="19"/>
      <c r="AE334" s="19"/>
      <c r="AF334" s="19"/>
      <c r="AG334" s="19"/>
      <c r="AH334" s="19"/>
    </row>
    <row r="335" spans="1:34" ht="13.15" x14ac:dyDescent="0.4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  <c r="AC335" s="19"/>
      <c r="AD335" s="19"/>
      <c r="AE335" s="19"/>
      <c r="AF335" s="19"/>
      <c r="AG335" s="19"/>
      <c r="AH335" s="19"/>
    </row>
    <row r="336" spans="1:34" ht="13.15" x14ac:dyDescent="0.4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  <c r="AC336" s="19"/>
      <c r="AD336" s="19"/>
      <c r="AE336" s="19"/>
      <c r="AF336" s="19"/>
      <c r="AG336" s="19"/>
      <c r="AH336" s="19"/>
    </row>
    <row r="337" spans="1:34" ht="13.15" x14ac:dyDescent="0.4">
      <c r="A337" s="19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  <c r="AC337" s="19"/>
      <c r="AD337" s="19"/>
      <c r="AE337" s="19"/>
      <c r="AF337" s="19"/>
      <c r="AG337" s="19"/>
      <c r="AH337" s="19"/>
    </row>
    <row r="338" spans="1:34" ht="13.15" x14ac:dyDescent="0.4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  <c r="AC338" s="19"/>
      <c r="AD338" s="19"/>
      <c r="AE338" s="19"/>
      <c r="AF338" s="19"/>
      <c r="AG338" s="19"/>
      <c r="AH338" s="19"/>
    </row>
    <row r="339" spans="1:34" ht="13.15" x14ac:dyDescent="0.4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  <c r="AC339" s="19"/>
      <c r="AD339" s="19"/>
      <c r="AE339" s="19"/>
      <c r="AF339" s="19"/>
      <c r="AG339" s="19"/>
      <c r="AH339" s="19"/>
    </row>
    <row r="340" spans="1:34" ht="13.15" x14ac:dyDescent="0.4">
      <c r="A340" s="19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  <c r="AC340" s="19"/>
      <c r="AD340" s="19"/>
      <c r="AE340" s="19"/>
      <c r="AF340" s="19"/>
      <c r="AG340" s="19"/>
      <c r="AH340" s="19"/>
    </row>
    <row r="341" spans="1:34" ht="13.15" x14ac:dyDescent="0.4">
      <c r="A341" s="19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  <c r="AC341" s="19"/>
      <c r="AD341" s="19"/>
      <c r="AE341" s="19"/>
      <c r="AF341" s="19"/>
      <c r="AG341" s="19"/>
      <c r="AH341" s="19"/>
    </row>
    <row r="342" spans="1:34" ht="13.15" x14ac:dyDescent="0.4">
      <c r="A342" s="19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  <c r="AC342" s="19"/>
      <c r="AD342" s="19"/>
      <c r="AE342" s="19"/>
      <c r="AF342" s="19"/>
      <c r="AG342" s="19"/>
      <c r="AH342" s="19"/>
    </row>
    <row r="343" spans="1:34" ht="13.15" x14ac:dyDescent="0.4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  <c r="AC343" s="19"/>
      <c r="AD343" s="19"/>
      <c r="AE343" s="19"/>
      <c r="AF343" s="19"/>
      <c r="AG343" s="19"/>
      <c r="AH343" s="19"/>
    </row>
    <row r="344" spans="1:34" ht="13.15" x14ac:dyDescent="0.4">
      <c r="A344" s="19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  <c r="AC344" s="19"/>
      <c r="AD344" s="19"/>
      <c r="AE344" s="19"/>
      <c r="AF344" s="19"/>
      <c r="AG344" s="19"/>
      <c r="AH344" s="19"/>
    </row>
    <row r="345" spans="1:34" ht="13.15" x14ac:dyDescent="0.4">
      <c r="A345" s="19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  <c r="AC345" s="19"/>
      <c r="AD345" s="19"/>
      <c r="AE345" s="19"/>
      <c r="AF345" s="19"/>
      <c r="AG345" s="19"/>
      <c r="AH345" s="19"/>
    </row>
    <row r="346" spans="1:34" ht="13.15" x14ac:dyDescent="0.4">
      <c r="A346" s="19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  <c r="AC346" s="19"/>
      <c r="AD346" s="19"/>
      <c r="AE346" s="19"/>
      <c r="AF346" s="19"/>
      <c r="AG346" s="19"/>
      <c r="AH346" s="19"/>
    </row>
    <row r="347" spans="1:34" ht="13.15" x14ac:dyDescent="0.4">
      <c r="A347" s="19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  <c r="AC347" s="19"/>
      <c r="AD347" s="19"/>
      <c r="AE347" s="19"/>
      <c r="AF347" s="19"/>
      <c r="AG347" s="19"/>
      <c r="AH347" s="19"/>
    </row>
    <row r="348" spans="1:34" ht="13.15" x14ac:dyDescent="0.4">
      <c r="A348" s="19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  <c r="AC348" s="19"/>
      <c r="AD348" s="19"/>
      <c r="AE348" s="19"/>
      <c r="AF348" s="19"/>
      <c r="AG348" s="19"/>
      <c r="AH348" s="19"/>
    </row>
    <row r="349" spans="1:34" ht="13.15" x14ac:dyDescent="0.4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  <c r="AC349" s="19"/>
      <c r="AD349" s="19"/>
      <c r="AE349" s="19"/>
      <c r="AF349" s="19"/>
      <c r="AG349" s="19"/>
      <c r="AH349" s="19"/>
    </row>
    <row r="350" spans="1:34" ht="13.15" x14ac:dyDescent="0.4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  <c r="AC350" s="19"/>
      <c r="AD350" s="19"/>
      <c r="AE350" s="19"/>
      <c r="AF350" s="19"/>
      <c r="AG350" s="19"/>
      <c r="AH350" s="19"/>
    </row>
    <row r="351" spans="1:34" ht="13.15" x14ac:dyDescent="0.4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  <c r="AC351" s="19"/>
      <c r="AD351" s="19"/>
      <c r="AE351" s="19"/>
      <c r="AF351" s="19"/>
      <c r="AG351" s="19"/>
      <c r="AH351" s="19"/>
    </row>
    <row r="352" spans="1:34" ht="13.15" x14ac:dyDescent="0.4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  <c r="AC352" s="19"/>
      <c r="AD352" s="19"/>
      <c r="AE352" s="19"/>
      <c r="AF352" s="19"/>
      <c r="AG352" s="19"/>
      <c r="AH352" s="19"/>
    </row>
    <row r="353" spans="1:34" ht="13.15" x14ac:dyDescent="0.4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  <c r="AC353" s="19"/>
      <c r="AD353" s="19"/>
      <c r="AE353" s="19"/>
      <c r="AF353" s="19"/>
      <c r="AG353" s="19"/>
      <c r="AH353" s="19"/>
    </row>
    <row r="354" spans="1:34" ht="13.15" x14ac:dyDescent="0.4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  <c r="AC354" s="19"/>
      <c r="AD354" s="19"/>
      <c r="AE354" s="19"/>
      <c r="AF354" s="19"/>
      <c r="AG354" s="19"/>
      <c r="AH354" s="19"/>
    </row>
    <row r="355" spans="1:34" ht="13.15" x14ac:dyDescent="0.4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  <c r="AC355" s="19"/>
      <c r="AD355" s="19"/>
      <c r="AE355" s="19"/>
      <c r="AF355" s="19"/>
      <c r="AG355" s="19"/>
      <c r="AH355" s="19"/>
    </row>
    <row r="356" spans="1:34" ht="13.15" x14ac:dyDescent="0.4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  <c r="AC356" s="19"/>
      <c r="AD356" s="19"/>
      <c r="AE356" s="19"/>
      <c r="AF356" s="19"/>
      <c r="AG356" s="19"/>
      <c r="AH356" s="19"/>
    </row>
    <row r="357" spans="1:34" ht="13.15" x14ac:dyDescent="0.4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  <c r="AC357" s="19"/>
      <c r="AD357" s="19"/>
      <c r="AE357" s="19"/>
      <c r="AF357" s="19"/>
      <c r="AG357" s="19"/>
      <c r="AH357" s="19"/>
    </row>
    <row r="358" spans="1:34" ht="13.15" x14ac:dyDescent="0.4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19"/>
      <c r="AG358" s="19"/>
      <c r="AH358" s="19"/>
    </row>
    <row r="359" spans="1:34" ht="13.15" x14ac:dyDescent="0.4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  <c r="AF359" s="19"/>
      <c r="AG359" s="19"/>
      <c r="AH359" s="19"/>
    </row>
    <row r="360" spans="1:34" ht="13.15" x14ac:dyDescent="0.4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  <c r="AF360" s="19"/>
      <c r="AG360" s="19"/>
      <c r="AH360" s="19"/>
    </row>
    <row r="361" spans="1:34" ht="13.15" x14ac:dyDescent="0.4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  <c r="AC361" s="19"/>
      <c r="AD361" s="19"/>
      <c r="AE361" s="19"/>
      <c r="AF361" s="19"/>
      <c r="AG361" s="19"/>
      <c r="AH361" s="19"/>
    </row>
    <row r="362" spans="1:34" ht="13.15" x14ac:dyDescent="0.4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  <c r="AC362" s="19"/>
      <c r="AD362" s="19"/>
      <c r="AE362" s="19"/>
      <c r="AF362" s="19"/>
      <c r="AG362" s="19"/>
      <c r="AH362" s="19"/>
    </row>
    <row r="363" spans="1:34" ht="13.15" x14ac:dyDescent="0.4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  <c r="AF363" s="19"/>
      <c r="AG363" s="19"/>
      <c r="AH363" s="19"/>
    </row>
    <row r="364" spans="1:34" ht="13.15" x14ac:dyDescent="0.4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  <c r="AC364" s="19"/>
      <c r="AD364" s="19"/>
      <c r="AE364" s="19"/>
      <c r="AF364" s="19"/>
      <c r="AG364" s="19"/>
      <c r="AH364" s="19"/>
    </row>
    <row r="365" spans="1:34" ht="13.15" x14ac:dyDescent="0.4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  <c r="AC365" s="19"/>
      <c r="AD365" s="19"/>
      <c r="AE365" s="19"/>
      <c r="AF365" s="19"/>
      <c r="AG365" s="19"/>
      <c r="AH365" s="19"/>
    </row>
    <row r="366" spans="1:34" ht="13.15" x14ac:dyDescent="0.4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  <c r="AC366" s="19"/>
      <c r="AD366" s="19"/>
      <c r="AE366" s="19"/>
      <c r="AF366" s="19"/>
      <c r="AG366" s="19"/>
      <c r="AH366" s="19"/>
    </row>
    <row r="367" spans="1:34" ht="13.15" x14ac:dyDescent="0.4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  <c r="AC367" s="19"/>
      <c r="AD367" s="19"/>
      <c r="AE367" s="19"/>
      <c r="AF367" s="19"/>
      <c r="AG367" s="19"/>
      <c r="AH367" s="19"/>
    </row>
    <row r="368" spans="1:34" ht="13.15" x14ac:dyDescent="0.4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  <c r="AC368" s="19"/>
      <c r="AD368" s="19"/>
      <c r="AE368" s="19"/>
      <c r="AF368" s="19"/>
      <c r="AG368" s="19"/>
      <c r="AH368" s="19"/>
    </row>
    <row r="369" spans="1:34" ht="13.15" x14ac:dyDescent="0.4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  <c r="AC369" s="19"/>
      <c r="AD369" s="19"/>
      <c r="AE369" s="19"/>
      <c r="AF369" s="19"/>
      <c r="AG369" s="19"/>
      <c r="AH369" s="19"/>
    </row>
    <row r="370" spans="1:34" ht="13.15" x14ac:dyDescent="0.4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  <c r="AC370" s="19"/>
      <c r="AD370" s="19"/>
      <c r="AE370" s="19"/>
      <c r="AF370" s="19"/>
      <c r="AG370" s="19"/>
      <c r="AH370" s="19"/>
    </row>
    <row r="371" spans="1:34" ht="13.15" x14ac:dyDescent="0.4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  <c r="AF371" s="19"/>
      <c r="AG371" s="19"/>
      <c r="AH371" s="19"/>
    </row>
    <row r="372" spans="1:34" ht="13.15" x14ac:dyDescent="0.4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  <c r="AC372" s="19"/>
      <c r="AD372" s="19"/>
      <c r="AE372" s="19"/>
      <c r="AF372" s="19"/>
      <c r="AG372" s="19"/>
      <c r="AH372" s="19"/>
    </row>
    <row r="373" spans="1:34" ht="13.15" x14ac:dyDescent="0.4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  <c r="AC373" s="19"/>
      <c r="AD373" s="19"/>
      <c r="AE373" s="19"/>
      <c r="AF373" s="19"/>
      <c r="AG373" s="19"/>
      <c r="AH373" s="19"/>
    </row>
    <row r="374" spans="1:34" ht="13.15" x14ac:dyDescent="0.4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  <c r="AC374" s="19"/>
      <c r="AD374" s="19"/>
      <c r="AE374" s="19"/>
      <c r="AF374" s="19"/>
      <c r="AG374" s="19"/>
      <c r="AH374" s="19"/>
    </row>
    <row r="375" spans="1:34" ht="13.15" x14ac:dyDescent="0.4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  <c r="AC375" s="19"/>
      <c r="AD375" s="19"/>
      <c r="AE375" s="19"/>
      <c r="AF375" s="19"/>
      <c r="AG375" s="19"/>
      <c r="AH375" s="19"/>
    </row>
    <row r="376" spans="1:34" ht="13.15" x14ac:dyDescent="0.4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  <c r="AC376" s="19"/>
      <c r="AD376" s="19"/>
      <c r="AE376" s="19"/>
      <c r="AF376" s="19"/>
      <c r="AG376" s="19"/>
      <c r="AH376" s="19"/>
    </row>
    <row r="377" spans="1:34" ht="13.15" x14ac:dyDescent="0.4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  <c r="AC377" s="19"/>
      <c r="AD377" s="19"/>
      <c r="AE377" s="19"/>
      <c r="AF377" s="19"/>
      <c r="AG377" s="19"/>
      <c r="AH377" s="19"/>
    </row>
    <row r="378" spans="1:34" ht="13.15" x14ac:dyDescent="0.4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  <c r="AC378" s="19"/>
      <c r="AD378" s="19"/>
      <c r="AE378" s="19"/>
      <c r="AF378" s="19"/>
      <c r="AG378" s="19"/>
      <c r="AH378" s="19"/>
    </row>
    <row r="379" spans="1:34" ht="13.15" x14ac:dyDescent="0.4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  <c r="AC379" s="19"/>
      <c r="AD379" s="19"/>
      <c r="AE379" s="19"/>
      <c r="AF379" s="19"/>
      <c r="AG379" s="19"/>
      <c r="AH379" s="19"/>
    </row>
    <row r="380" spans="1:34" ht="13.15" x14ac:dyDescent="0.4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  <c r="AC380" s="19"/>
      <c r="AD380" s="19"/>
      <c r="AE380" s="19"/>
      <c r="AF380" s="19"/>
      <c r="AG380" s="19"/>
      <c r="AH380" s="19"/>
    </row>
    <row r="381" spans="1:34" ht="13.15" x14ac:dyDescent="0.4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E381" s="19"/>
      <c r="AF381" s="19"/>
      <c r="AG381" s="19"/>
      <c r="AH381" s="19"/>
    </row>
    <row r="382" spans="1:34" ht="13.15" x14ac:dyDescent="0.4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  <c r="AC382" s="19"/>
      <c r="AD382" s="19"/>
      <c r="AE382" s="19"/>
      <c r="AF382" s="19"/>
      <c r="AG382" s="19"/>
      <c r="AH382" s="19"/>
    </row>
    <row r="383" spans="1:34" ht="13.15" x14ac:dyDescent="0.4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  <c r="AC383" s="19"/>
      <c r="AD383" s="19"/>
      <c r="AE383" s="19"/>
      <c r="AF383" s="19"/>
      <c r="AG383" s="19"/>
      <c r="AH383" s="19"/>
    </row>
    <row r="384" spans="1:34" ht="13.15" x14ac:dyDescent="0.4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  <c r="AC384" s="19"/>
      <c r="AD384" s="19"/>
      <c r="AE384" s="19"/>
      <c r="AF384" s="19"/>
      <c r="AG384" s="19"/>
      <c r="AH384" s="19"/>
    </row>
    <row r="385" spans="1:34" ht="13.15" x14ac:dyDescent="0.4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  <c r="AE385" s="19"/>
      <c r="AF385" s="19"/>
      <c r="AG385" s="19"/>
      <c r="AH385" s="19"/>
    </row>
    <row r="386" spans="1:34" ht="13.15" x14ac:dyDescent="0.4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9"/>
      <c r="AE386" s="19"/>
      <c r="AF386" s="19"/>
      <c r="AG386" s="19"/>
      <c r="AH386" s="19"/>
    </row>
    <row r="387" spans="1:34" ht="13.15" x14ac:dyDescent="0.4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  <c r="AE387" s="19"/>
      <c r="AF387" s="19"/>
      <c r="AG387" s="19"/>
      <c r="AH387" s="19"/>
    </row>
    <row r="388" spans="1:34" ht="13.15" x14ac:dyDescent="0.4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  <c r="AC388" s="19"/>
      <c r="AD388" s="19"/>
      <c r="AE388" s="19"/>
      <c r="AF388" s="19"/>
      <c r="AG388" s="19"/>
      <c r="AH388" s="19"/>
    </row>
    <row r="389" spans="1:34" ht="13.15" x14ac:dyDescent="0.4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  <c r="AC389" s="19"/>
      <c r="AD389" s="19"/>
      <c r="AE389" s="19"/>
      <c r="AF389" s="19"/>
      <c r="AG389" s="19"/>
      <c r="AH389" s="19"/>
    </row>
    <row r="390" spans="1:34" ht="13.15" x14ac:dyDescent="0.4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  <c r="AC390" s="19"/>
      <c r="AD390" s="19"/>
      <c r="AE390" s="19"/>
      <c r="AF390" s="19"/>
      <c r="AG390" s="19"/>
      <c r="AH390" s="19"/>
    </row>
    <row r="391" spans="1:34" ht="13.15" x14ac:dyDescent="0.4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  <c r="AC391" s="19"/>
      <c r="AD391" s="19"/>
      <c r="AE391" s="19"/>
      <c r="AF391" s="19"/>
      <c r="AG391" s="19"/>
      <c r="AH391" s="19"/>
    </row>
    <row r="392" spans="1:34" ht="13.15" x14ac:dyDescent="0.4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E392" s="19"/>
      <c r="AF392" s="19"/>
      <c r="AG392" s="19"/>
      <c r="AH392" s="19"/>
    </row>
    <row r="393" spans="1:34" ht="13.15" x14ac:dyDescent="0.4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/>
      <c r="AE393" s="19"/>
      <c r="AF393" s="19"/>
      <c r="AG393" s="19"/>
      <c r="AH393" s="19"/>
    </row>
    <row r="394" spans="1:34" ht="13.15" x14ac:dyDescent="0.4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  <c r="AF394" s="19"/>
      <c r="AG394" s="19"/>
      <c r="AH394" s="19"/>
    </row>
    <row r="395" spans="1:34" ht="13.15" x14ac:dyDescent="0.4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19"/>
      <c r="AD395" s="19"/>
      <c r="AE395" s="19"/>
      <c r="AF395" s="19"/>
      <c r="AG395" s="19"/>
      <c r="AH395" s="19"/>
    </row>
    <row r="396" spans="1:34" ht="13.15" x14ac:dyDescent="0.4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/>
      <c r="AD396" s="19"/>
      <c r="AE396" s="19"/>
      <c r="AF396" s="19"/>
      <c r="AG396" s="19"/>
      <c r="AH396" s="19"/>
    </row>
    <row r="397" spans="1:34" ht="13.15" x14ac:dyDescent="0.4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  <c r="AC397" s="19"/>
      <c r="AD397" s="19"/>
      <c r="AE397" s="19"/>
      <c r="AF397" s="19"/>
      <c r="AG397" s="19"/>
      <c r="AH397" s="19"/>
    </row>
    <row r="398" spans="1:34" ht="13.15" x14ac:dyDescent="0.4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  <c r="AC398" s="19"/>
      <c r="AD398" s="19"/>
      <c r="AE398" s="19"/>
      <c r="AF398" s="19"/>
      <c r="AG398" s="19"/>
      <c r="AH398" s="19"/>
    </row>
    <row r="399" spans="1:34" ht="13.15" x14ac:dyDescent="0.4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  <c r="AC399" s="19"/>
      <c r="AD399" s="19"/>
      <c r="AE399" s="19"/>
      <c r="AF399" s="19"/>
      <c r="AG399" s="19"/>
      <c r="AH399" s="19"/>
    </row>
    <row r="400" spans="1:34" ht="13.15" x14ac:dyDescent="0.4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  <c r="AC400" s="19"/>
      <c r="AD400" s="19"/>
      <c r="AE400" s="19"/>
      <c r="AF400" s="19"/>
      <c r="AG400" s="19"/>
      <c r="AH400" s="19"/>
    </row>
    <row r="401" spans="1:34" ht="13.15" x14ac:dyDescent="0.4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  <c r="AC401" s="19"/>
      <c r="AD401" s="19"/>
      <c r="AE401" s="19"/>
      <c r="AF401" s="19"/>
      <c r="AG401" s="19"/>
      <c r="AH401" s="19"/>
    </row>
    <row r="402" spans="1:34" ht="13.15" x14ac:dyDescent="0.4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  <c r="AC402" s="19"/>
      <c r="AD402" s="19"/>
      <c r="AE402" s="19"/>
      <c r="AF402" s="19"/>
      <c r="AG402" s="19"/>
      <c r="AH402" s="19"/>
    </row>
    <row r="403" spans="1:34" ht="13.15" x14ac:dyDescent="0.4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/>
      <c r="AD403" s="19"/>
      <c r="AE403" s="19"/>
      <c r="AF403" s="19"/>
      <c r="AG403" s="19"/>
      <c r="AH403" s="19"/>
    </row>
    <row r="404" spans="1:34" ht="13.15" x14ac:dyDescent="0.4">
      <c r="A404" s="19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  <c r="AC404" s="19"/>
      <c r="AD404" s="19"/>
      <c r="AE404" s="19"/>
      <c r="AF404" s="19"/>
      <c r="AG404" s="19"/>
      <c r="AH404" s="19"/>
    </row>
    <row r="405" spans="1:34" ht="13.15" x14ac:dyDescent="0.4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  <c r="AC405" s="19"/>
      <c r="AD405" s="19"/>
      <c r="AE405" s="19"/>
      <c r="AF405" s="19"/>
      <c r="AG405" s="19"/>
      <c r="AH405" s="19"/>
    </row>
    <row r="406" spans="1:34" ht="13.15" x14ac:dyDescent="0.4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  <c r="AC406" s="19"/>
      <c r="AD406" s="19"/>
      <c r="AE406" s="19"/>
      <c r="AF406" s="19"/>
      <c r="AG406" s="19"/>
      <c r="AH406" s="19"/>
    </row>
    <row r="407" spans="1:34" ht="13.15" x14ac:dyDescent="0.4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  <c r="AC407" s="19"/>
      <c r="AD407" s="19"/>
      <c r="AE407" s="19"/>
      <c r="AF407" s="19"/>
      <c r="AG407" s="19"/>
      <c r="AH407" s="19"/>
    </row>
    <row r="408" spans="1:34" ht="13.15" x14ac:dyDescent="0.4">
      <c r="A408" s="19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  <c r="AC408" s="19"/>
      <c r="AD408" s="19"/>
      <c r="AE408" s="19"/>
      <c r="AF408" s="19"/>
      <c r="AG408" s="19"/>
      <c r="AH408" s="19"/>
    </row>
    <row r="409" spans="1:34" ht="13.15" x14ac:dyDescent="0.4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  <c r="AC409" s="19"/>
      <c r="AD409" s="19"/>
      <c r="AE409" s="19"/>
      <c r="AF409" s="19"/>
      <c r="AG409" s="19"/>
      <c r="AH409" s="19"/>
    </row>
    <row r="410" spans="1:34" ht="13.15" x14ac:dyDescent="0.4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  <c r="AC410" s="19"/>
      <c r="AD410" s="19"/>
      <c r="AE410" s="19"/>
      <c r="AF410" s="19"/>
      <c r="AG410" s="19"/>
      <c r="AH410" s="19"/>
    </row>
    <row r="411" spans="1:34" ht="13.15" x14ac:dyDescent="0.4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  <c r="AC411" s="19"/>
      <c r="AD411" s="19"/>
      <c r="AE411" s="19"/>
      <c r="AF411" s="19"/>
      <c r="AG411" s="19"/>
      <c r="AH411" s="19"/>
    </row>
    <row r="412" spans="1:34" ht="13.15" x14ac:dyDescent="0.4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  <c r="AC412" s="19"/>
      <c r="AD412" s="19"/>
      <c r="AE412" s="19"/>
      <c r="AF412" s="19"/>
      <c r="AG412" s="19"/>
      <c r="AH412" s="19"/>
    </row>
    <row r="413" spans="1:34" ht="13.15" x14ac:dyDescent="0.4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  <c r="AC413" s="19"/>
      <c r="AD413" s="19"/>
      <c r="AE413" s="19"/>
      <c r="AF413" s="19"/>
      <c r="AG413" s="19"/>
      <c r="AH413" s="19"/>
    </row>
    <row r="414" spans="1:34" ht="13.15" x14ac:dyDescent="0.4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  <c r="AC414" s="19"/>
      <c r="AD414" s="19"/>
      <c r="AE414" s="19"/>
      <c r="AF414" s="19"/>
      <c r="AG414" s="19"/>
      <c r="AH414" s="19"/>
    </row>
    <row r="415" spans="1:34" ht="13.15" x14ac:dyDescent="0.4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  <c r="AC415" s="19"/>
      <c r="AD415" s="19"/>
      <c r="AE415" s="19"/>
      <c r="AF415" s="19"/>
      <c r="AG415" s="19"/>
      <c r="AH415" s="19"/>
    </row>
    <row r="416" spans="1:34" ht="13.15" x14ac:dyDescent="0.4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  <c r="AC416" s="19"/>
      <c r="AD416" s="19"/>
      <c r="AE416" s="19"/>
      <c r="AF416" s="19"/>
      <c r="AG416" s="19"/>
      <c r="AH416" s="19"/>
    </row>
    <row r="417" spans="1:34" ht="13.15" x14ac:dyDescent="0.4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  <c r="AC417" s="19"/>
      <c r="AD417" s="19"/>
      <c r="AE417" s="19"/>
      <c r="AF417" s="19"/>
      <c r="AG417" s="19"/>
      <c r="AH417" s="19"/>
    </row>
    <row r="418" spans="1:34" ht="13.15" x14ac:dyDescent="0.4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  <c r="AC418" s="19"/>
      <c r="AD418" s="19"/>
      <c r="AE418" s="19"/>
      <c r="AF418" s="19"/>
      <c r="AG418" s="19"/>
      <c r="AH418" s="19"/>
    </row>
    <row r="419" spans="1:34" ht="13.15" x14ac:dyDescent="0.4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  <c r="AC419" s="19"/>
      <c r="AD419" s="19"/>
      <c r="AE419" s="19"/>
      <c r="AF419" s="19"/>
      <c r="AG419" s="19"/>
      <c r="AH419" s="19"/>
    </row>
    <row r="420" spans="1:34" ht="13.15" x14ac:dyDescent="0.4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  <c r="AC420" s="19"/>
      <c r="AD420" s="19"/>
      <c r="AE420" s="19"/>
      <c r="AF420" s="19"/>
      <c r="AG420" s="19"/>
      <c r="AH420" s="19"/>
    </row>
    <row r="421" spans="1:34" ht="13.15" x14ac:dyDescent="0.4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  <c r="AC421" s="19"/>
      <c r="AD421" s="19"/>
      <c r="AE421" s="19"/>
      <c r="AF421" s="19"/>
      <c r="AG421" s="19"/>
      <c r="AH421" s="19"/>
    </row>
    <row r="422" spans="1:34" ht="13.15" x14ac:dyDescent="0.4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  <c r="AC422" s="19"/>
      <c r="AD422" s="19"/>
      <c r="AE422" s="19"/>
      <c r="AF422" s="19"/>
      <c r="AG422" s="19"/>
      <c r="AH422" s="19"/>
    </row>
    <row r="423" spans="1:34" ht="13.15" x14ac:dyDescent="0.4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  <c r="AC423" s="19"/>
      <c r="AD423" s="19"/>
      <c r="AE423" s="19"/>
      <c r="AF423" s="19"/>
      <c r="AG423" s="19"/>
      <c r="AH423" s="19"/>
    </row>
    <row r="424" spans="1:34" ht="13.15" x14ac:dyDescent="0.4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  <c r="AC424" s="19"/>
      <c r="AD424" s="19"/>
      <c r="AE424" s="19"/>
      <c r="AF424" s="19"/>
      <c r="AG424" s="19"/>
      <c r="AH424" s="19"/>
    </row>
    <row r="425" spans="1:34" ht="13.15" x14ac:dyDescent="0.4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  <c r="AB425" s="19"/>
      <c r="AC425" s="19"/>
      <c r="AD425" s="19"/>
      <c r="AE425" s="19"/>
      <c r="AF425" s="19"/>
      <c r="AG425" s="19"/>
      <c r="AH425" s="19"/>
    </row>
    <row r="426" spans="1:34" ht="13.15" x14ac:dyDescent="0.4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  <c r="AB426" s="19"/>
      <c r="AC426" s="19"/>
      <c r="AD426" s="19"/>
      <c r="AE426" s="19"/>
      <c r="AF426" s="19"/>
      <c r="AG426" s="19"/>
      <c r="AH426" s="19"/>
    </row>
    <row r="427" spans="1:34" ht="13.15" x14ac:dyDescent="0.4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/>
      <c r="AC427" s="19"/>
      <c r="AD427" s="19"/>
      <c r="AE427" s="19"/>
      <c r="AF427" s="19"/>
      <c r="AG427" s="19"/>
      <c r="AH427" s="19"/>
    </row>
    <row r="428" spans="1:34" ht="13.15" x14ac:dyDescent="0.4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  <c r="AC428" s="19"/>
      <c r="AD428" s="19"/>
      <c r="AE428" s="19"/>
      <c r="AF428" s="19"/>
      <c r="AG428" s="19"/>
      <c r="AH428" s="19"/>
    </row>
    <row r="429" spans="1:34" ht="13.15" x14ac:dyDescent="0.4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  <c r="AC429" s="19"/>
      <c r="AD429" s="19"/>
      <c r="AE429" s="19"/>
      <c r="AF429" s="19"/>
      <c r="AG429" s="19"/>
      <c r="AH429" s="19"/>
    </row>
    <row r="430" spans="1:34" ht="13.15" x14ac:dyDescent="0.4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  <c r="AC430" s="19"/>
      <c r="AD430" s="19"/>
      <c r="AE430" s="19"/>
      <c r="AF430" s="19"/>
      <c r="AG430" s="19"/>
      <c r="AH430" s="19"/>
    </row>
    <row r="431" spans="1:34" ht="13.15" x14ac:dyDescent="0.4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  <c r="AC431" s="19"/>
      <c r="AD431" s="19"/>
      <c r="AE431" s="19"/>
      <c r="AF431" s="19"/>
      <c r="AG431" s="19"/>
      <c r="AH431" s="19"/>
    </row>
    <row r="432" spans="1:34" ht="13.15" x14ac:dyDescent="0.4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  <c r="AB432" s="19"/>
      <c r="AC432" s="19"/>
      <c r="AD432" s="19"/>
      <c r="AE432" s="19"/>
      <c r="AF432" s="19"/>
      <c r="AG432" s="19"/>
      <c r="AH432" s="19"/>
    </row>
    <row r="433" spans="1:34" ht="13.15" x14ac:dyDescent="0.4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  <c r="AC433" s="19"/>
      <c r="AD433" s="19"/>
      <c r="AE433" s="19"/>
      <c r="AF433" s="19"/>
      <c r="AG433" s="19"/>
      <c r="AH433" s="19"/>
    </row>
    <row r="434" spans="1:34" ht="13.15" x14ac:dyDescent="0.4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/>
      <c r="AC434" s="19"/>
      <c r="AD434" s="19"/>
      <c r="AE434" s="19"/>
      <c r="AF434" s="19"/>
      <c r="AG434" s="19"/>
      <c r="AH434" s="19"/>
    </row>
    <row r="435" spans="1:34" ht="13.15" x14ac:dyDescent="0.4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  <c r="AC435" s="19"/>
      <c r="AD435" s="19"/>
      <c r="AE435" s="19"/>
      <c r="AF435" s="19"/>
      <c r="AG435" s="19"/>
      <c r="AH435" s="19"/>
    </row>
    <row r="436" spans="1:34" ht="13.15" x14ac:dyDescent="0.4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  <c r="AC436" s="19"/>
      <c r="AD436" s="19"/>
      <c r="AE436" s="19"/>
      <c r="AF436" s="19"/>
      <c r="AG436" s="19"/>
      <c r="AH436" s="19"/>
    </row>
    <row r="437" spans="1:34" ht="13.15" x14ac:dyDescent="0.4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  <c r="AC437" s="19"/>
      <c r="AD437" s="19"/>
      <c r="AE437" s="19"/>
      <c r="AF437" s="19"/>
      <c r="AG437" s="19"/>
      <c r="AH437" s="19"/>
    </row>
    <row r="438" spans="1:34" ht="13.15" x14ac:dyDescent="0.4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  <c r="AC438" s="19"/>
      <c r="AD438" s="19"/>
      <c r="AE438" s="19"/>
      <c r="AF438" s="19"/>
      <c r="AG438" s="19"/>
      <c r="AH438" s="19"/>
    </row>
    <row r="439" spans="1:34" ht="13.15" x14ac:dyDescent="0.4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  <c r="AC439" s="19"/>
      <c r="AD439" s="19"/>
      <c r="AE439" s="19"/>
      <c r="AF439" s="19"/>
      <c r="AG439" s="19"/>
      <c r="AH439" s="19"/>
    </row>
    <row r="440" spans="1:34" ht="13.15" x14ac:dyDescent="0.4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  <c r="AC440" s="19"/>
      <c r="AD440" s="19"/>
      <c r="AE440" s="19"/>
      <c r="AF440" s="19"/>
      <c r="AG440" s="19"/>
      <c r="AH440" s="19"/>
    </row>
    <row r="441" spans="1:34" ht="13.15" x14ac:dyDescent="0.4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  <c r="AC441" s="19"/>
      <c r="AD441" s="19"/>
      <c r="AE441" s="19"/>
      <c r="AF441" s="19"/>
      <c r="AG441" s="19"/>
      <c r="AH441" s="19"/>
    </row>
    <row r="442" spans="1:34" ht="13.15" x14ac:dyDescent="0.4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  <c r="AC442" s="19"/>
      <c r="AD442" s="19"/>
      <c r="AE442" s="19"/>
      <c r="AF442" s="19"/>
      <c r="AG442" s="19"/>
      <c r="AH442" s="19"/>
    </row>
    <row r="443" spans="1:34" ht="13.15" x14ac:dyDescent="0.4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  <c r="AC443" s="19"/>
      <c r="AD443" s="19"/>
      <c r="AE443" s="19"/>
      <c r="AF443" s="19"/>
      <c r="AG443" s="19"/>
      <c r="AH443" s="19"/>
    </row>
    <row r="444" spans="1:34" ht="13.15" x14ac:dyDescent="0.4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  <c r="AC444" s="19"/>
      <c r="AD444" s="19"/>
      <c r="AE444" s="19"/>
      <c r="AF444" s="19"/>
      <c r="AG444" s="19"/>
      <c r="AH444" s="19"/>
    </row>
    <row r="445" spans="1:34" ht="13.15" x14ac:dyDescent="0.4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  <c r="AC445" s="19"/>
      <c r="AD445" s="19"/>
      <c r="AE445" s="19"/>
      <c r="AF445" s="19"/>
      <c r="AG445" s="19"/>
      <c r="AH445" s="19"/>
    </row>
    <row r="446" spans="1:34" ht="13.15" x14ac:dyDescent="0.4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  <c r="AB446" s="19"/>
      <c r="AC446" s="19"/>
      <c r="AD446" s="19"/>
      <c r="AE446" s="19"/>
      <c r="AF446" s="19"/>
      <c r="AG446" s="19"/>
      <c r="AH446" s="19"/>
    </row>
    <row r="447" spans="1:34" ht="13.15" x14ac:dyDescent="0.4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  <c r="AC447" s="19"/>
      <c r="AD447" s="19"/>
      <c r="AE447" s="19"/>
      <c r="AF447" s="19"/>
      <c r="AG447" s="19"/>
      <c r="AH447" s="19"/>
    </row>
    <row r="448" spans="1:34" ht="13.15" x14ac:dyDescent="0.4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  <c r="AC448" s="19"/>
      <c r="AD448" s="19"/>
      <c r="AE448" s="19"/>
      <c r="AF448" s="19"/>
      <c r="AG448" s="19"/>
      <c r="AH448" s="19"/>
    </row>
    <row r="449" spans="1:34" ht="13.15" x14ac:dyDescent="0.4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  <c r="AC449" s="19"/>
      <c r="AD449" s="19"/>
      <c r="AE449" s="19"/>
      <c r="AF449" s="19"/>
      <c r="AG449" s="19"/>
      <c r="AH449" s="19"/>
    </row>
    <row r="450" spans="1:34" ht="13.15" x14ac:dyDescent="0.4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/>
      <c r="AC450" s="19"/>
      <c r="AD450" s="19"/>
      <c r="AE450" s="19"/>
      <c r="AF450" s="19"/>
      <c r="AG450" s="19"/>
      <c r="AH450" s="19"/>
    </row>
    <row r="451" spans="1:34" ht="13.15" x14ac:dyDescent="0.4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  <c r="AB451" s="19"/>
      <c r="AC451" s="19"/>
      <c r="AD451" s="19"/>
      <c r="AE451" s="19"/>
      <c r="AF451" s="19"/>
      <c r="AG451" s="19"/>
      <c r="AH451" s="19"/>
    </row>
    <row r="452" spans="1:34" ht="13.15" x14ac:dyDescent="0.4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  <c r="AB452" s="19"/>
      <c r="AC452" s="19"/>
      <c r="AD452" s="19"/>
      <c r="AE452" s="19"/>
      <c r="AF452" s="19"/>
      <c r="AG452" s="19"/>
      <c r="AH452" s="19"/>
    </row>
    <row r="453" spans="1:34" ht="13.15" x14ac:dyDescent="0.4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  <c r="AB453" s="19"/>
      <c r="AC453" s="19"/>
      <c r="AD453" s="19"/>
      <c r="AE453" s="19"/>
      <c r="AF453" s="19"/>
      <c r="AG453" s="19"/>
      <c r="AH453" s="19"/>
    </row>
    <row r="454" spans="1:34" ht="13.15" x14ac:dyDescent="0.4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  <c r="AB454" s="19"/>
      <c r="AC454" s="19"/>
      <c r="AD454" s="19"/>
      <c r="AE454" s="19"/>
      <c r="AF454" s="19"/>
      <c r="AG454" s="19"/>
      <c r="AH454" s="19"/>
    </row>
    <row r="455" spans="1:34" ht="13.15" x14ac:dyDescent="0.4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  <c r="AB455" s="19"/>
      <c r="AC455" s="19"/>
      <c r="AD455" s="19"/>
      <c r="AE455" s="19"/>
      <c r="AF455" s="19"/>
      <c r="AG455" s="19"/>
      <c r="AH455" s="19"/>
    </row>
    <row r="456" spans="1:34" ht="13.15" x14ac:dyDescent="0.4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  <c r="AC456" s="19"/>
      <c r="AD456" s="19"/>
      <c r="AE456" s="19"/>
      <c r="AF456" s="19"/>
      <c r="AG456" s="19"/>
      <c r="AH456" s="19"/>
    </row>
    <row r="457" spans="1:34" ht="13.15" x14ac:dyDescent="0.4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  <c r="AA457" s="19"/>
      <c r="AB457" s="19"/>
      <c r="AC457" s="19"/>
      <c r="AD457" s="19"/>
      <c r="AE457" s="19"/>
      <c r="AF457" s="19"/>
      <c r="AG457" s="19"/>
      <c r="AH457" s="19"/>
    </row>
    <row r="458" spans="1:34" ht="13.15" x14ac:dyDescent="0.4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  <c r="AA458" s="19"/>
      <c r="AB458" s="19"/>
      <c r="AC458" s="19"/>
      <c r="AD458" s="19"/>
      <c r="AE458" s="19"/>
      <c r="AF458" s="19"/>
      <c r="AG458" s="19"/>
      <c r="AH458" s="19"/>
    </row>
    <row r="459" spans="1:34" ht="13.15" x14ac:dyDescent="0.4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  <c r="AB459" s="19"/>
      <c r="AC459" s="19"/>
      <c r="AD459" s="19"/>
      <c r="AE459" s="19"/>
      <c r="AF459" s="19"/>
      <c r="AG459" s="19"/>
      <c r="AH459" s="19"/>
    </row>
    <row r="460" spans="1:34" ht="13.15" x14ac:dyDescent="0.4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  <c r="AB460" s="19"/>
      <c r="AC460" s="19"/>
      <c r="AD460" s="19"/>
      <c r="AE460" s="19"/>
      <c r="AF460" s="19"/>
      <c r="AG460" s="19"/>
      <c r="AH460" s="19"/>
    </row>
    <row r="461" spans="1:34" ht="13.15" x14ac:dyDescent="0.4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  <c r="AB461" s="19"/>
      <c r="AC461" s="19"/>
      <c r="AD461" s="19"/>
      <c r="AE461" s="19"/>
      <c r="AF461" s="19"/>
      <c r="AG461" s="19"/>
      <c r="AH461" s="19"/>
    </row>
    <row r="462" spans="1:34" ht="13.15" x14ac:dyDescent="0.4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  <c r="AC462" s="19"/>
      <c r="AD462" s="19"/>
      <c r="AE462" s="19"/>
      <c r="AF462" s="19"/>
      <c r="AG462" s="19"/>
      <c r="AH462" s="19"/>
    </row>
    <row r="463" spans="1:34" ht="13.15" x14ac:dyDescent="0.4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  <c r="AB463" s="19"/>
      <c r="AC463" s="19"/>
      <c r="AD463" s="19"/>
      <c r="AE463" s="19"/>
      <c r="AF463" s="19"/>
      <c r="AG463" s="19"/>
      <c r="AH463" s="19"/>
    </row>
    <row r="464" spans="1:34" ht="13.15" x14ac:dyDescent="0.4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  <c r="AC464" s="19"/>
      <c r="AD464" s="19"/>
      <c r="AE464" s="19"/>
      <c r="AF464" s="19"/>
      <c r="AG464" s="19"/>
      <c r="AH464" s="19"/>
    </row>
    <row r="465" spans="1:34" ht="13.15" x14ac:dyDescent="0.4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/>
      <c r="AC465" s="19"/>
      <c r="AD465" s="19"/>
      <c r="AE465" s="19"/>
      <c r="AF465" s="19"/>
      <c r="AG465" s="19"/>
      <c r="AH465" s="19"/>
    </row>
    <row r="466" spans="1:34" ht="13.15" x14ac:dyDescent="0.4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  <c r="AB466" s="19"/>
      <c r="AC466" s="19"/>
      <c r="AD466" s="19"/>
      <c r="AE466" s="19"/>
      <c r="AF466" s="19"/>
      <c r="AG466" s="19"/>
      <c r="AH466" s="19"/>
    </row>
    <row r="467" spans="1:34" ht="13.15" x14ac:dyDescent="0.4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  <c r="AC467" s="19"/>
      <c r="AD467" s="19"/>
      <c r="AE467" s="19"/>
      <c r="AF467" s="19"/>
      <c r="AG467" s="19"/>
      <c r="AH467" s="19"/>
    </row>
    <row r="468" spans="1:34" ht="13.15" x14ac:dyDescent="0.4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  <c r="AB468" s="19"/>
      <c r="AC468" s="19"/>
      <c r="AD468" s="19"/>
      <c r="AE468" s="19"/>
      <c r="AF468" s="19"/>
      <c r="AG468" s="19"/>
      <c r="AH468" s="19"/>
    </row>
    <row r="469" spans="1:34" ht="13.15" x14ac:dyDescent="0.4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  <c r="AB469" s="19"/>
      <c r="AC469" s="19"/>
      <c r="AD469" s="19"/>
      <c r="AE469" s="19"/>
      <c r="AF469" s="19"/>
      <c r="AG469" s="19"/>
      <c r="AH469" s="19"/>
    </row>
    <row r="470" spans="1:34" ht="13.15" x14ac:dyDescent="0.4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  <c r="AB470" s="19"/>
      <c r="AC470" s="19"/>
      <c r="AD470" s="19"/>
      <c r="AE470" s="19"/>
      <c r="AF470" s="19"/>
      <c r="AG470" s="19"/>
      <c r="AH470" s="19"/>
    </row>
    <row r="471" spans="1:34" ht="13.15" x14ac:dyDescent="0.4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  <c r="AC471" s="19"/>
      <c r="AD471" s="19"/>
      <c r="AE471" s="19"/>
      <c r="AF471" s="19"/>
      <c r="AG471" s="19"/>
      <c r="AH471" s="19"/>
    </row>
    <row r="472" spans="1:34" ht="13.15" x14ac:dyDescent="0.4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  <c r="AB472" s="19"/>
      <c r="AC472" s="19"/>
      <c r="AD472" s="19"/>
      <c r="AE472" s="19"/>
      <c r="AF472" s="19"/>
      <c r="AG472" s="19"/>
      <c r="AH472" s="19"/>
    </row>
    <row r="473" spans="1:34" ht="13.15" x14ac:dyDescent="0.4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  <c r="AC473" s="19"/>
      <c r="AD473" s="19"/>
      <c r="AE473" s="19"/>
      <c r="AF473" s="19"/>
      <c r="AG473" s="19"/>
      <c r="AH473" s="19"/>
    </row>
    <row r="474" spans="1:34" ht="13.15" x14ac:dyDescent="0.4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/>
      <c r="AC474" s="19"/>
      <c r="AD474" s="19"/>
      <c r="AE474" s="19"/>
      <c r="AF474" s="19"/>
      <c r="AG474" s="19"/>
      <c r="AH474" s="19"/>
    </row>
    <row r="475" spans="1:34" ht="13.15" x14ac:dyDescent="0.4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  <c r="AC475" s="19"/>
      <c r="AD475" s="19"/>
      <c r="AE475" s="19"/>
      <c r="AF475" s="19"/>
      <c r="AG475" s="19"/>
      <c r="AH475" s="19"/>
    </row>
    <row r="476" spans="1:34" ht="13.15" x14ac:dyDescent="0.4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/>
      <c r="AC476" s="19"/>
      <c r="AD476" s="19"/>
      <c r="AE476" s="19"/>
      <c r="AF476" s="19"/>
      <c r="AG476" s="19"/>
      <c r="AH476" s="19"/>
    </row>
    <row r="477" spans="1:34" ht="13.15" x14ac:dyDescent="0.4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  <c r="AC477" s="19"/>
      <c r="AD477" s="19"/>
      <c r="AE477" s="19"/>
      <c r="AF477" s="19"/>
      <c r="AG477" s="19"/>
      <c r="AH477" s="19"/>
    </row>
    <row r="478" spans="1:34" ht="13.15" x14ac:dyDescent="0.4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  <c r="AC478" s="19"/>
      <c r="AD478" s="19"/>
      <c r="AE478" s="19"/>
      <c r="AF478" s="19"/>
      <c r="AG478" s="19"/>
      <c r="AH478" s="19"/>
    </row>
    <row r="479" spans="1:34" ht="13.15" x14ac:dyDescent="0.4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  <c r="AC479" s="19"/>
      <c r="AD479" s="19"/>
      <c r="AE479" s="19"/>
      <c r="AF479" s="19"/>
      <c r="AG479" s="19"/>
      <c r="AH479" s="19"/>
    </row>
    <row r="480" spans="1:34" ht="13.15" x14ac:dyDescent="0.4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  <c r="AC480" s="19"/>
      <c r="AD480" s="19"/>
      <c r="AE480" s="19"/>
      <c r="AF480" s="19"/>
      <c r="AG480" s="19"/>
      <c r="AH480" s="19"/>
    </row>
    <row r="481" spans="1:34" ht="13.15" x14ac:dyDescent="0.4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  <c r="AB481" s="19"/>
      <c r="AC481" s="19"/>
      <c r="AD481" s="19"/>
      <c r="AE481" s="19"/>
      <c r="AF481" s="19"/>
      <c r="AG481" s="19"/>
      <c r="AH481" s="19"/>
    </row>
    <row r="482" spans="1:34" ht="13.15" x14ac:dyDescent="0.4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  <c r="AC482" s="19"/>
      <c r="AD482" s="19"/>
      <c r="AE482" s="19"/>
      <c r="AF482" s="19"/>
      <c r="AG482" s="19"/>
      <c r="AH482" s="19"/>
    </row>
    <row r="483" spans="1:34" ht="13.15" x14ac:dyDescent="0.4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19"/>
      <c r="AC483" s="19"/>
      <c r="AD483" s="19"/>
      <c r="AE483" s="19"/>
      <c r="AF483" s="19"/>
      <c r="AG483" s="19"/>
      <c r="AH483" s="19"/>
    </row>
    <row r="484" spans="1:34" ht="13.15" x14ac:dyDescent="0.4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  <c r="AB484" s="19"/>
      <c r="AC484" s="19"/>
      <c r="AD484" s="19"/>
      <c r="AE484" s="19"/>
      <c r="AF484" s="19"/>
      <c r="AG484" s="19"/>
      <c r="AH484" s="19"/>
    </row>
    <row r="485" spans="1:34" ht="13.15" x14ac:dyDescent="0.4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  <c r="AA485" s="19"/>
      <c r="AB485" s="19"/>
      <c r="AC485" s="19"/>
      <c r="AD485" s="19"/>
      <c r="AE485" s="19"/>
      <c r="AF485" s="19"/>
      <c r="AG485" s="19"/>
      <c r="AH485" s="19"/>
    </row>
    <row r="486" spans="1:34" ht="13.15" x14ac:dyDescent="0.4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  <c r="AB486" s="19"/>
      <c r="AC486" s="19"/>
      <c r="AD486" s="19"/>
      <c r="AE486" s="19"/>
      <c r="AF486" s="19"/>
      <c r="AG486" s="19"/>
      <c r="AH486" s="19"/>
    </row>
    <row r="487" spans="1:34" ht="13.15" x14ac:dyDescent="0.4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  <c r="AA487" s="19"/>
      <c r="AB487" s="19"/>
      <c r="AC487" s="19"/>
      <c r="AD487" s="19"/>
      <c r="AE487" s="19"/>
      <c r="AF487" s="19"/>
      <c r="AG487" s="19"/>
      <c r="AH487" s="19"/>
    </row>
    <row r="488" spans="1:34" ht="13.15" x14ac:dyDescent="0.4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  <c r="AC488" s="19"/>
      <c r="AD488" s="19"/>
      <c r="AE488" s="19"/>
      <c r="AF488" s="19"/>
      <c r="AG488" s="19"/>
      <c r="AH488" s="19"/>
    </row>
    <row r="489" spans="1:34" ht="13.15" x14ac:dyDescent="0.4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  <c r="AB489" s="19"/>
      <c r="AC489" s="19"/>
      <c r="AD489" s="19"/>
      <c r="AE489" s="19"/>
      <c r="AF489" s="19"/>
      <c r="AG489" s="19"/>
      <c r="AH489" s="19"/>
    </row>
    <row r="490" spans="1:34" ht="13.15" x14ac:dyDescent="0.4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  <c r="AC490" s="19"/>
      <c r="AD490" s="19"/>
      <c r="AE490" s="19"/>
      <c r="AF490" s="19"/>
      <c r="AG490" s="19"/>
      <c r="AH490" s="19"/>
    </row>
    <row r="491" spans="1:34" ht="13.15" x14ac:dyDescent="0.4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  <c r="AB491" s="19"/>
      <c r="AC491" s="19"/>
      <c r="AD491" s="19"/>
      <c r="AE491" s="19"/>
      <c r="AF491" s="19"/>
      <c r="AG491" s="19"/>
      <c r="AH491" s="19"/>
    </row>
    <row r="492" spans="1:34" ht="13.15" x14ac:dyDescent="0.4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  <c r="AB492" s="19"/>
      <c r="AC492" s="19"/>
      <c r="AD492" s="19"/>
      <c r="AE492" s="19"/>
      <c r="AF492" s="19"/>
      <c r="AG492" s="19"/>
      <c r="AH492" s="19"/>
    </row>
    <row r="493" spans="1:34" ht="13.15" x14ac:dyDescent="0.4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  <c r="AB493" s="19"/>
      <c r="AC493" s="19"/>
      <c r="AD493" s="19"/>
      <c r="AE493" s="19"/>
      <c r="AF493" s="19"/>
      <c r="AG493" s="19"/>
      <c r="AH493" s="19"/>
    </row>
    <row r="494" spans="1:34" ht="13.15" x14ac:dyDescent="0.4">
      <c r="A494" s="19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  <c r="AA494" s="19"/>
      <c r="AB494" s="19"/>
      <c r="AC494" s="19"/>
      <c r="AD494" s="19"/>
      <c r="AE494" s="19"/>
      <c r="AF494" s="19"/>
      <c r="AG494" s="19"/>
      <c r="AH494" s="19"/>
    </row>
    <row r="495" spans="1:34" ht="13.15" x14ac:dyDescent="0.4">
      <c r="A495" s="19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  <c r="AA495" s="19"/>
      <c r="AB495" s="19"/>
      <c r="AC495" s="19"/>
      <c r="AD495" s="19"/>
      <c r="AE495" s="19"/>
      <c r="AF495" s="19"/>
      <c r="AG495" s="19"/>
      <c r="AH495" s="19"/>
    </row>
    <row r="496" spans="1:34" ht="13.15" x14ac:dyDescent="0.4">
      <c r="A496" s="19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  <c r="AA496" s="19"/>
      <c r="AB496" s="19"/>
      <c r="AC496" s="19"/>
      <c r="AD496" s="19"/>
      <c r="AE496" s="19"/>
      <c r="AF496" s="19"/>
      <c r="AG496" s="19"/>
      <c r="AH496" s="19"/>
    </row>
    <row r="497" spans="1:34" ht="13.15" x14ac:dyDescent="0.4">
      <c r="A497" s="19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  <c r="AA497" s="19"/>
      <c r="AB497" s="19"/>
      <c r="AC497" s="19"/>
      <c r="AD497" s="19"/>
      <c r="AE497" s="19"/>
      <c r="AF497" s="19"/>
      <c r="AG497" s="19"/>
      <c r="AH497" s="19"/>
    </row>
    <row r="498" spans="1:34" ht="13.15" x14ac:dyDescent="0.4">
      <c r="A498" s="19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  <c r="AA498" s="19"/>
      <c r="AB498" s="19"/>
      <c r="AC498" s="19"/>
      <c r="AD498" s="19"/>
      <c r="AE498" s="19"/>
      <c r="AF498" s="19"/>
      <c r="AG498" s="19"/>
      <c r="AH498" s="19"/>
    </row>
    <row r="499" spans="1:34" ht="13.15" x14ac:dyDescent="0.4">
      <c r="A499" s="19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  <c r="AB499" s="19"/>
      <c r="AC499" s="19"/>
      <c r="AD499" s="19"/>
      <c r="AE499" s="19"/>
      <c r="AF499" s="19"/>
      <c r="AG499" s="19"/>
      <c r="AH499" s="19"/>
    </row>
    <row r="500" spans="1:34" ht="13.15" x14ac:dyDescent="0.4">
      <c r="A500" s="19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  <c r="AA500" s="19"/>
      <c r="AB500" s="19"/>
      <c r="AC500" s="19"/>
      <c r="AD500" s="19"/>
      <c r="AE500" s="19"/>
      <c r="AF500" s="19"/>
      <c r="AG500" s="19"/>
      <c r="AH500" s="19"/>
    </row>
    <row r="501" spans="1:34" ht="13.15" x14ac:dyDescent="0.4">
      <c r="A501" s="19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  <c r="AA501" s="19"/>
      <c r="AB501" s="19"/>
      <c r="AC501" s="19"/>
      <c r="AD501" s="19"/>
      <c r="AE501" s="19"/>
      <c r="AF501" s="19"/>
      <c r="AG501" s="19"/>
      <c r="AH501" s="19"/>
    </row>
    <row r="502" spans="1:34" ht="13.15" x14ac:dyDescent="0.4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  <c r="AA502" s="19"/>
      <c r="AB502" s="19"/>
      <c r="AC502" s="19"/>
      <c r="AD502" s="19"/>
      <c r="AE502" s="19"/>
      <c r="AF502" s="19"/>
      <c r="AG502" s="19"/>
      <c r="AH502" s="19"/>
    </row>
    <row r="503" spans="1:34" ht="13.15" x14ac:dyDescent="0.4">
      <c r="A503" s="19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  <c r="AB503" s="19"/>
      <c r="AC503" s="19"/>
      <c r="AD503" s="19"/>
      <c r="AE503" s="19"/>
      <c r="AF503" s="19"/>
      <c r="AG503" s="19"/>
      <c r="AH503" s="19"/>
    </row>
    <row r="504" spans="1:34" ht="13.15" x14ac:dyDescent="0.4">
      <c r="A504" s="19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  <c r="AB504" s="19"/>
      <c r="AC504" s="19"/>
      <c r="AD504" s="19"/>
      <c r="AE504" s="19"/>
      <c r="AF504" s="19"/>
      <c r="AG504" s="19"/>
      <c r="AH504" s="19"/>
    </row>
    <row r="505" spans="1:34" ht="13.15" x14ac:dyDescent="0.4">
      <c r="A505" s="19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  <c r="AB505" s="19"/>
      <c r="AC505" s="19"/>
      <c r="AD505" s="19"/>
      <c r="AE505" s="19"/>
      <c r="AF505" s="19"/>
      <c r="AG505" s="19"/>
      <c r="AH505" s="19"/>
    </row>
    <row r="506" spans="1:34" ht="13.15" x14ac:dyDescent="0.4">
      <c r="A506" s="19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  <c r="AB506" s="19"/>
      <c r="AC506" s="19"/>
      <c r="AD506" s="19"/>
      <c r="AE506" s="19"/>
      <c r="AF506" s="19"/>
      <c r="AG506" s="19"/>
      <c r="AH506" s="19"/>
    </row>
    <row r="507" spans="1:34" ht="13.15" x14ac:dyDescent="0.4">
      <c r="A507" s="19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  <c r="AB507" s="19"/>
      <c r="AC507" s="19"/>
      <c r="AD507" s="19"/>
      <c r="AE507" s="19"/>
      <c r="AF507" s="19"/>
      <c r="AG507" s="19"/>
      <c r="AH507" s="19"/>
    </row>
    <row r="508" spans="1:34" ht="13.15" x14ac:dyDescent="0.4">
      <c r="A508" s="19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  <c r="AC508" s="19"/>
      <c r="AD508" s="19"/>
      <c r="AE508" s="19"/>
      <c r="AF508" s="19"/>
      <c r="AG508" s="19"/>
      <c r="AH508" s="19"/>
    </row>
    <row r="509" spans="1:34" ht="13.15" x14ac:dyDescent="0.4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AB509" s="19"/>
      <c r="AC509" s="19"/>
      <c r="AD509" s="19"/>
      <c r="AE509" s="19"/>
      <c r="AF509" s="19"/>
      <c r="AG509" s="19"/>
      <c r="AH509" s="19"/>
    </row>
    <row r="510" spans="1:34" ht="13.15" x14ac:dyDescent="0.4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  <c r="AC510" s="19"/>
      <c r="AD510" s="19"/>
      <c r="AE510" s="19"/>
      <c r="AF510" s="19"/>
      <c r="AG510" s="19"/>
      <c r="AH510" s="19"/>
    </row>
    <row r="511" spans="1:34" ht="13.15" x14ac:dyDescent="0.4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  <c r="AC511" s="19"/>
      <c r="AD511" s="19"/>
      <c r="AE511" s="19"/>
      <c r="AF511" s="19"/>
      <c r="AG511" s="19"/>
      <c r="AH511" s="19"/>
    </row>
    <row r="512" spans="1:34" ht="13.15" x14ac:dyDescent="0.4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  <c r="AC512" s="19"/>
      <c r="AD512" s="19"/>
      <c r="AE512" s="19"/>
      <c r="AF512" s="19"/>
      <c r="AG512" s="19"/>
      <c r="AH512" s="19"/>
    </row>
    <row r="513" spans="1:34" ht="13.15" x14ac:dyDescent="0.4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AB513" s="19"/>
      <c r="AC513" s="19"/>
      <c r="AD513" s="19"/>
      <c r="AE513" s="19"/>
      <c r="AF513" s="19"/>
      <c r="AG513" s="19"/>
      <c r="AH513" s="19"/>
    </row>
    <row r="514" spans="1:34" ht="13.15" x14ac:dyDescent="0.4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  <c r="AB514" s="19"/>
      <c r="AC514" s="19"/>
      <c r="AD514" s="19"/>
      <c r="AE514" s="19"/>
      <c r="AF514" s="19"/>
      <c r="AG514" s="19"/>
      <c r="AH514" s="19"/>
    </row>
    <row r="515" spans="1:34" ht="13.15" x14ac:dyDescent="0.4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/>
      <c r="AC515" s="19"/>
      <c r="AD515" s="19"/>
      <c r="AE515" s="19"/>
      <c r="AF515" s="19"/>
      <c r="AG515" s="19"/>
      <c r="AH515" s="19"/>
    </row>
    <row r="516" spans="1:34" ht="13.15" x14ac:dyDescent="0.4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  <c r="AC516" s="19"/>
      <c r="AD516" s="19"/>
      <c r="AE516" s="19"/>
      <c r="AF516" s="19"/>
      <c r="AG516" s="19"/>
      <c r="AH516" s="19"/>
    </row>
    <row r="517" spans="1:34" ht="13.15" x14ac:dyDescent="0.4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  <c r="AB517" s="19"/>
      <c r="AC517" s="19"/>
      <c r="AD517" s="19"/>
      <c r="AE517" s="19"/>
      <c r="AF517" s="19"/>
      <c r="AG517" s="19"/>
      <c r="AH517" s="19"/>
    </row>
    <row r="518" spans="1:34" ht="13.15" x14ac:dyDescent="0.4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  <c r="AB518" s="19"/>
      <c r="AC518" s="19"/>
      <c r="AD518" s="19"/>
      <c r="AE518" s="19"/>
      <c r="AF518" s="19"/>
      <c r="AG518" s="19"/>
      <c r="AH518" s="19"/>
    </row>
    <row r="519" spans="1:34" ht="13.15" x14ac:dyDescent="0.4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  <c r="AA519" s="19"/>
      <c r="AB519" s="19"/>
      <c r="AC519" s="19"/>
      <c r="AD519" s="19"/>
      <c r="AE519" s="19"/>
      <c r="AF519" s="19"/>
      <c r="AG519" s="19"/>
      <c r="AH519" s="19"/>
    </row>
    <row r="520" spans="1:34" ht="13.15" x14ac:dyDescent="0.4">
      <c r="A520" s="19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  <c r="AB520" s="19"/>
      <c r="AC520" s="19"/>
      <c r="AD520" s="19"/>
      <c r="AE520" s="19"/>
      <c r="AF520" s="19"/>
      <c r="AG520" s="19"/>
      <c r="AH520" s="19"/>
    </row>
    <row r="521" spans="1:34" ht="13.15" x14ac:dyDescent="0.4">
      <c r="A521" s="19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  <c r="AB521" s="19"/>
      <c r="AC521" s="19"/>
      <c r="AD521" s="19"/>
      <c r="AE521" s="19"/>
      <c r="AF521" s="19"/>
      <c r="AG521" s="19"/>
      <c r="AH521" s="19"/>
    </row>
    <row r="522" spans="1:34" ht="13.15" x14ac:dyDescent="0.4">
      <c r="A522" s="19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  <c r="AA522" s="19"/>
      <c r="AB522" s="19"/>
      <c r="AC522" s="19"/>
      <c r="AD522" s="19"/>
      <c r="AE522" s="19"/>
      <c r="AF522" s="19"/>
      <c r="AG522" s="19"/>
      <c r="AH522" s="19"/>
    </row>
    <row r="523" spans="1:34" ht="13.15" x14ac:dyDescent="0.4">
      <c r="A523" s="19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  <c r="AB523" s="19"/>
      <c r="AC523" s="19"/>
      <c r="AD523" s="19"/>
      <c r="AE523" s="19"/>
      <c r="AF523" s="19"/>
      <c r="AG523" s="19"/>
      <c r="AH523" s="19"/>
    </row>
    <row r="524" spans="1:34" ht="13.15" x14ac:dyDescent="0.4">
      <c r="A524" s="19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  <c r="AA524" s="19"/>
      <c r="AB524" s="19"/>
      <c r="AC524" s="19"/>
      <c r="AD524" s="19"/>
      <c r="AE524" s="19"/>
      <c r="AF524" s="19"/>
      <c r="AG524" s="19"/>
      <c r="AH524" s="19"/>
    </row>
    <row r="525" spans="1:34" ht="13.15" x14ac:dyDescent="0.4">
      <c r="A525" s="19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  <c r="AC525" s="19"/>
      <c r="AD525" s="19"/>
      <c r="AE525" s="19"/>
      <c r="AF525" s="19"/>
      <c r="AG525" s="19"/>
      <c r="AH525" s="19"/>
    </row>
    <row r="526" spans="1:34" ht="13.15" x14ac:dyDescent="0.4">
      <c r="A526" s="19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  <c r="AC526" s="19"/>
      <c r="AD526" s="19"/>
      <c r="AE526" s="19"/>
      <c r="AF526" s="19"/>
      <c r="AG526" s="19"/>
      <c r="AH526" s="19"/>
    </row>
    <row r="527" spans="1:34" ht="13.15" x14ac:dyDescent="0.4">
      <c r="A527" s="19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  <c r="AC527" s="19"/>
      <c r="AD527" s="19"/>
      <c r="AE527" s="19"/>
      <c r="AF527" s="19"/>
      <c r="AG527" s="19"/>
      <c r="AH527" s="19"/>
    </row>
    <row r="528" spans="1:34" ht="13.15" x14ac:dyDescent="0.4">
      <c r="A528" s="19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  <c r="AC528" s="19"/>
      <c r="AD528" s="19"/>
      <c r="AE528" s="19"/>
      <c r="AF528" s="19"/>
      <c r="AG528" s="19"/>
      <c r="AH528" s="19"/>
    </row>
    <row r="529" spans="1:34" ht="13.15" x14ac:dyDescent="0.4">
      <c r="A529" s="19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  <c r="AB529" s="19"/>
      <c r="AC529" s="19"/>
      <c r="AD529" s="19"/>
      <c r="AE529" s="19"/>
      <c r="AF529" s="19"/>
      <c r="AG529" s="19"/>
      <c r="AH529" s="19"/>
    </row>
    <row r="530" spans="1:34" ht="13.15" x14ac:dyDescent="0.4">
      <c r="A530" s="19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  <c r="AC530" s="19"/>
      <c r="AD530" s="19"/>
      <c r="AE530" s="19"/>
      <c r="AF530" s="19"/>
      <c r="AG530" s="19"/>
      <c r="AH530" s="19"/>
    </row>
    <row r="531" spans="1:34" ht="13.15" x14ac:dyDescent="0.4">
      <c r="A531" s="19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  <c r="AC531" s="19"/>
      <c r="AD531" s="19"/>
      <c r="AE531" s="19"/>
      <c r="AF531" s="19"/>
      <c r="AG531" s="19"/>
      <c r="AH531" s="19"/>
    </row>
    <row r="532" spans="1:34" ht="13.15" x14ac:dyDescent="0.4">
      <c r="A532" s="19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  <c r="AC532" s="19"/>
      <c r="AD532" s="19"/>
      <c r="AE532" s="19"/>
      <c r="AF532" s="19"/>
      <c r="AG532" s="19"/>
      <c r="AH532" s="19"/>
    </row>
    <row r="533" spans="1:34" ht="13.15" x14ac:dyDescent="0.4">
      <c r="A533" s="19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  <c r="AC533" s="19"/>
      <c r="AD533" s="19"/>
      <c r="AE533" s="19"/>
      <c r="AF533" s="19"/>
      <c r="AG533" s="19"/>
      <c r="AH533" s="19"/>
    </row>
    <row r="534" spans="1:34" ht="13.15" x14ac:dyDescent="0.4">
      <c r="A534" s="19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  <c r="AC534" s="19"/>
      <c r="AD534" s="19"/>
      <c r="AE534" s="19"/>
      <c r="AF534" s="19"/>
      <c r="AG534" s="19"/>
      <c r="AH534" s="19"/>
    </row>
    <row r="535" spans="1:34" ht="13.15" x14ac:dyDescent="0.4">
      <c r="A535" s="19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  <c r="AB535" s="19"/>
      <c r="AC535" s="19"/>
      <c r="AD535" s="19"/>
      <c r="AE535" s="19"/>
      <c r="AF535" s="19"/>
      <c r="AG535" s="19"/>
      <c r="AH535" s="19"/>
    </row>
    <row r="536" spans="1:34" ht="13.15" x14ac:dyDescent="0.4">
      <c r="A536" s="19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  <c r="AC536" s="19"/>
      <c r="AD536" s="19"/>
      <c r="AE536" s="19"/>
      <c r="AF536" s="19"/>
      <c r="AG536" s="19"/>
      <c r="AH536" s="19"/>
    </row>
    <row r="537" spans="1:34" ht="13.15" x14ac:dyDescent="0.4">
      <c r="A537" s="19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  <c r="AC537" s="19"/>
      <c r="AD537" s="19"/>
      <c r="AE537" s="19"/>
      <c r="AF537" s="19"/>
      <c r="AG537" s="19"/>
      <c r="AH537" s="19"/>
    </row>
    <row r="538" spans="1:34" ht="13.15" x14ac:dyDescent="0.4">
      <c r="A538" s="19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  <c r="AC538" s="19"/>
      <c r="AD538" s="19"/>
      <c r="AE538" s="19"/>
      <c r="AF538" s="19"/>
      <c r="AG538" s="19"/>
      <c r="AH538" s="19"/>
    </row>
    <row r="539" spans="1:34" ht="13.15" x14ac:dyDescent="0.4">
      <c r="A539" s="19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  <c r="AC539" s="19"/>
      <c r="AD539" s="19"/>
      <c r="AE539" s="19"/>
      <c r="AF539" s="19"/>
      <c r="AG539" s="19"/>
      <c r="AH539" s="19"/>
    </row>
    <row r="540" spans="1:34" ht="13.15" x14ac:dyDescent="0.4">
      <c r="A540" s="19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  <c r="AA540" s="19"/>
      <c r="AB540" s="19"/>
      <c r="AC540" s="19"/>
      <c r="AD540" s="19"/>
      <c r="AE540" s="19"/>
      <c r="AF540" s="19"/>
      <c r="AG540" s="19"/>
      <c r="AH540" s="19"/>
    </row>
    <row r="541" spans="1:34" ht="13.15" x14ac:dyDescent="0.4">
      <c r="A541" s="19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  <c r="AC541" s="19"/>
      <c r="AD541" s="19"/>
      <c r="AE541" s="19"/>
      <c r="AF541" s="19"/>
      <c r="AG541" s="19"/>
      <c r="AH541" s="19"/>
    </row>
    <row r="542" spans="1:34" ht="13.15" x14ac:dyDescent="0.4">
      <c r="A542" s="19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  <c r="AF542" s="19"/>
      <c r="AG542" s="19"/>
      <c r="AH542" s="19"/>
    </row>
    <row r="543" spans="1:34" ht="13.15" x14ac:dyDescent="0.4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  <c r="AB543" s="19"/>
      <c r="AC543" s="19"/>
      <c r="AD543" s="19"/>
      <c r="AE543" s="19"/>
      <c r="AF543" s="19"/>
      <c r="AG543" s="19"/>
      <c r="AH543" s="19"/>
    </row>
    <row r="544" spans="1:34" ht="13.15" x14ac:dyDescent="0.4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  <c r="AA544" s="19"/>
      <c r="AB544" s="19"/>
      <c r="AC544" s="19"/>
      <c r="AD544" s="19"/>
      <c r="AE544" s="19"/>
      <c r="AF544" s="19"/>
      <c r="AG544" s="19"/>
      <c r="AH544" s="19"/>
    </row>
    <row r="545" spans="1:34" ht="13.15" x14ac:dyDescent="0.4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  <c r="AA545" s="19"/>
      <c r="AB545" s="19"/>
      <c r="AC545" s="19"/>
      <c r="AD545" s="19"/>
      <c r="AE545" s="19"/>
      <c r="AF545" s="19"/>
      <c r="AG545" s="19"/>
      <c r="AH545" s="19"/>
    </row>
    <row r="546" spans="1:34" ht="13.15" x14ac:dyDescent="0.4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  <c r="AA546" s="19"/>
      <c r="AB546" s="19"/>
      <c r="AC546" s="19"/>
      <c r="AD546" s="19"/>
      <c r="AE546" s="19"/>
      <c r="AF546" s="19"/>
      <c r="AG546" s="19"/>
      <c r="AH546" s="19"/>
    </row>
    <row r="547" spans="1:34" ht="13.15" x14ac:dyDescent="0.4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  <c r="AC547" s="19"/>
      <c r="AD547" s="19"/>
      <c r="AE547" s="19"/>
      <c r="AF547" s="19"/>
      <c r="AG547" s="19"/>
      <c r="AH547" s="19"/>
    </row>
    <row r="548" spans="1:34" ht="13.15" x14ac:dyDescent="0.4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  <c r="AA548" s="19"/>
      <c r="AB548" s="19"/>
      <c r="AC548" s="19"/>
      <c r="AD548" s="19"/>
      <c r="AE548" s="19"/>
      <c r="AF548" s="19"/>
      <c r="AG548" s="19"/>
      <c r="AH548" s="19"/>
    </row>
    <row r="549" spans="1:34" ht="13.15" x14ac:dyDescent="0.4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  <c r="AA549" s="19"/>
      <c r="AB549" s="19"/>
      <c r="AC549" s="19"/>
      <c r="AD549" s="19"/>
      <c r="AE549" s="19"/>
      <c r="AF549" s="19"/>
      <c r="AG549" s="19"/>
      <c r="AH549" s="19"/>
    </row>
    <row r="550" spans="1:34" ht="13.15" x14ac:dyDescent="0.4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  <c r="AA550" s="19"/>
      <c r="AB550" s="19"/>
      <c r="AC550" s="19"/>
      <c r="AD550" s="19"/>
      <c r="AE550" s="19"/>
      <c r="AF550" s="19"/>
      <c r="AG550" s="19"/>
      <c r="AH550" s="19"/>
    </row>
    <row r="551" spans="1:34" ht="13.15" x14ac:dyDescent="0.4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  <c r="AA551" s="19"/>
      <c r="AB551" s="19"/>
      <c r="AC551" s="19"/>
      <c r="AD551" s="19"/>
      <c r="AE551" s="19"/>
      <c r="AF551" s="19"/>
      <c r="AG551" s="19"/>
      <c r="AH551" s="19"/>
    </row>
    <row r="552" spans="1:34" ht="13.15" x14ac:dyDescent="0.4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  <c r="AA552" s="19"/>
      <c r="AB552" s="19"/>
      <c r="AC552" s="19"/>
      <c r="AD552" s="19"/>
      <c r="AE552" s="19"/>
      <c r="AF552" s="19"/>
      <c r="AG552" s="19"/>
      <c r="AH552" s="19"/>
    </row>
    <row r="553" spans="1:34" ht="13.15" x14ac:dyDescent="0.4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  <c r="AA553" s="19"/>
      <c r="AB553" s="19"/>
      <c r="AC553" s="19"/>
      <c r="AD553" s="19"/>
      <c r="AE553" s="19"/>
      <c r="AF553" s="19"/>
      <c r="AG553" s="19"/>
      <c r="AH553" s="19"/>
    </row>
    <row r="554" spans="1:34" ht="13.15" x14ac:dyDescent="0.4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  <c r="AA554" s="19"/>
      <c r="AB554" s="19"/>
      <c r="AC554" s="19"/>
      <c r="AD554" s="19"/>
      <c r="AE554" s="19"/>
      <c r="AF554" s="19"/>
      <c r="AG554" s="19"/>
      <c r="AH554" s="19"/>
    </row>
    <row r="555" spans="1:34" ht="13.15" x14ac:dyDescent="0.4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  <c r="AA555" s="19"/>
      <c r="AB555" s="19"/>
      <c r="AC555" s="19"/>
      <c r="AD555" s="19"/>
      <c r="AE555" s="19"/>
      <c r="AF555" s="19"/>
      <c r="AG555" s="19"/>
      <c r="AH555" s="19"/>
    </row>
    <row r="556" spans="1:34" ht="13.15" x14ac:dyDescent="0.4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  <c r="AB556" s="19"/>
      <c r="AC556" s="19"/>
      <c r="AD556" s="19"/>
      <c r="AE556" s="19"/>
      <c r="AF556" s="19"/>
      <c r="AG556" s="19"/>
      <c r="AH556" s="19"/>
    </row>
    <row r="557" spans="1:34" ht="13.15" x14ac:dyDescent="0.4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  <c r="AA557" s="19"/>
      <c r="AB557" s="19"/>
      <c r="AC557" s="19"/>
      <c r="AD557" s="19"/>
      <c r="AE557" s="19"/>
      <c r="AF557" s="19"/>
      <c r="AG557" s="19"/>
      <c r="AH557" s="19"/>
    </row>
    <row r="558" spans="1:34" ht="13.15" x14ac:dyDescent="0.4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  <c r="AA558" s="19"/>
      <c r="AB558" s="19"/>
      <c r="AC558" s="19"/>
      <c r="AD558" s="19"/>
      <c r="AE558" s="19"/>
      <c r="AF558" s="19"/>
      <c r="AG558" s="19"/>
      <c r="AH558" s="19"/>
    </row>
    <row r="559" spans="1:34" ht="13.15" x14ac:dyDescent="0.4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  <c r="AA559" s="19"/>
      <c r="AB559" s="19"/>
      <c r="AC559" s="19"/>
      <c r="AD559" s="19"/>
      <c r="AE559" s="19"/>
      <c r="AF559" s="19"/>
      <c r="AG559" s="19"/>
      <c r="AH559" s="19"/>
    </row>
    <row r="560" spans="1:34" ht="13.15" x14ac:dyDescent="0.4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  <c r="AA560" s="19"/>
      <c r="AB560" s="19"/>
      <c r="AC560" s="19"/>
      <c r="AD560" s="19"/>
      <c r="AE560" s="19"/>
      <c r="AF560" s="19"/>
      <c r="AG560" s="19"/>
      <c r="AH560" s="19"/>
    </row>
    <row r="561" spans="1:34" ht="13.15" x14ac:dyDescent="0.4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  <c r="AA561" s="19"/>
      <c r="AB561" s="19"/>
      <c r="AC561" s="19"/>
      <c r="AD561" s="19"/>
      <c r="AE561" s="19"/>
      <c r="AF561" s="19"/>
      <c r="AG561" s="19"/>
      <c r="AH561" s="19"/>
    </row>
    <row r="562" spans="1:34" ht="13.15" x14ac:dyDescent="0.4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  <c r="AA562" s="19"/>
      <c r="AB562" s="19"/>
      <c r="AC562" s="19"/>
      <c r="AD562" s="19"/>
      <c r="AE562" s="19"/>
      <c r="AF562" s="19"/>
      <c r="AG562" s="19"/>
      <c r="AH562" s="19"/>
    </row>
    <row r="563" spans="1:34" ht="13.15" x14ac:dyDescent="0.4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  <c r="AB563" s="19"/>
      <c r="AC563" s="19"/>
      <c r="AD563" s="19"/>
      <c r="AE563" s="19"/>
      <c r="AF563" s="19"/>
      <c r="AG563" s="19"/>
      <c r="AH563" s="19"/>
    </row>
    <row r="564" spans="1:34" ht="13.15" x14ac:dyDescent="0.4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  <c r="AA564" s="19"/>
      <c r="AB564" s="19"/>
      <c r="AC564" s="19"/>
      <c r="AD564" s="19"/>
      <c r="AE564" s="19"/>
      <c r="AF564" s="19"/>
      <c r="AG564" s="19"/>
      <c r="AH564" s="19"/>
    </row>
    <row r="565" spans="1:34" ht="13.15" x14ac:dyDescent="0.4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  <c r="AA565" s="19"/>
      <c r="AB565" s="19"/>
      <c r="AC565" s="19"/>
      <c r="AD565" s="19"/>
      <c r="AE565" s="19"/>
      <c r="AF565" s="19"/>
      <c r="AG565" s="19"/>
      <c r="AH565" s="19"/>
    </row>
    <row r="566" spans="1:34" ht="13.15" x14ac:dyDescent="0.4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  <c r="AA566" s="19"/>
      <c r="AB566" s="19"/>
      <c r="AC566" s="19"/>
      <c r="AD566" s="19"/>
      <c r="AE566" s="19"/>
      <c r="AF566" s="19"/>
      <c r="AG566" s="19"/>
      <c r="AH566" s="19"/>
    </row>
    <row r="567" spans="1:34" ht="13.15" x14ac:dyDescent="0.4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  <c r="AA567" s="19"/>
      <c r="AB567" s="19"/>
      <c r="AC567" s="19"/>
      <c r="AD567" s="19"/>
      <c r="AE567" s="19"/>
      <c r="AF567" s="19"/>
      <c r="AG567" s="19"/>
      <c r="AH567" s="19"/>
    </row>
    <row r="568" spans="1:34" ht="13.15" x14ac:dyDescent="0.4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  <c r="AA568" s="19"/>
      <c r="AB568" s="19"/>
      <c r="AC568" s="19"/>
      <c r="AD568" s="19"/>
      <c r="AE568" s="19"/>
      <c r="AF568" s="19"/>
      <c r="AG568" s="19"/>
      <c r="AH568" s="19"/>
    </row>
    <row r="569" spans="1:34" ht="13.15" x14ac:dyDescent="0.4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  <c r="AC569" s="19"/>
      <c r="AD569" s="19"/>
      <c r="AE569" s="19"/>
      <c r="AF569" s="19"/>
      <c r="AG569" s="19"/>
      <c r="AH569" s="19"/>
    </row>
    <row r="570" spans="1:34" ht="13.15" x14ac:dyDescent="0.4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  <c r="AA570" s="19"/>
      <c r="AB570" s="19"/>
      <c r="AC570" s="19"/>
      <c r="AD570" s="19"/>
      <c r="AE570" s="19"/>
      <c r="AF570" s="19"/>
      <c r="AG570" s="19"/>
      <c r="AH570" s="19"/>
    </row>
    <row r="571" spans="1:34" ht="13.15" x14ac:dyDescent="0.4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  <c r="AA571" s="19"/>
      <c r="AB571" s="19"/>
      <c r="AC571" s="19"/>
      <c r="AD571" s="19"/>
      <c r="AE571" s="19"/>
      <c r="AF571" s="19"/>
      <c r="AG571" s="19"/>
      <c r="AH571" s="19"/>
    </row>
    <row r="572" spans="1:34" ht="13.15" x14ac:dyDescent="0.4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  <c r="AA572" s="19"/>
      <c r="AB572" s="19"/>
      <c r="AC572" s="19"/>
      <c r="AD572" s="19"/>
      <c r="AE572" s="19"/>
      <c r="AF572" s="19"/>
      <c r="AG572" s="19"/>
      <c r="AH572" s="19"/>
    </row>
    <row r="573" spans="1:34" ht="13.15" x14ac:dyDescent="0.4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  <c r="AA573" s="19"/>
      <c r="AB573" s="19"/>
      <c r="AC573" s="19"/>
      <c r="AD573" s="19"/>
      <c r="AE573" s="19"/>
      <c r="AF573" s="19"/>
      <c r="AG573" s="19"/>
      <c r="AH573" s="19"/>
    </row>
    <row r="574" spans="1:34" ht="13.15" x14ac:dyDescent="0.4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  <c r="AC574" s="19"/>
      <c r="AD574" s="19"/>
      <c r="AE574" s="19"/>
      <c r="AF574" s="19"/>
      <c r="AG574" s="19"/>
      <c r="AH574" s="19"/>
    </row>
    <row r="575" spans="1:34" ht="13.15" x14ac:dyDescent="0.4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  <c r="AA575" s="19"/>
      <c r="AB575" s="19"/>
      <c r="AC575" s="19"/>
      <c r="AD575" s="19"/>
      <c r="AE575" s="19"/>
      <c r="AF575" s="19"/>
      <c r="AG575" s="19"/>
      <c r="AH575" s="19"/>
    </row>
    <row r="576" spans="1:34" ht="13.15" x14ac:dyDescent="0.4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  <c r="AA576" s="19"/>
      <c r="AB576" s="19"/>
      <c r="AC576" s="19"/>
      <c r="AD576" s="19"/>
      <c r="AE576" s="19"/>
      <c r="AF576" s="19"/>
      <c r="AG576" s="19"/>
      <c r="AH576" s="19"/>
    </row>
    <row r="577" spans="1:34" ht="13.15" x14ac:dyDescent="0.4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  <c r="AA577" s="19"/>
      <c r="AB577" s="19"/>
      <c r="AC577" s="19"/>
      <c r="AD577" s="19"/>
      <c r="AE577" s="19"/>
      <c r="AF577" s="19"/>
      <c r="AG577" s="19"/>
      <c r="AH577" s="19"/>
    </row>
    <row r="578" spans="1:34" ht="13.15" x14ac:dyDescent="0.4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  <c r="AA578" s="19"/>
      <c r="AB578" s="19"/>
      <c r="AC578" s="19"/>
      <c r="AD578" s="19"/>
      <c r="AE578" s="19"/>
      <c r="AF578" s="19"/>
      <c r="AG578" s="19"/>
      <c r="AH578" s="19"/>
    </row>
    <row r="579" spans="1:34" ht="13.15" x14ac:dyDescent="0.4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  <c r="AA579" s="19"/>
      <c r="AB579" s="19"/>
      <c r="AC579" s="19"/>
      <c r="AD579" s="19"/>
      <c r="AE579" s="19"/>
      <c r="AF579" s="19"/>
      <c r="AG579" s="19"/>
      <c r="AH579" s="19"/>
    </row>
    <row r="580" spans="1:34" ht="13.15" x14ac:dyDescent="0.4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  <c r="AA580" s="19"/>
      <c r="AB580" s="19"/>
      <c r="AC580" s="19"/>
      <c r="AD580" s="19"/>
      <c r="AE580" s="19"/>
      <c r="AF580" s="19"/>
      <c r="AG580" s="19"/>
      <c r="AH580" s="19"/>
    </row>
    <row r="581" spans="1:34" ht="13.15" x14ac:dyDescent="0.4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  <c r="AA581" s="19"/>
      <c r="AB581" s="19"/>
      <c r="AC581" s="19"/>
      <c r="AD581" s="19"/>
      <c r="AE581" s="19"/>
      <c r="AF581" s="19"/>
      <c r="AG581" s="19"/>
      <c r="AH581" s="19"/>
    </row>
    <row r="582" spans="1:34" ht="13.15" x14ac:dyDescent="0.4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  <c r="AA582" s="19"/>
      <c r="AB582" s="19"/>
      <c r="AC582" s="19"/>
      <c r="AD582" s="19"/>
      <c r="AE582" s="19"/>
      <c r="AF582" s="19"/>
      <c r="AG582" s="19"/>
      <c r="AH582" s="19"/>
    </row>
    <row r="583" spans="1:34" ht="13.15" x14ac:dyDescent="0.4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  <c r="AB583" s="19"/>
      <c r="AC583" s="19"/>
      <c r="AD583" s="19"/>
      <c r="AE583" s="19"/>
      <c r="AF583" s="19"/>
      <c r="AG583" s="19"/>
      <c r="AH583" s="19"/>
    </row>
    <row r="584" spans="1:34" ht="13.15" x14ac:dyDescent="0.4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  <c r="AA584" s="19"/>
      <c r="AB584" s="19"/>
      <c r="AC584" s="19"/>
      <c r="AD584" s="19"/>
      <c r="AE584" s="19"/>
      <c r="AF584" s="19"/>
      <c r="AG584" s="19"/>
      <c r="AH584" s="19"/>
    </row>
    <row r="585" spans="1:34" ht="13.15" x14ac:dyDescent="0.4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  <c r="AA585" s="19"/>
      <c r="AB585" s="19"/>
      <c r="AC585" s="19"/>
      <c r="AD585" s="19"/>
      <c r="AE585" s="19"/>
      <c r="AF585" s="19"/>
      <c r="AG585" s="19"/>
      <c r="AH585" s="19"/>
    </row>
    <row r="586" spans="1:34" ht="13.15" x14ac:dyDescent="0.4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  <c r="AA586" s="19"/>
      <c r="AB586" s="19"/>
      <c r="AC586" s="19"/>
      <c r="AD586" s="19"/>
      <c r="AE586" s="19"/>
      <c r="AF586" s="19"/>
      <c r="AG586" s="19"/>
      <c r="AH586" s="19"/>
    </row>
    <row r="587" spans="1:34" ht="13.15" x14ac:dyDescent="0.4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  <c r="AA587" s="19"/>
      <c r="AB587" s="19"/>
      <c r="AC587" s="19"/>
      <c r="AD587" s="19"/>
      <c r="AE587" s="19"/>
      <c r="AF587" s="19"/>
      <c r="AG587" s="19"/>
      <c r="AH587" s="19"/>
    </row>
    <row r="588" spans="1:34" ht="13.15" x14ac:dyDescent="0.4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  <c r="AA588" s="19"/>
      <c r="AB588" s="19"/>
      <c r="AC588" s="19"/>
      <c r="AD588" s="19"/>
      <c r="AE588" s="19"/>
      <c r="AF588" s="19"/>
      <c r="AG588" s="19"/>
      <c r="AH588" s="19"/>
    </row>
    <row r="589" spans="1:34" ht="13.15" x14ac:dyDescent="0.4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  <c r="AA589" s="19"/>
      <c r="AB589" s="19"/>
      <c r="AC589" s="19"/>
      <c r="AD589" s="19"/>
      <c r="AE589" s="19"/>
      <c r="AF589" s="19"/>
      <c r="AG589" s="19"/>
      <c r="AH589" s="19"/>
    </row>
    <row r="590" spans="1:34" ht="13.15" x14ac:dyDescent="0.4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  <c r="AA590" s="19"/>
      <c r="AB590" s="19"/>
      <c r="AC590" s="19"/>
      <c r="AD590" s="19"/>
      <c r="AE590" s="19"/>
      <c r="AF590" s="19"/>
      <c r="AG590" s="19"/>
      <c r="AH590" s="19"/>
    </row>
    <row r="591" spans="1:34" ht="13.15" x14ac:dyDescent="0.4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  <c r="AA591" s="19"/>
      <c r="AB591" s="19"/>
      <c r="AC591" s="19"/>
      <c r="AD591" s="19"/>
      <c r="AE591" s="19"/>
      <c r="AF591" s="19"/>
      <c r="AG591" s="19"/>
      <c r="AH591" s="19"/>
    </row>
    <row r="592" spans="1:34" ht="13.15" x14ac:dyDescent="0.4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  <c r="AA592" s="19"/>
      <c r="AB592" s="19"/>
      <c r="AC592" s="19"/>
      <c r="AD592" s="19"/>
      <c r="AE592" s="19"/>
      <c r="AF592" s="19"/>
      <c r="AG592" s="19"/>
      <c r="AH592" s="19"/>
    </row>
    <row r="593" spans="1:34" ht="13.15" x14ac:dyDescent="0.4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  <c r="AA593" s="19"/>
      <c r="AB593" s="19"/>
      <c r="AC593" s="19"/>
      <c r="AD593" s="19"/>
      <c r="AE593" s="19"/>
      <c r="AF593" s="19"/>
      <c r="AG593" s="19"/>
      <c r="AH593" s="19"/>
    </row>
    <row r="594" spans="1:34" ht="13.15" x14ac:dyDescent="0.4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  <c r="AA594" s="19"/>
      <c r="AB594" s="19"/>
      <c r="AC594" s="19"/>
      <c r="AD594" s="19"/>
      <c r="AE594" s="19"/>
      <c r="AF594" s="19"/>
      <c r="AG594" s="19"/>
      <c r="AH594" s="19"/>
    </row>
    <row r="595" spans="1:34" ht="13.15" x14ac:dyDescent="0.4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  <c r="AA595" s="19"/>
      <c r="AB595" s="19"/>
      <c r="AC595" s="19"/>
      <c r="AD595" s="19"/>
      <c r="AE595" s="19"/>
      <c r="AF595" s="19"/>
      <c r="AG595" s="19"/>
      <c r="AH595" s="19"/>
    </row>
    <row r="596" spans="1:34" ht="13.15" x14ac:dyDescent="0.4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  <c r="AA596" s="19"/>
      <c r="AB596" s="19"/>
      <c r="AC596" s="19"/>
      <c r="AD596" s="19"/>
      <c r="AE596" s="19"/>
      <c r="AF596" s="19"/>
      <c r="AG596" s="19"/>
      <c r="AH596" s="19"/>
    </row>
    <row r="597" spans="1:34" ht="13.15" x14ac:dyDescent="0.4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  <c r="AA597" s="19"/>
      <c r="AB597" s="19"/>
      <c r="AC597" s="19"/>
      <c r="AD597" s="19"/>
      <c r="AE597" s="19"/>
      <c r="AF597" s="19"/>
      <c r="AG597" s="19"/>
      <c r="AH597" s="19"/>
    </row>
    <row r="598" spans="1:34" ht="13.15" x14ac:dyDescent="0.4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  <c r="AA598" s="19"/>
      <c r="AB598" s="19"/>
      <c r="AC598" s="19"/>
      <c r="AD598" s="19"/>
      <c r="AE598" s="19"/>
      <c r="AF598" s="19"/>
      <c r="AG598" s="19"/>
      <c r="AH598" s="19"/>
    </row>
    <row r="599" spans="1:34" ht="13.15" x14ac:dyDescent="0.4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  <c r="AA599" s="19"/>
      <c r="AB599" s="19"/>
      <c r="AC599" s="19"/>
      <c r="AD599" s="19"/>
      <c r="AE599" s="19"/>
      <c r="AF599" s="19"/>
      <c r="AG599" s="19"/>
      <c r="AH599" s="19"/>
    </row>
    <row r="600" spans="1:34" ht="13.15" x14ac:dyDescent="0.4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  <c r="AA600" s="19"/>
      <c r="AB600" s="19"/>
      <c r="AC600" s="19"/>
      <c r="AD600" s="19"/>
      <c r="AE600" s="19"/>
      <c r="AF600" s="19"/>
      <c r="AG600" s="19"/>
      <c r="AH600" s="19"/>
    </row>
    <row r="601" spans="1:34" ht="13.15" x14ac:dyDescent="0.4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  <c r="AB601" s="19"/>
      <c r="AC601" s="19"/>
      <c r="AD601" s="19"/>
      <c r="AE601" s="19"/>
      <c r="AF601" s="19"/>
      <c r="AG601" s="19"/>
      <c r="AH601" s="19"/>
    </row>
    <row r="602" spans="1:34" ht="13.15" x14ac:dyDescent="0.4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  <c r="AA602" s="19"/>
      <c r="AB602" s="19"/>
      <c r="AC602" s="19"/>
      <c r="AD602" s="19"/>
      <c r="AE602" s="19"/>
      <c r="AF602" s="19"/>
      <c r="AG602" s="19"/>
      <c r="AH602" s="19"/>
    </row>
    <row r="603" spans="1:34" ht="13.15" x14ac:dyDescent="0.4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  <c r="AA603" s="19"/>
      <c r="AB603" s="19"/>
      <c r="AC603" s="19"/>
      <c r="AD603" s="19"/>
      <c r="AE603" s="19"/>
      <c r="AF603" s="19"/>
      <c r="AG603" s="19"/>
      <c r="AH603" s="19"/>
    </row>
    <row r="604" spans="1:34" ht="13.15" x14ac:dyDescent="0.4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  <c r="AA604" s="19"/>
      <c r="AB604" s="19"/>
      <c r="AC604" s="19"/>
      <c r="AD604" s="19"/>
      <c r="AE604" s="19"/>
      <c r="AF604" s="19"/>
      <c r="AG604" s="19"/>
      <c r="AH604" s="19"/>
    </row>
    <row r="605" spans="1:34" ht="13.15" x14ac:dyDescent="0.4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  <c r="AA605" s="19"/>
      <c r="AB605" s="19"/>
      <c r="AC605" s="19"/>
      <c r="AD605" s="19"/>
      <c r="AE605" s="19"/>
      <c r="AF605" s="19"/>
      <c r="AG605" s="19"/>
      <c r="AH605" s="19"/>
    </row>
    <row r="606" spans="1:34" ht="13.15" x14ac:dyDescent="0.4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  <c r="AA606" s="19"/>
      <c r="AB606" s="19"/>
      <c r="AC606" s="19"/>
      <c r="AD606" s="19"/>
      <c r="AE606" s="19"/>
      <c r="AF606" s="19"/>
      <c r="AG606" s="19"/>
      <c r="AH606" s="19"/>
    </row>
    <row r="607" spans="1:34" ht="13.15" x14ac:dyDescent="0.4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  <c r="AA607" s="19"/>
      <c r="AB607" s="19"/>
      <c r="AC607" s="19"/>
      <c r="AD607" s="19"/>
      <c r="AE607" s="19"/>
      <c r="AF607" s="19"/>
      <c r="AG607" s="19"/>
      <c r="AH607" s="19"/>
    </row>
    <row r="608" spans="1:34" ht="13.15" x14ac:dyDescent="0.4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  <c r="AB608" s="19"/>
      <c r="AC608" s="19"/>
      <c r="AD608" s="19"/>
      <c r="AE608" s="19"/>
      <c r="AF608" s="19"/>
      <c r="AG608" s="19"/>
      <c r="AH608" s="19"/>
    </row>
    <row r="609" spans="1:34" ht="13.15" x14ac:dyDescent="0.4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  <c r="AA609" s="19"/>
      <c r="AB609" s="19"/>
      <c r="AC609" s="19"/>
      <c r="AD609" s="19"/>
      <c r="AE609" s="19"/>
      <c r="AF609" s="19"/>
      <c r="AG609" s="19"/>
      <c r="AH609" s="19"/>
    </row>
    <row r="610" spans="1:34" ht="13.15" x14ac:dyDescent="0.4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  <c r="AA610" s="19"/>
      <c r="AB610" s="19"/>
      <c r="AC610" s="19"/>
      <c r="AD610" s="19"/>
      <c r="AE610" s="19"/>
      <c r="AF610" s="19"/>
      <c r="AG610" s="19"/>
      <c r="AH610" s="19"/>
    </row>
    <row r="611" spans="1:34" ht="13.15" x14ac:dyDescent="0.4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  <c r="AA611" s="19"/>
      <c r="AB611" s="19"/>
      <c r="AC611" s="19"/>
      <c r="AD611" s="19"/>
      <c r="AE611" s="19"/>
      <c r="AF611" s="19"/>
      <c r="AG611" s="19"/>
      <c r="AH611" s="19"/>
    </row>
    <row r="612" spans="1:34" ht="13.15" x14ac:dyDescent="0.4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  <c r="AA612" s="19"/>
      <c r="AB612" s="19"/>
      <c r="AC612" s="19"/>
      <c r="AD612" s="19"/>
      <c r="AE612" s="19"/>
      <c r="AF612" s="19"/>
      <c r="AG612" s="19"/>
      <c r="AH612" s="19"/>
    </row>
    <row r="613" spans="1:34" ht="13.15" x14ac:dyDescent="0.4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  <c r="AC613" s="19"/>
      <c r="AD613" s="19"/>
      <c r="AE613" s="19"/>
      <c r="AF613" s="19"/>
      <c r="AG613" s="19"/>
      <c r="AH613" s="19"/>
    </row>
    <row r="614" spans="1:34" ht="13.15" x14ac:dyDescent="0.4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  <c r="AC614" s="19"/>
      <c r="AD614" s="19"/>
      <c r="AE614" s="19"/>
      <c r="AF614" s="19"/>
      <c r="AG614" s="19"/>
      <c r="AH614" s="19"/>
    </row>
    <row r="615" spans="1:34" ht="13.15" x14ac:dyDescent="0.4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  <c r="AC615" s="19"/>
      <c r="AD615" s="19"/>
      <c r="AE615" s="19"/>
      <c r="AF615" s="19"/>
      <c r="AG615" s="19"/>
      <c r="AH615" s="19"/>
    </row>
    <row r="616" spans="1:34" ht="13.15" x14ac:dyDescent="0.4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  <c r="AC616" s="19"/>
      <c r="AD616" s="19"/>
      <c r="AE616" s="19"/>
      <c r="AF616" s="19"/>
      <c r="AG616" s="19"/>
      <c r="AH616" s="19"/>
    </row>
    <row r="617" spans="1:34" ht="13.15" x14ac:dyDescent="0.4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  <c r="AA617" s="19"/>
      <c r="AB617" s="19"/>
      <c r="AC617" s="19"/>
      <c r="AD617" s="19"/>
      <c r="AE617" s="19"/>
      <c r="AF617" s="19"/>
      <c r="AG617" s="19"/>
      <c r="AH617" s="19"/>
    </row>
    <row r="618" spans="1:34" ht="13.15" x14ac:dyDescent="0.4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  <c r="AA618" s="19"/>
      <c r="AB618" s="19"/>
      <c r="AC618" s="19"/>
      <c r="AD618" s="19"/>
      <c r="AE618" s="19"/>
      <c r="AF618" s="19"/>
      <c r="AG618" s="19"/>
      <c r="AH618" s="19"/>
    </row>
    <row r="619" spans="1:34" ht="13.15" x14ac:dyDescent="0.4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  <c r="AA619" s="19"/>
      <c r="AB619" s="19"/>
      <c r="AC619" s="19"/>
      <c r="AD619" s="19"/>
      <c r="AE619" s="19"/>
      <c r="AF619" s="19"/>
      <c r="AG619" s="19"/>
      <c r="AH619" s="19"/>
    </row>
    <row r="620" spans="1:34" ht="13.15" x14ac:dyDescent="0.4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  <c r="AB620" s="19"/>
      <c r="AC620" s="19"/>
      <c r="AD620" s="19"/>
      <c r="AE620" s="19"/>
      <c r="AF620" s="19"/>
      <c r="AG620" s="19"/>
      <c r="AH620" s="19"/>
    </row>
    <row r="621" spans="1:34" ht="13.15" x14ac:dyDescent="0.4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  <c r="AA621" s="19"/>
      <c r="AB621" s="19"/>
      <c r="AC621" s="19"/>
      <c r="AD621" s="19"/>
      <c r="AE621" s="19"/>
      <c r="AF621" s="19"/>
      <c r="AG621" s="19"/>
      <c r="AH621" s="19"/>
    </row>
    <row r="622" spans="1:34" ht="13.15" x14ac:dyDescent="0.4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  <c r="AA622" s="19"/>
      <c r="AB622" s="19"/>
      <c r="AC622" s="19"/>
      <c r="AD622" s="19"/>
      <c r="AE622" s="19"/>
      <c r="AF622" s="19"/>
      <c r="AG622" s="19"/>
      <c r="AH622" s="19"/>
    </row>
    <row r="623" spans="1:34" ht="13.15" x14ac:dyDescent="0.4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  <c r="AA623" s="19"/>
      <c r="AB623" s="19"/>
      <c r="AC623" s="19"/>
      <c r="AD623" s="19"/>
      <c r="AE623" s="19"/>
      <c r="AF623" s="19"/>
      <c r="AG623" s="19"/>
      <c r="AH623" s="19"/>
    </row>
    <row r="624" spans="1:34" ht="13.15" x14ac:dyDescent="0.4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  <c r="AA624" s="19"/>
      <c r="AB624" s="19"/>
      <c r="AC624" s="19"/>
      <c r="AD624" s="19"/>
      <c r="AE624" s="19"/>
      <c r="AF624" s="19"/>
      <c r="AG624" s="19"/>
      <c r="AH624" s="19"/>
    </row>
    <row r="625" spans="1:34" ht="13.15" x14ac:dyDescent="0.4">
      <c r="A625" s="19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  <c r="AA625" s="19"/>
      <c r="AB625" s="19"/>
      <c r="AC625" s="19"/>
      <c r="AD625" s="19"/>
      <c r="AE625" s="19"/>
      <c r="AF625" s="19"/>
      <c r="AG625" s="19"/>
      <c r="AH625" s="19"/>
    </row>
    <row r="626" spans="1:34" ht="13.15" x14ac:dyDescent="0.4">
      <c r="A626" s="19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  <c r="AA626" s="19"/>
      <c r="AB626" s="19"/>
      <c r="AC626" s="19"/>
      <c r="AD626" s="19"/>
      <c r="AE626" s="19"/>
      <c r="AF626" s="19"/>
      <c r="AG626" s="19"/>
      <c r="AH626" s="19"/>
    </row>
    <row r="627" spans="1:34" ht="13.15" x14ac:dyDescent="0.4">
      <c r="A627" s="19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  <c r="AA627" s="19"/>
      <c r="AB627" s="19"/>
      <c r="AC627" s="19"/>
      <c r="AD627" s="19"/>
      <c r="AE627" s="19"/>
      <c r="AF627" s="19"/>
      <c r="AG627" s="19"/>
      <c r="AH627" s="19"/>
    </row>
    <row r="628" spans="1:34" ht="13.15" x14ac:dyDescent="0.4">
      <c r="A628" s="19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  <c r="AA628" s="19"/>
      <c r="AB628" s="19"/>
      <c r="AC628" s="19"/>
      <c r="AD628" s="19"/>
      <c r="AE628" s="19"/>
      <c r="AF628" s="19"/>
      <c r="AG628" s="19"/>
      <c r="AH628" s="19"/>
    </row>
    <row r="629" spans="1:34" ht="13.15" x14ac:dyDescent="0.4">
      <c r="A629" s="19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  <c r="AA629" s="19"/>
      <c r="AB629" s="19"/>
      <c r="AC629" s="19"/>
      <c r="AD629" s="19"/>
      <c r="AE629" s="19"/>
      <c r="AF629" s="19"/>
      <c r="AG629" s="19"/>
      <c r="AH629" s="19"/>
    </row>
    <row r="630" spans="1:34" ht="13.15" x14ac:dyDescent="0.4">
      <c r="A630" s="19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  <c r="AA630" s="19"/>
      <c r="AB630" s="19"/>
      <c r="AC630" s="19"/>
      <c r="AD630" s="19"/>
      <c r="AE630" s="19"/>
      <c r="AF630" s="19"/>
      <c r="AG630" s="19"/>
      <c r="AH630" s="19"/>
    </row>
    <row r="631" spans="1:34" ht="13.15" x14ac:dyDescent="0.4">
      <c r="A631" s="19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  <c r="AC631" s="19"/>
      <c r="AD631" s="19"/>
      <c r="AE631" s="19"/>
      <c r="AF631" s="19"/>
      <c r="AG631" s="19"/>
      <c r="AH631" s="19"/>
    </row>
    <row r="632" spans="1:34" ht="13.15" x14ac:dyDescent="0.4">
      <c r="A632" s="19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  <c r="AA632" s="19"/>
      <c r="AB632" s="19"/>
      <c r="AC632" s="19"/>
      <c r="AD632" s="19"/>
      <c r="AE632" s="19"/>
      <c r="AF632" s="19"/>
      <c r="AG632" s="19"/>
      <c r="AH632" s="19"/>
    </row>
    <row r="633" spans="1:34" ht="13.15" x14ac:dyDescent="0.4">
      <c r="A633" s="19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  <c r="AA633" s="19"/>
      <c r="AB633" s="19"/>
      <c r="AC633" s="19"/>
      <c r="AD633" s="19"/>
      <c r="AE633" s="19"/>
      <c r="AF633" s="19"/>
      <c r="AG633" s="19"/>
      <c r="AH633" s="19"/>
    </row>
    <row r="634" spans="1:34" ht="13.15" x14ac:dyDescent="0.4">
      <c r="A634" s="19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  <c r="AA634" s="19"/>
      <c r="AB634" s="19"/>
      <c r="AC634" s="19"/>
      <c r="AD634" s="19"/>
      <c r="AE634" s="19"/>
      <c r="AF634" s="19"/>
      <c r="AG634" s="19"/>
      <c r="AH634" s="19"/>
    </row>
    <row r="635" spans="1:34" ht="13.15" x14ac:dyDescent="0.4">
      <c r="A635" s="19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  <c r="AA635" s="19"/>
      <c r="AB635" s="19"/>
      <c r="AC635" s="19"/>
      <c r="AD635" s="19"/>
      <c r="AE635" s="19"/>
      <c r="AF635" s="19"/>
      <c r="AG635" s="19"/>
      <c r="AH635" s="19"/>
    </row>
    <row r="636" spans="1:34" ht="13.15" x14ac:dyDescent="0.4">
      <c r="A636" s="19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  <c r="AA636" s="19"/>
      <c r="AB636" s="19"/>
      <c r="AC636" s="19"/>
      <c r="AD636" s="19"/>
      <c r="AE636" s="19"/>
      <c r="AF636" s="19"/>
      <c r="AG636" s="19"/>
      <c r="AH636" s="19"/>
    </row>
    <row r="637" spans="1:34" ht="13.15" x14ac:dyDescent="0.4">
      <c r="A637" s="19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  <c r="AA637" s="19"/>
      <c r="AB637" s="19"/>
      <c r="AC637" s="19"/>
      <c r="AD637" s="19"/>
      <c r="AE637" s="19"/>
      <c r="AF637" s="19"/>
      <c r="AG637" s="19"/>
      <c r="AH637" s="19"/>
    </row>
    <row r="638" spans="1:34" ht="13.15" x14ac:dyDescent="0.4">
      <c r="A638" s="19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  <c r="AA638" s="19"/>
      <c r="AB638" s="19"/>
      <c r="AC638" s="19"/>
      <c r="AD638" s="19"/>
      <c r="AE638" s="19"/>
      <c r="AF638" s="19"/>
      <c r="AG638" s="19"/>
      <c r="AH638" s="19"/>
    </row>
    <row r="639" spans="1:34" ht="13.15" x14ac:dyDescent="0.4">
      <c r="A639" s="19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  <c r="AA639" s="19"/>
      <c r="AB639" s="19"/>
      <c r="AC639" s="19"/>
      <c r="AD639" s="19"/>
      <c r="AE639" s="19"/>
      <c r="AF639" s="19"/>
      <c r="AG639" s="19"/>
      <c r="AH639" s="19"/>
    </row>
    <row r="640" spans="1:34" ht="13.15" x14ac:dyDescent="0.4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  <c r="AA640" s="19"/>
      <c r="AB640" s="19"/>
      <c r="AC640" s="19"/>
      <c r="AD640" s="19"/>
      <c r="AE640" s="19"/>
      <c r="AF640" s="19"/>
      <c r="AG640" s="19"/>
      <c r="AH640" s="19"/>
    </row>
    <row r="641" spans="1:34" ht="13.15" x14ac:dyDescent="0.4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  <c r="AA641" s="19"/>
      <c r="AB641" s="19"/>
      <c r="AC641" s="19"/>
      <c r="AD641" s="19"/>
      <c r="AE641" s="19"/>
      <c r="AF641" s="19"/>
      <c r="AG641" s="19"/>
      <c r="AH641" s="19"/>
    </row>
    <row r="642" spans="1:34" ht="13.15" x14ac:dyDescent="0.4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  <c r="AA642" s="19"/>
      <c r="AB642" s="19"/>
      <c r="AC642" s="19"/>
      <c r="AD642" s="19"/>
      <c r="AE642" s="19"/>
      <c r="AF642" s="19"/>
      <c r="AG642" s="19"/>
      <c r="AH642" s="19"/>
    </row>
    <row r="643" spans="1:34" ht="13.15" x14ac:dyDescent="0.4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  <c r="AA643" s="19"/>
      <c r="AB643" s="19"/>
      <c r="AC643" s="19"/>
      <c r="AD643" s="19"/>
      <c r="AE643" s="19"/>
      <c r="AF643" s="19"/>
      <c r="AG643" s="19"/>
      <c r="AH643" s="19"/>
    </row>
    <row r="644" spans="1:34" ht="13.15" x14ac:dyDescent="0.4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  <c r="AA644" s="19"/>
      <c r="AB644" s="19"/>
      <c r="AC644" s="19"/>
      <c r="AD644" s="19"/>
      <c r="AE644" s="19"/>
      <c r="AF644" s="19"/>
      <c r="AG644" s="19"/>
      <c r="AH644" s="19"/>
    </row>
    <row r="645" spans="1:34" ht="13.15" x14ac:dyDescent="0.4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  <c r="AA645" s="19"/>
      <c r="AB645" s="19"/>
      <c r="AC645" s="19"/>
      <c r="AD645" s="19"/>
      <c r="AE645" s="19"/>
      <c r="AF645" s="19"/>
      <c r="AG645" s="19"/>
      <c r="AH645" s="19"/>
    </row>
    <row r="646" spans="1:34" ht="13.15" x14ac:dyDescent="0.4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  <c r="AB646" s="19"/>
      <c r="AC646" s="19"/>
      <c r="AD646" s="19"/>
      <c r="AE646" s="19"/>
      <c r="AF646" s="19"/>
      <c r="AG646" s="19"/>
      <c r="AH646" s="19"/>
    </row>
    <row r="647" spans="1:34" ht="13.15" x14ac:dyDescent="0.4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  <c r="AA647" s="19"/>
      <c r="AB647" s="19"/>
      <c r="AC647" s="19"/>
      <c r="AD647" s="19"/>
      <c r="AE647" s="19"/>
      <c r="AF647" s="19"/>
      <c r="AG647" s="19"/>
      <c r="AH647" s="19"/>
    </row>
    <row r="648" spans="1:34" ht="13.15" x14ac:dyDescent="0.4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  <c r="AA648" s="19"/>
      <c r="AB648" s="19"/>
      <c r="AC648" s="19"/>
      <c r="AD648" s="19"/>
      <c r="AE648" s="19"/>
      <c r="AF648" s="19"/>
      <c r="AG648" s="19"/>
      <c r="AH648" s="19"/>
    </row>
    <row r="649" spans="1:34" ht="13.15" x14ac:dyDescent="0.4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  <c r="AA649" s="19"/>
      <c r="AB649" s="19"/>
      <c r="AC649" s="19"/>
      <c r="AD649" s="19"/>
      <c r="AE649" s="19"/>
      <c r="AF649" s="19"/>
      <c r="AG649" s="19"/>
      <c r="AH649" s="19"/>
    </row>
    <row r="650" spans="1:34" ht="13.15" x14ac:dyDescent="0.4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  <c r="AA650" s="19"/>
      <c r="AB650" s="19"/>
      <c r="AC650" s="19"/>
      <c r="AD650" s="19"/>
      <c r="AE650" s="19"/>
      <c r="AF650" s="19"/>
      <c r="AG650" s="19"/>
      <c r="AH650" s="19"/>
    </row>
    <row r="651" spans="1:34" ht="13.15" x14ac:dyDescent="0.4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  <c r="AA651" s="19"/>
      <c r="AB651" s="19"/>
      <c r="AC651" s="19"/>
      <c r="AD651" s="19"/>
      <c r="AE651" s="19"/>
      <c r="AF651" s="19"/>
      <c r="AG651" s="19"/>
      <c r="AH651" s="19"/>
    </row>
    <row r="652" spans="1:34" ht="13.15" x14ac:dyDescent="0.4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  <c r="AA652" s="19"/>
      <c r="AB652" s="19"/>
      <c r="AC652" s="19"/>
      <c r="AD652" s="19"/>
      <c r="AE652" s="19"/>
      <c r="AF652" s="19"/>
      <c r="AG652" s="19"/>
      <c r="AH652" s="19"/>
    </row>
    <row r="653" spans="1:34" ht="13.15" x14ac:dyDescent="0.4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  <c r="AA653" s="19"/>
      <c r="AB653" s="19"/>
      <c r="AC653" s="19"/>
      <c r="AD653" s="19"/>
      <c r="AE653" s="19"/>
      <c r="AF653" s="19"/>
      <c r="AG653" s="19"/>
      <c r="AH653" s="19"/>
    </row>
    <row r="654" spans="1:34" ht="13.15" x14ac:dyDescent="0.4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  <c r="AA654" s="19"/>
      <c r="AB654" s="19"/>
      <c r="AC654" s="19"/>
      <c r="AD654" s="19"/>
      <c r="AE654" s="19"/>
      <c r="AF654" s="19"/>
      <c r="AG654" s="19"/>
      <c r="AH654" s="19"/>
    </row>
    <row r="655" spans="1:34" ht="13.15" x14ac:dyDescent="0.4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  <c r="AA655" s="19"/>
      <c r="AB655" s="19"/>
      <c r="AC655" s="19"/>
      <c r="AD655" s="19"/>
      <c r="AE655" s="19"/>
      <c r="AF655" s="19"/>
      <c r="AG655" s="19"/>
      <c r="AH655" s="19"/>
    </row>
    <row r="656" spans="1:34" ht="13.15" x14ac:dyDescent="0.4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  <c r="AA656" s="19"/>
      <c r="AB656" s="19"/>
      <c r="AC656" s="19"/>
      <c r="AD656" s="19"/>
      <c r="AE656" s="19"/>
      <c r="AF656" s="19"/>
      <c r="AG656" s="19"/>
      <c r="AH656" s="19"/>
    </row>
    <row r="657" spans="1:34" ht="13.15" x14ac:dyDescent="0.4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  <c r="AA657" s="19"/>
      <c r="AB657" s="19"/>
      <c r="AC657" s="19"/>
      <c r="AD657" s="19"/>
      <c r="AE657" s="19"/>
      <c r="AF657" s="19"/>
      <c r="AG657" s="19"/>
      <c r="AH657" s="19"/>
    </row>
    <row r="658" spans="1:34" ht="13.15" x14ac:dyDescent="0.4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  <c r="AA658" s="19"/>
      <c r="AB658" s="19"/>
      <c r="AC658" s="19"/>
      <c r="AD658" s="19"/>
      <c r="AE658" s="19"/>
      <c r="AF658" s="19"/>
      <c r="AG658" s="19"/>
      <c r="AH658" s="19"/>
    </row>
    <row r="659" spans="1:34" ht="13.15" x14ac:dyDescent="0.4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  <c r="AA659" s="19"/>
      <c r="AB659" s="19"/>
      <c r="AC659" s="19"/>
      <c r="AD659" s="19"/>
      <c r="AE659" s="19"/>
      <c r="AF659" s="19"/>
      <c r="AG659" s="19"/>
      <c r="AH659" s="19"/>
    </row>
    <row r="660" spans="1:34" ht="13.15" x14ac:dyDescent="0.4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  <c r="AA660" s="19"/>
      <c r="AB660" s="19"/>
      <c r="AC660" s="19"/>
      <c r="AD660" s="19"/>
      <c r="AE660" s="19"/>
      <c r="AF660" s="19"/>
      <c r="AG660" s="19"/>
      <c r="AH660" s="19"/>
    </row>
    <row r="661" spans="1:34" ht="13.15" x14ac:dyDescent="0.4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  <c r="AA661" s="19"/>
      <c r="AB661" s="19"/>
      <c r="AC661" s="19"/>
      <c r="AD661" s="19"/>
      <c r="AE661" s="19"/>
      <c r="AF661" s="19"/>
      <c r="AG661" s="19"/>
      <c r="AH661" s="19"/>
    </row>
    <row r="662" spans="1:34" ht="13.15" x14ac:dyDescent="0.4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  <c r="AA662" s="19"/>
      <c r="AB662" s="19"/>
      <c r="AC662" s="19"/>
      <c r="AD662" s="19"/>
      <c r="AE662" s="19"/>
      <c r="AF662" s="19"/>
      <c r="AG662" s="19"/>
      <c r="AH662" s="19"/>
    </row>
    <row r="663" spans="1:34" ht="13.15" x14ac:dyDescent="0.4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  <c r="AA663" s="19"/>
      <c r="AB663" s="19"/>
      <c r="AC663" s="19"/>
      <c r="AD663" s="19"/>
      <c r="AE663" s="19"/>
      <c r="AF663" s="19"/>
      <c r="AG663" s="19"/>
      <c r="AH663" s="19"/>
    </row>
    <row r="664" spans="1:34" ht="13.15" x14ac:dyDescent="0.4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  <c r="AA664" s="19"/>
      <c r="AB664" s="19"/>
      <c r="AC664" s="19"/>
      <c r="AD664" s="19"/>
      <c r="AE664" s="19"/>
      <c r="AF664" s="19"/>
      <c r="AG664" s="19"/>
      <c r="AH664" s="19"/>
    </row>
    <row r="665" spans="1:34" ht="13.15" x14ac:dyDescent="0.4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  <c r="AA665" s="19"/>
      <c r="AB665" s="19"/>
      <c r="AC665" s="19"/>
      <c r="AD665" s="19"/>
      <c r="AE665" s="19"/>
      <c r="AF665" s="19"/>
      <c r="AG665" s="19"/>
      <c r="AH665" s="19"/>
    </row>
    <row r="666" spans="1:34" ht="13.15" x14ac:dyDescent="0.4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  <c r="AA666" s="19"/>
      <c r="AB666" s="19"/>
      <c r="AC666" s="19"/>
      <c r="AD666" s="19"/>
      <c r="AE666" s="19"/>
      <c r="AF666" s="19"/>
      <c r="AG666" s="19"/>
      <c r="AH666" s="19"/>
    </row>
    <row r="667" spans="1:34" ht="13.15" x14ac:dyDescent="0.4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  <c r="AA667" s="19"/>
      <c r="AB667" s="19"/>
      <c r="AC667" s="19"/>
      <c r="AD667" s="19"/>
      <c r="AE667" s="19"/>
      <c r="AF667" s="19"/>
      <c r="AG667" s="19"/>
      <c r="AH667" s="19"/>
    </row>
    <row r="668" spans="1:34" ht="13.15" x14ac:dyDescent="0.4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  <c r="AA668" s="19"/>
      <c r="AB668" s="19"/>
      <c r="AC668" s="19"/>
      <c r="AD668" s="19"/>
      <c r="AE668" s="19"/>
      <c r="AF668" s="19"/>
      <c r="AG668" s="19"/>
      <c r="AH668" s="19"/>
    </row>
    <row r="669" spans="1:34" ht="13.15" x14ac:dyDescent="0.4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  <c r="AA669" s="19"/>
      <c r="AB669" s="19"/>
      <c r="AC669" s="19"/>
      <c r="AD669" s="19"/>
      <c r="AE669" s="19"/>
      <c r="AF669" s="19"/>
      <c r="AG669" s="19"/>
      <c r="AH669" s="19"/>
    </row>
    <row r="670" spans="1:34" ht="13.15" x14ac:dyDescent="0.4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  <c r="AA670" s="19"/>
      <c r="AB670" s="19"/>
      <c r="AC670" s="19"/>
      <c r="AD670" s="19"/>
      <c r="AE670" s="19"/>
      <c r="AF670" s="19"/>
      <c r="AG670" s="19"/>
      <c r="AH670" s="19"/>
    </row>
    <row r="671" spans="1:34" ht="13.15" x14ac:dyDescent="0.4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  <c r="AA671" s="19"/>
      <c r="AB671" s="19"/>
      <c r="AC671" s="19"/>
      <c r="AD671" s="19"/>
      <c r="AE671" s="19"/>
      <c r="AF671" s="19"/>
      <c r="AG671" s="19"/>
      <c r="AH671" s="19"/>
    </row>
    <row r="672" spans="1:34" ht="13.15" x14ac:dyDescent="0.4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  <c r="AA672" s="19"/>
      <c r="AB672" s="19"/>
      <c r="AC672" s="19"/>
      <c r="AD672" s="19"/>
      <c r="AE672" s="19"/>
      <c r="AF672" s="19"/>
      <c r="AG672" s="19"/>
      <c r="AH672" s="19"/>
    </row>
    <row r="673" spans="1:34" ht="13.15" x14ac:dyDescent="0.4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  <c r="AA673" s="19"/>
      <c r="AB673" s="19"/>
      <c r="AC673" s="19"/>
      <c r="AD673" s="19"/>
      <c r="AE673" s="19"/>
      <c r="AF673" s="19"/>
      <c r="AG673" s="19"/>
      <c r="AH673" s="19"/>
    </row>
    <row r="674" spans="1:34" ht="13.15" x14ac:dyDescent="0.4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  <c r="AA674" s="19"/>
      <c r="AB674" s="19"/>
      <c r="AC674" s="19"/>
      <c r="AD674" s="19"/>
      <c r="AE674" s="19"/>
      <c r="AF674" s="19"/>
      <c r="AG674" s="19"/>
      <c r="AH674" s="19"/>
    </row>
    <row r="675" spans="1:34" ht="13.15" x14ac:dyDescent="0.4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  <c r="AA675" s="19"/>
      <c r="AB675" s="19"/>
      <c r="AC675" s="19"/>
      <c r="AD675" s="19"/>
      <c r="AE675" s="19"/>
      <c r="AF675" s="19"/>
      <c r="AG675" s="19"/>
      <c r="AH675" s="19"/>
    </row>
    <row r="676" spans="1:34" ht="13.15" x14ac:dyDescent="0.4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  <c r="AA676" s="19"/>
      <c r="AB676" s="19"/>
      <c r="AC676" s="19"/>
      <c r="AD676" s="19"/>
      <c r="AE676" s="19"/>
      <c r="AF676" s="19"/>
      <c r="AG676" s="19"/>
      <c r="AH676" s="19"/>
    </row>
    <row r="677" spans="1:34" ht="13.15" x14ac:dyDescent="0.4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  <c r="AA677" s="19"/>
      <c r="AB677" s="19"/>
      <c r="AC677" s="19"/>
      <c r="AD677" s="19"/>
      <c r="AE677" s="19"/>
      <c r="AF677" s="19"/>
      <c r="AG677" s="19"/>
      <c r="AH677" s="19"/>
    </row>
    <row r="678" spans="1:34" ht="13.15" x14ac:dyDescent="0.4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  <c r="AA678" s="19"/>
      <c r="AB678" s="19"/>
      <c r="AC678" s="19"/>
      <c r="AD678" s="19"/>
      <c r="AE678" s="19"/>
      <c r="AF678" s="19"/>
      <c r="AG678" s="19"/>
      <c r="AH678" s="19"/>
    </row>
    <row r="679" spans="1:34" ht="13.15" x14ac:dyDescent="0.4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A679" s="19"/>
      <c r="AB679" s="19"/>
      <c r="AC679" s="19"/>
      <c r="AD679" s="19"/>
      <c r="AE679" s="19"/>
      <c r="AF679" s="19"/>
      <c r="AG679" s="19"/>
      <c r="AH679" s="19"/>
    </row>
    <row r="680" spans="1:34" ht="13.15" x14ac:dyDescent="0.4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  <c r="AA680" s="19"/>
      <c r="AB680" s="19"/>
      <c r="AC680" s="19"/>
      <c r="AD680" s="19"/>
      <c r="AE680" s="19"/>
      <c r="AF680" s="19"/>
      <c r="AG680" s="19"/>
      <c r="AH680" s="19"/>
    </row>
    <row r="681" spans="1:34" ht="13.15" x14ac:dyDescent="0.4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  <c r="AA681" s="19"/>
      <c r="AB681" s="19"/>
      <c r="AC681" s="19"/>
      <c r="AD681" s="19"/>
      <c r="AE681" s="19"/>
      <c r="AF681" s="19"/>
      <c r="AG681" s="19"/>
      <c r="AH681" s="19"/>
    </row>
    <row r="682" spans="1:34" ht="13.15" x14ac:dyDescent="0.4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  <c r="AA682" s="19"/>
      <c r="AB682" s="19"/>
      <c r="AC682" s="19"/>
      <c r="AD682" s="19"/>
      <c r="AE682" s="19"/>
      <c r="AF682" s="19"/>
      <c r="AG682" s="19"/>
      <c r="AH682" s="19"/>
    </row>
    <row r="683" spans="1:34" ht="13.15" x14ac:dyDescent="0.4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  <c r="AA683" s="19"/>
      <c r="AB683" s="19"/>
      <c r="AC683" s="19"/>
      <c r="AD683" s="19"/>
      <c r="AE683" s="19"/>
      <c r="AF683" s="19"/>
      <c r="AG683" s="19"/>
      <c r="AH683" s="19"/>
    </row>
    <row r="684" spans="1:34" ht="13.15" x14ac:dyDescent="0.4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  <c r="AA684" s="19"/>
      <c r="AB684" s="19"/>
      <c r="AC684" s="19"/>
      <c r="AD684" s="19"/>
      <c r="AE684" s="19"/>
      <c r="AF684" s="19"/>
      <c r="AG684" s="19"/>
      <c r="AH684" s="19"/>
    </row>
    <row r="685" spans="1:34" ht="13.15" x14ac:dyDescent="0.4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  <c r="AA685" s="19"/>
      <c r="AB685" s="19"/>
      <c r="AC685" s="19"/>
      <c r="AD685" s="19"/>
      <c r="AE685" s="19"/>
      <c r="AF685" s="19"/>
      <c r="AG685" s="19"/>
      <c r="AH685" s="19"/>
    </row>
    <row r="686" spans="1:34" ht="13.15" x14ac:dyDescent="0.4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  <c r="AA686" s="19"/>
      <c r="AB686" s="19"/>
      <c r="AC686" s="19"/>
      <c r="AD686" s="19"/>
      <c r="AE686" s="19"/>
      <c r="AF686" s="19"/>
      <c r="AG686" s="19"/>
      <c r="AH686" s="19"/>
    </row>
    <row r="687" spans="1:34" ht="13.15" x14ac:dyDescent="0.4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  <c r="AA687" s="19"/>
      <c r="AB687" s="19"/>
      <c r="AC687" s="19"/>
      <c r="AD687" s="19"/>
      <c r="AE687" s="19"/>
      <c r="AF687" s="19"/>
      <c r="AG687" s="19"/>
      <c r="AH687" s="19"/>
    </row>
    <row r="688" spans="1:34" ht="13.15" x14ac:dyDescent="0.4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  <c r="AA688" s="19"/>
      <c r="AB688" s="19"/>
      <c r="AC688" s="19"/>
      <c r="AD688" s="19"/>
      <c r="AE688" s="19"/>
      <c r="AF688" s="19"/>
      <c r="AG688" s="19"/>
      <c r="AH688" s="19"/>
    </row>
    <row r="689" spans="1:34" ht="13.15" x14ac:dyDescent="0.4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  <c r="AA689" s="19"/>
      <c r="AB689" s="19"/>
      <c r="AC689" s="19"/>
      <c r="AD689" s="19"/>
      <c r="AE689" s="19"/>
      <c r="AF689" s="19"/>
      <c r="AG689" s="19"/>
      <c r="AH689" s="19"/>
    </row>
    <row r="690" spans="1:34" ht="13.15" x14ac:dyDescent="0.4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  <c r="AA690" s="19"/>
      <c r="AB690" s="19"/>
      <c r="AC690" s="19"/>
      <c r="AD690" s="19"/>
      <c r="AE690" s="19"/>
      <c r="AF690" s="19"/>
      <c r="AG690" s="19"/>
      <c r="AH690" s="19"/>
    </row>
    <row r="691" spans="1:34" ht="13.15" x14ac:dyDescent="0.4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  <c r="AA691" s="19"/>
      <c r="AB691" s="19"/>
      <c r="AC691" s="19"/>
      <c r="AD691" s="19"/>
      <c r="AE691" s="19"/>
      <c r="AF691" s="19"/>
      <c r="AG691" s="19"/>
      <c r="AH691" s="19"/>
    </row>
    <row r="692" spans="1:34" ht="13.15" x14ac:dyDescent="0.4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  <c r="AA692" s="19"/>
      <c r="AB692" s="19"/>
      <c r="AC692" s="19"/>
      <c r="AD692" s="19"/>
      <c r="AE692" s="19"/>
      <c r="AF692" s="19"/>
      <c r="AG692" s="19"/>
      <c r="AH692" s="19"/>
    </row>
    <row r="693" spans="1:34" ht="13.15" x14ac:dyDescent="0.4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  <c r="AA693" s="19"/>
      <c r="AB693" s="19"/>
      <c r="AC693" s="19"/>
      <c r="AD693" s="19"/>
      <c r="AE693" s="19"/>
      <c r="AF693" s="19"/>
      <c r="AG693" s="19"/>
      <c r="AH693" s="19"/>
    </row>
    <row r="694" spans="1:34" ht="13.15" x14ac:dyDescent="0.4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  <c r="AA694" s="19"/>
      <c r="AB694" s="19"/>
      <c r="AC694" s="19"/>
      <c r="AD694" s="19"/>
      <c r="AE694" s="19"/>
      <c r="AF694" s="19"/>
      <c r="AG694" s="19"/>
      <c r="AH694" s="19"/>
    </row>
    <row r="695" spans="1:34" ht="13.15" x14ac:dyDescent="0.4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  <c r="AA695" s="19"/>
      <c r="AB695" s="19"/>
      <c r="AC695" s="19"/>
      <c r="AD695" s="19"/>
      <c r="AE695" s="19"/>
      <c r="AF695" s="19"/>
      <c r="AG695" s="19"/>
      <c r="AH695" s="19"/>
    </row>
    <row r="696" spans="1:34" ht="13.15" x14ac:dyDescent="0.4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  <c r="AA696" s="19"/>
      <c r="AB696" s="19"/>
      <c r="AC696" s="19"/>
      <c r="AD696" s="19"/>
      <c r="AE696" s="19"/>
      <c r="AF696" s="19"/>
      <c r="AG696" s="19"/>
      <c r="AH696" s="19"/>
    </row>
    <row r="697" spans="1:34" ht="13.15" x14ac:dyDescent="0.4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  <c r="AA697" s="19"/>
      <c r="AB697" s="19"/>
      <c r="AC697" s="19"/>
      <c r="AD697" s="19"/>
      <c r="AE697" s="19"/>
      <c r="AF697" s="19"/>
      <c r="AG697" s="19"/>
      <c r="AH697" s="19"/>
    </row>
    <row r="698" spans="1:34" ht="13.15" x14ac:dyDescent="0.4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  <c r="AA698" s="19"/>
      <c r="AB698" s="19"/>
      <c r="AC698" s="19"/>
      <c r="AD698" s="19"/>
      <c r="AE698" s="19"/>
      <c r="AF698" s="19"/>
      <c r="AG698" s="19"/>
      <c r="AH698" s="19"/>
    </row>
    <row r="699" spans="1:34" ht="13.15" x14ac:dyDescent="0.4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  <c r="AA699" s="19"/>
      <c r="AB699" s="19"/>
      <c r="AC699" s="19"/>
      <c r="AD699" s="19"/>
      <c r="AE699" s="19"/>
      <c r="AF699" s="19"/>
      <c r="AG699" s="19"/>
      <c r="AH699" s="19"/>
    </row>
    <row r="700" spans="1:34" ht="13.15" x14ac:dyDescent="0.4">
      <c r="A700" s="19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  <c r="AA700" s="19"/>
      <c r="AB700" s="19"/>
      <c r="AC700" s="19"/>
      <c r="AD700" s="19"/>
      <c r="AE700" s="19"/>
      <c r="AF700" s="19"/>
      <c r="AG700" s="19"/>
      <c r="AH700" s="19"/>
    </row>
    <row r="701" spans="1:34" ht="13.15" x14ac:dyDescent="0.4">
      <c r="A701" s="19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  <c r="AA701" s="19"/>
      <c r="AB701" s="19"/>
      <c r="AC701" s="19"/>
      <c r="AD701" s="19"/>
      <c r="AE701" s="19"/>
      <c r="AF701" s="19"/>
      <c r="AG701" s="19"/>
      <c r="AH701" s="19"/>
    </row>
    <row r="702" spans="1:34" ht="13.15" x14ac:dyDescent="0.4">
      <c r="A702" s="19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  <c r="AA702" s="19"/>
      <c r="AB702" s="19"/>
      <c r="AC702" s="19"/>
      <c r="AD702" s="19"/>
      <c r="AE702" s="19"/>
      <c r="AF702" s="19"/>
      <c r="AG702" s="19"/>
      <c r="AH702" s="19"/>
    </row>
    <row r="703" spans="1:34" ht="13.15" x14ac:dyDescent="0.4">
      <c r="A703" s="19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  <c r="AA703" s="19"/>
      <c r="AB703" s="19"/>
      <c r="AC703" s="19"/>
      <c r="AD703" s="19"/>
      <c r="AE703" s="19"/>
      <c r="AF703" s="19"/>
      <c r="AG703" s="19"/>
      <c r="AH703" s="19"/>
    </row>
    <row r="704" spans="1:34" ht="13.15" x14ac:dyDescent="0.4">
      <c r="A704" s="19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  <c r="AA704" s="19"/>
      <c r="AB704" s="19"/>
      <c r="AC704" s="19"/>
      <c r="AD704" s="19"/>
      <c r="AE704" s="19"/>
      <c r="AF704" s="19"/>
      <c r="AG704" s="19"/>
      <c r="AH704" s="19"/>
    </row>
    <row r="705" spans="1:34" ht="13.15" x14ac:dyDescent="0.4">
      <c r="A705" s="19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  <c r="AA705" s="19"/>
      <c r="AB705" s="19"/>
      <c r="AC705" s="19"/>
      <c r="AD705" s="19"/>
      <c r="AE705" s="19"/>
      <c r="AF705" s="19"/>
      <c r="AG705" s="19"/>
      <c r="AH705" s="19"/>
    </row>
    <row r="706" spans="1:34" ht="13.15" x14ac:dyDescent="0.4">
      <c r="A706" s="19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A706" s="19"/>
      <c r="AB706" s="19"/>
      <c r="AC706" s="19"/>
      <c r="AD706" s="19"/>
      <c r="AE706" s="19"/>
      <c r="AF706" s="19"/>
      <c r="AG706" s="19"/>
      <c r="AH706" s="19"/>
    </row>
    <row r="707" spans="1:34" ht="13.15" x14ac:dyDescent="0.4">
      <c r="A707" s="19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  <c r="AA707" s="19"/>
      <c r="AB707" s="19"/>
      <c r="AC707" s="19"/>
      <c r="AD707" s="19"/>
      <c r="AE707" s="19"/>
      <c r="AF707" s="19"/>
      <c r="AG707" s="19"/>
      <c r="AH707" s="19"/>
    </row>
    <row r="708" spans="1:34" ht="13.15" x14ac:dyDescent="0.4">
      <c r="A708" s="19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  <c r="AA708" s="19"/>
      <c r="AB708" s="19"/>
      <c r="AC708" s="19"/>
      <c r="AD708" s="19"/>
      <c r="AE708" s="19"/>
      <c r="AF708" s="19"/>
      <c r="AG708" s="19"/>
      <c r="AH708" s="19"/>
    </row>
    <row r="709" spans="1:34" ht="13.15" x14ac:dyDescent="0.4">
      <c r="A709" s="19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  <c r="AA709" s="19"/>
      <c r="AB709" s="19"/>
      <c r="AC709" s="19"/>
      <c r="AD709" s="19"/>
      <c r="AE709" s="19"/>
      <c r="AF709" s="19"/>
      <c r="AG709" s="19"/>
      <c r="AH709" s="19"/>
    </row>
    <row r="710" spans="1:34" ht="13.15" x14ac:dyDescent="0.4">
      <c r="A710" s="19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  <c r="AA710" s="19"/>
      <c r="AB710" s="19"/>
      <c r="AC710" s="19"/>
      <c r="AD710" s="19"/>
      <c r="AE710" s="19"/>
      <c r="AF710" s="19"/>
      <c r="AG710" s="19"/>
      <c r="AH710" s="19"/>
    </row>
    <row r="711" spans="1:34" ht="13.15" x14ac:dyDescent="0.4">
      <c r="A711" s="19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  <c r="AB711" s="19"/>
      <c r="AC711" s="19"/>
      <c r="AD711" s="19"/>
      <c r="AE711" s="19"/>
      <c r="AF711" s="19"/>
      <c r="AG711" s="19"/>
      <c r="AH711" s="19"/>
    </row>
    <row r="712" spans="1:34" ht="13.15" x14ac:dyDescent="0.4">
      <c r="A712" s="19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  <c r="AA712" s="19"/>
      <c r="AB712" s="19"/>
      <c r="AC712" s="19"/>
      <c r="AD712" s="19"/>
      <c r="AE712" s="19"/>
      <c r="AF712" s="19"/>
      <c r="AG712" s="19"/>
      <c r="AH712" s="19"/>
    </row>
    <row r="713" spans="1:34" ht="13.15" x14ac:dyDescent="0.4">
      <c r="A713" s="19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  <c r="AA713" s="19"/>
      <c r="AB713" s="19"/>
      <c r="AC713" s="19"/>
      <c r="AD713" s="19"/>
      <c r="AE713" s="19"/>
      <c r="AF713" s="19"/>
      <c r="AG713" s="19"/>
      <c r="AH713" s="19"/>
    </row>
    <row r="714" spans="1:34" ht="13.15" x14ac:dyDescent="0.4">
      <c r="A714" s="19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  <c r="AA714" s="19"/>
      <c r="AB714" s="19"/>
      <c r="AC714" s="19"/>
      <c r="AD714" s="19"/>
      <c r="AE714" s="19"/>
      <c r="AF714" s="19"/>
      <c r="AG714" s="19"/>
      <c r="AH714" s="19"/>
    </row>
    <row r="715" spans="1:34" ht="13.15" x14ac:dyDescent="0.4">
      <c r="A715" s="19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  <c r="AA715" s="19"/>
      <c r="AB715" s="19"/>
      <c r="AC715" s="19"/>
      <c r="AD715" s="19"/>
      <c r="AE715" s="19"/>
      <c r="AF715" s="19"/>
      <c r="AG715" s="19"/>
      <c r="AH715" s="19"/>
    </row>
    <row r="716" spans="1:34" ht="13.15" x14ac:dyDescent="0.4">
      <c r="A716" s="19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  <c r="AA716" s="19"/>
      <c r="AB716" s="19"/>
      <c r="AC716" s="19"/>
      <c r="AD716" s="19"/>
      <c r="AE716" s="19"/>
      <c r="AF716" s="19"/>
      <c r="AG716" s="19"/>
      <c r="AH716" s="19"/>
    </row>
    <row r="717" spans="1:34" ht="13.15" x14ac:dyDescent="0.4">
      <c r="A717" s="19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  <c r="AA717" s="19"/>
      <c r="AB717" s="19"/>
      <c r="AC717" s="19"/>
      <c r="AD717" s="19"/>
      <c r="AE717" s="19"/>
      <c r="AF717" s="19"/>
      <c r="AG717" s="19"/>
      <c r="AH717" s="19"/>
    </row>
    <row r="718" spans="1:34" ht="13.15" x14ac:dyDescent="0.4">
      <c r="A718" s="19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  <c r="AA718" s="19"/>
      <c r="AB718" s="19"/>
      <c r="AC718" s="19"/>
      <c r="AD718" s="19"/>
      <c r="AE718" s="19"/>
      <c r="AF718" s="19"/>
      <c r="AG718" s="19"/>
      <c r="AH718" s="19"/>
    </row>
    <row r="719" spans="1:34" ht="13.15" x14ac:dyDescent="0.4">
      <c r="A719" s="19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  <c r="AA719" s="19"/>
      <c r="AB719" s="19"/>
      <c r="AC719" s="19"/>
      <c r="AD719" s="19"/>
      <c r="AE719" s="19"/>
      <c r="AF719" s="19"/>
      <c r="AG719" s="19"/>
      <c r="AH719" s="19"/>
    </row>
    <row r="720" spans="1:34" ht="13.15" x14ac:dyDescent="0.4">
      <c r="A720" s="19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  <c r="AA720" s="19"/>
      <c r="AB720" s="19"/>
      <c r="AC720" s="19"/>
      <c r="AD720" s="19"/>
      <c r="AE720" s="19"/>
      <c r="AF720" s="19"/>
      <c r="AG720" s="19"/>
      <c r="AH720" s="19"/>
    </row>
    <row r="721" spans="1:34" ht="13.15" x14ac:dyDescent="0.4">
      <c r="A721" s="19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  <c r="AA721" s="19"/>
      <c r="AB721" s="19"/>
      <c r="AC721" s="19"/>
      <c r="AD721" s="19"/>
      <c r="AE721" s="19"/>
      <c r="AF721" s="19"/>
      <c r="AG721" s="19"/>
      <c r="AH721" s="19"/>
    </row>
    <row r="722" spans="1:34" ht="13.15" x14ac:dyDescent="0.4">
      <c r="A722" s="19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  <c r="AA722" s="19"/>
      <c r="AB722" s="19"/>
      <c r="AC722" s="19"/>
      <c r="AD722" s="19"/>
      <c r="AE722" s="19"/>
      <c r="AF722" s="19"/>
      <c r="AG722" s="19"/>
      <c r="AH722" s="19"/>
    </row>
    <row r="723" spans="1:34" ht="13.15" x14ac:dyDescent="0.4">
      <c r="A723" s="19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  <c r="AA723" s="19"/>
      <c r="AB723" s="19"/>
      <c r="AC723" s="19"/>
      <c r="AD723" s="19"/>
      <c r="AE723" s="19"/>
      <c r="AF723" s="19"/>
      <c r="AG723" s="19"/>
      <c r="AH723" s="19"/>
    </row>
    <row r="724" spans="1:34" ht="13.15" x14ac:dyDescent="0.4">
      <c r="A724" s="19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  <c r="AA724" s="19"/>
      <c r="AB724" s="19"/>
      <c r="AC724" s="19"/>
      <c r="AD724" s="19"/>
      <c r="AE724" s="19"/>
      <c r="AF724" s="19"/>
      <c r="AG724" s="19"/>
      <c r="AH724" s="19"/>
    </row>
    <row r="725" spans="1:34" ht="13.15" x14ac:dyDescent="0.4">
      <c r="A725" s="19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  <c r="AA725" s="19"/>
      <c r="AB725" s="19"/>
      <c r="AC725" s="19"/>
      <c r="AD725" s="19"/>
      <c r="AE725" s="19"/>
      <c r="AF725" s="19"/>
      <c r="AG725" s="19"/>
      <c r="AH725" s="19"/>
    </row>
    <row r="726" spans="1:34" ht="13.15" x14ac:dyDescent="0.4">
      <c r="A726" s="19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  <c r="AA726" s="19"/>
      <c r="AB726" s="19"/>
      <c r="AC726" s="19"/>
      <c r="AD726" s="19"/>
      <c r="AE726" s="19"/>
      <c r="AF726" s="19"/>
      <c r="AG726" s="19"/>
      <c r="AH726" s="19"/>
    </row>
    <row r="727" spans="1:34" ht="13.15" x14ac:dyDescent="0.4">
      <c r="A727" s="19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  <c r="AA727" s="19"/>
      <c r="AB727" s="19"/>
      <c r="AC727" s="19"/>
      <c r="AD727" s="19"/>
      <c r="AE727" s="19"/>
      <c r="AF727" s="19"/>
      <c r="AG727" s="19"/>
      <c r="AH727" s="19"/>
    </row>
    <row r="728" spans="1:34" ht="13.15" x14ac:dyDescent="0.4">
      <c r="A728" s="19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  <c r="AB728" s="19"/>
      <c r="AC728" s="19"/>
      <c r="AD728" s="19"/>
      <c r="AE728" s="19"/>
      <c r="AF728" s="19"/>
      <c r="AG728" s="19"/>
      <c r="AH728" s="19"/>
    </row>
    <row r="729" spans="1:34" ht="13.15" x14ac:dyDescent="0.4">
      <c r="A729" s="19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A729" s="19"/>
      <c r="AB729" s="19"/>
      <c r="AC729" s="19"/>
      <c r="AD729" s="19"/>
      <c r="AE729" s="19"/>
      <c r="AF729" s="19"/>
      <c r="AG729" s="19"/>
      <c r="AH729" s="19"/>
    </row>
    <row r="730" spans="1:34" ht="13.15" x14ac:dyDescent="0.4">
      <c r="A730" s="19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  <c r="AA730" s="19"/>
      <c r="AB730" s="19"/>
      <c r="AC730" s="19"/>
      <c r="AD730" s="19"/>
      <c r="AE730" s="19"/>
      <c r="AF730" s="19"/>
      <c r="AG730" s="19"/>
      <c r="AH730" s="19"/>
    </row>
    <row r="731" spans="1:34" ht="13.15" x14ac:dyDescent="0.4">
      <c r="A731" s="19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  <c r="AA731" s="19"/>
      <c r="AB731" s="19"/>
      <c r="AC731" s="19"/>
      <c r="AD731" s="19"/>
      <c r="AE731" s="19"/>
      <c r="AF731" s="19"/>
      <c r="AG731" s="19"/>
      <c r="AH731" s="19"/>
    </row>
    <row r="732" spans="1:34" ht="13.15" x14ac:dyDescent="0.4">
      <c r="A732" s="19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  <c r="AA732" s="19"/>
      <c r="AB732" s="19"/>
      <c r="AC732" s="19"/>
      <c r="AD732" s="19"/>
      <c r="AE732" s="19"/>
      <c r="AF732" s="19"/>
      <c r="AG732" s="19"/>
      <c r="AH732" s="19"/>
    </row>
    <row r="733" spans="1:34" ht="13.15" x14ac:dyDescent="0.4">
      <c r="A733" s="19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  <c r="AA733" s="19"/>
      <c r="AB733" s="19"/>
      <c r="AC733" s="19"/>
      <c r="AD733" s="19"/>
      <c r="AE733" s="19"/>
      <c r="AF733" s="19"/>
      <c r="AG733" s="19"/>
      <c r="AH733" s="19"/>
    </row>
    <row r="734" spans="1:34" ht="13.15" x14ac:dyDescent="0.4">
      <c r="A734" s="19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  <c r="AA734" s="19"/>
      <c r="AB734" s="19"/>
      <c r="AC734" s="19"/>
      <c r="AD734" s="19"/>
      <c r="AE734" s="19"/>
      <c r="AF734" s="19"/>
      <c r="AG734" s="19"/>
      <c r="AH734" s="19"/>
    </row>
    <row r="735" spans="1:34" ht="13.15" x14ac:dyDescent="0.4">
      <c r="A735" s="19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  <c r="AA735" s="19"/>
      <c r="AB735" s="19"/>
      <c r="AC735" s="19"/>
      <c r="AD735" s="19"/>
      <c r="AE735" s="19"/>
      <c r="AF735" s="19"/>
      <c r="AG735" s="19"/>
      <c r="AH735" s="19"/>
    </row>
    <row r="736" spans="1:34" ht="13.15" x14ac:dyDescent="0.4">
      <c r="A736" s="19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  <c r="AA736" s="19"/>
      <c r="AB736" s="19"/>
      <c r="AC736" s="19"/>
      <c r="AD736" s="19"/>
      <c r="AE736" s="19"/>
      <c r="AF736" s="19"/>
      <c r="AG736" s="19"/>
      <c r="AH736" s="19"/>
    </row>
    <row r="737" spans="1:34" ht="13.15" x14ac:dyDescent="0.4">
      <c r="A737" s="19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  <c r="AA737" s="19"/>
      <c r="AB737" s="19"/>
      <c r="AC737" s="19"/>
      <c r="AD737" s="19"/>
      <c r="AE737" s="19"/>
      <c r="AF737" s="19"/>
      <c r="AG737" s="19"/>
      <c r="AH737" s="19"/>
    </row>
    <row r="738" spans="1:34" ht="13.15" x14ac:dyDescent="0.4">
      <c r="A738" s="19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  <c r="AA738" s="19"/>
      <c r="AB738" s="19"/>
      <c r="AC738" s="19"/>
      <c r="AD738" s="19"/>
      <c r="AE738" s="19"/>
      <c r="AF738" s="19"/>
      <c r="AG738" s="19"/>
      <c r="AH738" s="19"/>
    </row>
    <row r="739" spans="1:34" ht="13.15" x14ac:dyDescent="0.4">
      <c r="A739" s="19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  <c r="AA739" s="19"/>
      <c r="AB739" s="19"/>
      <c r="AC739" s="19"/>
      <c r="AD739" s="19"/>
      <c r="AE739" s="19"/>
      <c r="AF739" s="19"/>
      <c r="AG739" s="19"/>
      <c r="AH739" s="19"/>
    </row>
    <row r="740" spans="1:34" ht="13.15" x14ac:dyDescent="0.4">
      <c r="A740" s="19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  <c r="AA740" s="19"/>
      <c r="AB740" s="19"/>
      <c r="AC740" s="19"/>
      <c r="AD740" s="19"/>
      <c r="AE740" s="19"/>
      <c r="AF740" s="19"/>
      <c r="AG740" s="19"/>
      <c r="AH740" s="19"/>
    </row>
    <row r="741" spans="1:34" ht="13.15" x14ac:dyDescent="0.4">
      <c r="A741" s="19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  <c r="AA741" s="19"/>
      <c r="AB741" s="19"/>
      <c r="AC741" s="19"/>
      <c r="AD741" s="19"/>
      <c r="AE741" s="19"/>
      <c r="AF741" s="19"/>
      <c r="AG741" s="19"/>
      <c r="AH741" s="19"/>
    </row>
    <row r="742" spans="1:34" ht="13.15" x14ac:dyDescent="0.4">
      <c r="A742" s="19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  <c r="AA742" s="19"/>
      <c r="AB742" s="19"/>
      <c r="AC742" s="19"/>
      <c r="AD742" s="19"/>
      <c r="AE742" s="19"/>
      <c r="AF742" s="19"/>
      <c r="AG742" s="19"/>
      <c r="AH742" s="19"/>
    </row>
    <row r="743" spans="1:34" ht="13.15" x14ac:dyDescent="0.4">
      <c r="A743" s="19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  <c r="AA743" s="19"/>
      <c r="AB743" s="19"/>
      <c r="AC743" s="19"/>
      <c r="AD743" s="19"/>
      <c r="AE743" s="19"/>
      <c r="AF743" s="19"/>
      <c r="AG743" s="19"/>
      <c r="AH743" s="19"/>
    </row>
    <row r="744" spans="1:34" ht="13.15" x14ac:dyDescent="0.4">
      <c r="A744" s="19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  <c r="AA744" s="19"/>
      <c r="AB744" s="19"/>
      <c r="AC744" s="19"/>
      <c r="AD744" s="19"/>
      <c r="AE744" s="19"/>
      <c r="AF744" s="19"/>
      <c r="AG744" s="19"/>
      <c r="AH744" s="19"/>
    </row>
    <row r="745" spans="1:34" ht="13.15" x14ac:dyDescent="0.4">
      <c r="A745" s="19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  <c r="AA745" s="19"/>
      <c r="AB745" s="19"/>
      <c r="AC745" s="19"/>
      <c r="AD745" s="19"/>
      <c r="AE745" s="19"/>
      <c r="AF745" s="19"/>
      <c r="AG745" s="19"/>
      <c r="AH745" s="19"/>
    </row>
    <row r="746" spans="1:34" ht="13.15" x14ac:dyDescent="0.4">
      <c r="A746" s="19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  <c r="AA746" s="19"/>
      <c r="AB746" s="19"/>
      <c r="AC746" s="19"/>
      <c r="AD746" s="19"/>
      <c r="AE746" s="19"/>
      <c r="AF746" s="19"/>
      <c r="AG746" s="19"/>
      <c r="AH746" s="19"/>
    </row>
    <row r="747" spans="1:34" ht="13.15" x14ac:dyDescent="0.4">
      <c r="A747" s="19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  <c r="AA747" s="19"/>
      <c r="AB747" s="19"/>
      <c r="AC747" s="19"/>
      <c r="AD747" s="19"/>
      <c r="AE747" s="19"/>
      <c r="AF747" s="19"/>
      <c r="AG747" s="19"/>
      <c r="AH747" s="19"/>
    </row>
    <row r="748" spans="1:34" ht="13.15" x14ac:dyDescent="0.4">
      <c r="A748" s="19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  <c r="AA748" s="19"/>
      <c r="AB748" s="19"/>
      <c r="AC748" s="19"/>
      <c r="AD748" s="19"/>
      <c r="AE748" s="19"/>
      <c r="AF748" s="19"/>
      <c r="AG748" s="19"/>
      <c r="AH748" s="19"/>
    </row>
    <row r="749" spans="1:34" ht="13.15" x14ac:dyDescent="0.4">
      <c r="A749" s="19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  <c r="AA749" s="19"/>
      <c r="AB749" s="19"/>
      <c r="AC749" s="19"/>
      <c r="AD749" s="19"/>
      <c r="AE749" s="19"/>
      <c r="AF749" s="19"/>
      <c r="AG749" s="19"/>
      <c r="AH749" s="19"/>
    </row>
    <row r="750" spans="1:34" ht="13.15" x14ac:dyDescent="0.4">
      <c r="A750" s="19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  <c r="AA750" s="19"/>
      <c r="AB750" s="19"/>
      <c r="AC750" s="19"/>
      <c r="AD750" s="19"/>
      <c r="AE750" s="19"/>
      <c r="AF750" s="19"/>
      <c r="AG750" s="19"/>
      <c r="AH750" s="19"/>
    </row>
    <row r="751" spans="1:34" ht="13.15" x14ac:dyDescent="0.4">
      <c r="A751" s="19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  <c r="AA751" s="19"/>
      <c r="AB751" s="19"/>
      <c r="AC751" s="19"/>
      <c r="AD751" s="19"/>
      <c r="AE751" s="19"/>
      <c r="AF751" s="19"/>
      <c r="AG751" s="19"/>
      <c r="AH751" s="19"/>
    </row>
    <row r="752" spans="1:34" ht="13.15" x14ac:dyDescent="0.4">
      <c r="A752" s="19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  <c r="AA752" s="19"/>
      <c r="AB752" s="19"/>
      <c r="AC752" s="19"/>
      <c r="AD752" s="19"/>
      <c r="AE752" s="19"/>
      <c r="AF752" s="19"/>
      <c r="AG752" s="19"/>
      <c r="AH752" s="19"/>
    </row>
    <row r="753" spans="1:34" ht="13.15" x14ac:dyDescent="0.4">
      <c r="A753" s="19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  <c r="AA753" s="19"/>
      <c r="AB753" s="19"/>
      <c r="AC753" s="19"/>
      <c r="AD753" s="19"/>
      <c r="AE753" s="19"/>
      <c r="AF753" s="19"/>
      <c r="AG753" s="19"/>
      <c r="AH753" s="19"/>
    </row>
    <row r="754" spans="1:34" ht="13.15" x14ac:dyDescent="0.4">
      <c r="A754" s="19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  <c r="AA754" s="19"/>
      <c r="AB754" s="19"/>
      <c r="AC754" s="19"/>
      <c r="AD754" s="19"/>
      <c r="AE754" s="19"/>
      <c r="AF754" s="19"/>
      <c r="AG754" s="19"/>
      <c r="AH754" s="19"/>
    </row>
    <row r="755" spans="1:34" ht="13.15" x14ac:dyDescent="0.4">
      <c r="A755" s="19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  <c r="AA755" s="19"/>
      <c r="AB755" s="19"/>
      <c r="AC755" s="19"/>
      <c r="AD755" s="19"/>
      <c r="AE755" s="19"/>
      <c r="AF755" s="19"/>
      <c r="AG755" s="19"/>
      <c r="AH755" s="19"/>
    </row>
    <row r="756" spans="1:34" ht="13.15" x14ac:dyDescent="0.4">
      <c r="A756" s="19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  <c r="AA756" s="19"/>
      <c r="AB756" s="19"/>
      <c r="AC756" s="19"/>
      <c r="AD756" s="19"/>
      <c r="AE756" s="19"/>
      <c r="AF756" s="19"/>
      <c r="AG756" s="19"/>
      <c r="AH756" s="19"/>
    </row>
    <row r="757" spans="1:34" ht="13.15" x14ac:dyDescent="0.4">
      <c r="A757" s="19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  <c r="AA757" s="19"/>
      <c r="AB757" s="19"/>
      <c r="AC757" s="19"/>
      <c r="AD757" s="19"/>
      <c r="AE757" s="19"/>
      <c r="AF757" s="19"/>
      <c r="AG757" s="19"/>
      <c r="AH757" s="19"/>
    </row>
    <row r="758" spans="1:34" ht="13.15" x14ac:dyDescent="0.4">
      <c r="A758" s="19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  <c r="AA758" s="19"/>
      <c r="AB758" s="19"/>
      <c r="AC758" s="19"/>
      <c r="AD758" s="19"/>
      <c r="AE758" s="19"/>
      <c r="AF758" s="19"/>
      <c r="AG758" s="19"/>
      <c r="AH758" s="19"/>
    </row>
    <row r="759" spans="1:34" ht="13.15" x14ac:dyDescent="0.4">
      <c r="A759" s="19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  <c r="AA759" s="19"/>
      <c r="AB759" s="19"/>
      <c r="AC759" s="19"/>
      <c r="AD759" s="19"/>
      <c r="AE759" s="19"/>
      <c r="AF759" s="19"/>
      <c r="AG759" s="19"/>
      <c r="AH759" s="19"/>
    </row>
    <row r="760" spans="1:34" ht="13.15" x14ac:dyDescent="0.4">
      <c r="A760" s="19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  <c r="AA760" s="19"/>
      <c r="AB760" s="19"/>
      <c r="AC760" s="19"/>
      <c r="AD760" s="19"/>
      <c r="AE760" s="19"/>
      <c r="AF760" s="19"/>
      <c r="AG760" s="19"/>
      <c r="AH760" s="19"/>
    </row>
    <row r="761" spans="1:34" ht="13.15" x14ac:dyDescent="0.4">
      <c r="A761" s="19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  <c r="AA761" s="19"/>
      <c r="AB761" s="19"/>
      <c r="AC761" s="19"/>
      <c r="AD761" s="19"/>
      <c r="AE761" s="19"/>
      <c r="AF761" s="19"/>
      <c r="AG761" s="19"/>
      <c r="AH761" s="19"/>
    </row>
    <row r="762" spans="1:34" ht="13.15" x14ac:dyDescent="0.4">
      <c r="A762" s="19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  <c r="AB762" s="19"/>
      <c r="AC762" s="19"/>
      <c r="AD762" s="19"/>
      <c r="AE762" s="19"/>
      <c r="AF762" s="19"/>
      <c r="AG762" s="19"/>
      <c r="AH762" s="19"/>
    </row>
    <row r="763" spans="1:34" ht="13.15" x14ac:dyDescent="0.4">
      <c r="A763" s="19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  <c r="AA763" s="19"/>
      <c r="AB763" s="19"/>
      <c r="AC763" s="19"/>
      <c r="AD763" s="19"/>
      <c r="AE763" s="19"/>
      <c r="AF763" s="19"/>
      <c r="AG763" s="19"/>
      <c r="AH763" s="19"/>
    </row>
    <row r="764" spans="1:34" ht="13.15" x14ac:dyDescent="0.4">
      <c r="A764" s="19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  <c r="AA764" s="19"/>
      <c r="AB764" s="19"/>
      <c r="AC764" s="19"/>
      <c r="AD764" s="19"/>
      <c r="AE764" s="19"/>
      <c r="AF764" s="19"/>
      <c r="AG764" s="19"/>
      <c r="AH764" s="19"/>
    </row>
    <row r="765" spans="1:34" ht="13.15" x14ac:dyDescent="0.4">
      <c r="A765" s="19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  <c r="AA765" s="19"/>
      <c r="AB765" s="19"/>
      <c r="AC765" s="19"/>
      <c r="AD765" s="19"/>
      <c r="AE765" s="19"/>
      <c r="AF765" s="19"/>
      <c r="AG765" s="19"/>
      <c r="AH765" s="19"/>
    </row>
    <row r="766" spans="1:34" ht="13.15" x14ac:dyDescent="0.4">
      <c r="A766" s="19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  <c r="AA766" s="19"/>
      <c r="AB766" s="19"/>
      <c r="AC766" s="19"/>
      <c r="AD766" s="19"/>
      <c r="AE766" s="19"/>
      <c r="AF766" s="19"/>
      <c r="AG766" s="19"/>
      <c r="AH766" s="19"/>
    </row>
    <row r="767" spans="1:34" ht="13.15" x14ac:dyDescent="0.4">
      <c r="A767" s="19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  <c r="AA767" s="19"/>
      <c r="AB767" s="19"/>
      <c r="AC767" s="19"/>
      <c r="AD767" s="19"/>
      <c r="AE767" s="19"/>
      <c r="AF767" s="19"/>
      <c r="AG767" s="19"/>
      <c r="AH767" s="19"/>
    </row>
    <row r="768" spans="1:34" ht="13.15" x14ac:dyDescent="0.4">
      <c r="A768" s="19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  <c r="AA768" s="19"/>
      <c r="AB768" s="19"/>
      <c r="AC768" s="19"/>
      <c r="AD768" s="19"/>
      <c r="AE768" s="19"/>
      <c r="AF768" s="19"/>
      <c r="AG768" s="19"/>
      <c r="AH768" s="19"/>
    </row>
    <row r="769" spans="1:34" ht="13.15" x14ac:dyDescent="0.4">
      <c r="A769" s="19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  <c r="AA769" s="19"/>
      <c r="AB769" s="19"/>
      <c r="AC769" s="19"/>
      <c r="AD769" s="19"/>
      <c r="AE769" s="19"/>
      <c r="AF769" s="19"/>
      <c r="AG769" s="19"/>
      <c r="AH769" s="19"/>
    </row>
    <row r="770" spans="1:34" ht="13.15" x14ac:dyDescent="0.4">
      <c r="A770" s="19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  <c r="AA770" s="19"/>
      <c r="AB770" s="19"/>
      <c r="AC770" s="19"/>
      <c r="AD770" s="19"/>
      <c r="AE770" s="19"/>
      <c r="AF770" s="19"/>
      <c r="AG770" s="19"/>
      <c r="AH770" s="19"/>
    </row>
    <row r="771" spans="1:34" ht="13.15" x14ac:dyDescent="0.4">
      <c r="A771" s="19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  <c r="AA771" s="19"/>
      <c r="AB771" s="19"/>
      <c r="AC771" s="19"/>
      <c r="AD771" s="19"/>
      <c r="AE771" s="19"/>
      <c r="AF771" s="19"/>
      <c r="AG771" s="19"/>
      <c r="AH771" s="19"/>
    </row>
    <row r="772" spans="1:34" ht="13.15" x14ac:dyDescent="0.4">
      <c r="A772" s="19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  <c r="AA772" s="19"/>
      <c r="AB772" s="19"/>
      <c r="AC772" s="19"/>
      <c r="AD772" s="19"/>
      <c r="AE772" s="19"/>
      <c r="AF772" s="19"/>
      <c r="AG772" s="19"/>
      <c r="AH772" s="19"/>
    </row>
    <row r="773" spans="1:34" ht="13.15" x14ac:dyDescent="0.4">
      <c r="A773" s="19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  <c r="AA773" s="19"/>
      <c r="AB773" s="19"/>
      <c r="AC773" s="19"/>
      <c r="AD773" s="19"/>
      <c r="AE773" s="19"/>
      <c r="AF773" s="19"/>
      <c r="AG773" s="19"/>
      <c r="AH773" s="19"/>
    </row>
    <row r="774" spans="1:34" ht="13.15" x14ac:dyDescent="0.4">
      <c r="A774" s="19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  <c r="AA774" s="19"/>
      <c r="AB774" s="19"/>
      <c r="AC774" s="19"/>
      <c r="AD774" s="19"/>
      <c r="AE774" s="19"/>
      <c r="AF774" s="19"/>
      <c r="AG774" s="19"/>
      <c r="AH774" s="19"/>
    </row>
    <row r="775" spans="1:34" ht="13.15" x14ac:dyDescent="0.4">
      <c r="A775" s="19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  <c r="AA775" s="19"/>
      <c r="AB775" s="19"/>
      <c r="AC775" s="19"/>
      <c r="AD775" s="19"/>
      <c r="AE775" s="19"/>
      <c r="AF775" s="19"/>
      <c r="AG775" s="19"/>
      <c r="AH775" s="19"/>
    </row>
    <row r="776" spans="1:34" ht="13.15" x14ac:dyDescent="0.4">
      <c r="A776" s="19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  <c r="AA776" s="19"/>
      <c r="AB776" s="19"/>
      <c r="AC776" s="19"/>
      <c r="AD776" s="19"/>
      <c r="AE776" s="19"/>
      <c r="AF776" s="19"/>
      <c r="AG776" s="19"/>
      <c r="AH776" s="19"/>
    </row>
    <row r="777" spans="1:34" ht="13.15" x14ac:dyDescent="0.4">
      <c r="A777" s="19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  <c r="AA777" s="19"/>
      <c r="AB777" s="19"/>
      <c r="AC777" s="19"/>
      <c r="AD777" s="19"/>
      <c r="AE777" s="19"/>
      <c r="AF777" s="19"/>
      <c r="AG777" s="19"/>
      <c r="AH777" s="19"/>
    </row>
    <row r="778" spans="1:34" ht="13.15" x14ac:dyDescent="0.4">
      <c r="A778" s="19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  <c r="AA778" s="19"/>
      <c r="AB778" s="19"/>
      <c r="AC778" s="19"/>
      <c r="AD778" s="19"/>
      <c r="AE778" s="19"/>
      <c r="AF778" s="19"/>
      <c r="AG778" s="19"/>
      <c r="AH778" s="19"/>
    </row>
    <row r="779" spans="1:34" ht="13.15" x14ac:dyDescent="0.4">
      <c r="A779" s="19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  <c r="AA779" s="19"/>
      <c r="AB779" s="19"/>
      <c r="AC779" s="19"/>
      <c r="AD779" s="19"/>
      <c r="AE779" s="19"/>
      <c r="AF779" s="19"/>
      <c r="AG779" s="19"/>
      <c r="AH779" s="19"/>
    </row>
    <row r="780" spans="1:34" ht="13.15" x14ac:dyDescent="0.4">
      <c r="A780" s="19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  <c r="AA780" s="19"/>
      <c r="AB780" s="19"/>
      <c r="AC780" s="19"/>
      <c r="AD780" s="19"/>
      <c r="AE780" s="19"/>
      <c r="AF780" s="19"/>
      <c r="AG780" s="19"/>
      <c r="AH780" s="19"/>
    </row>
    <row r="781" spans="1:34" ht="13.15" x14ac:dyDescent="0.4">
      <c r="A781" s="19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  <c r="AA781" s="19"/>
      <c r="AB781" s="19"/>
      <c r="AC781" s="19"/>
      <c r="AD781" s="19"/>
      <c r="AE781" s="19"/>
      <c r="AF781" s="19"/>
      <c r="AG781" s="19"/>
      <c r="AH781" s="19"/>
    </row>
    <row r="782" spans="1:34" ht="13.15" x14ac:dyDescent="0.4">
      <c r="A782" s="19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  <c r="AA782" s="19"/>
      <c r="AB782" s="19"/>
      <c r="AC782" s="19"/>
      <c r="AD782" s="19"/>
      <c r="AE782" s="19"/>
      <c r="AF782" s="19"/>
      <c r="AG782" s="19"/>
      <c r="AH782" s="19"/>
    </row>
    <row r="783" spans="1:34" ht="13.15" x14ac:dyDescent="0.4">
      <c r="A783" s="19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  <c r="AA783" s="19"/>
      <c r="AB783" s="19"/>
      <c r="AC783" s="19"/>
      <c r="AD783" s="19"/>
      <c r="AE783" s="19"/>
      <c r="AF783" s="19"/>
      <c r="AG783" s="19"/>
      <c r="AH783" s="19"/>
    </row>
    <row r="784" spans="1:34" ht="13.15" x14ac:dyDescent="0.4">
      <c r="A784" s="19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  <c r="AA784" s="19"/>
      <c r="AB784" s="19"/>
      <c r="AC784" s="19"/>
      <c r="AD784" s="19"/>
      <c r="AE784" s="19"/>
      <c r="AF784" s="19"/>
      <c r="AG784" s="19"/>
      <c r="AH784" s="19"/>
    </row>
    <row r="785" spans="1:34" ht="13.15" x14ac:dyDescent="0.4">
      <c r="A785" s="19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  <c r="AA785" s="19"/>
      <c r="AB785" s="19"/>
      <c r="AC785" s="19"/>
      <c r="AD785" s="19"/>
      <c r="AE785" s="19"/>
      <c r="AF785" s="19"/>
      <c r="AG785" s="19"/>
      <c r="AH785" s="19"/>
    </row>
    <row r="786" spans="1:34" ht="13.15" x14ac:dyDescent="0.4">
      <c r="A786" s="19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  <c r="AA786" s="19"/>
      <c r="AB786" s="19"/>
      <c r="AC786" s="19"/>
      <c r="AD786" s="19"/>
      <c r="AE786" s="19"/>
      <c r="AF786" s="19"/>
      <c r="AG786" s="19"/>
      <c r="AH786" s="19"/>
    </row>
    <row r="787" spans="1:34" ht="13.15" x14ac:dyDescent="0.4">
      <c r="A787" s="19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  <c r="AA787" s="19"/>
      <c r="AB787" s="19"/>
      <c r="AC787" s="19"/>
      <c r="AD787" s="19"/>
      <c r="AE787" s="19"/>
      <c r="AF787" s="19"/>
      <c r="AG787" s="19"/>
      <c r="AH787" s="19"/>
    </row>
    <row r="788" spans="1:34" ht="13.15" x14ac:dyDescent="0.4">
      <c r="A788" s="19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  <c r="AA788" s="19"/>
      <c r="AB788" s="19"/>
      <c r="AC788" s="19"/>
      <c r="AD788" s="19"/>
      <c r="AE788" s="19"/>
      <c r="AF788" s="19"/>
      <c r="AG788" s="19"/>
      <c r="AH788" s="19"/>
    </row>
    <row r="789" spans="1:34" ht="13.15" x14ac:dyDescent="0.4">
      <c r="A789" s="19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  <c r="AA789" s="19"/>
      <c r="AB789" s="19"/>
      <c r="AC789" s="19"/>
      <c r="AD789" s="19"/>
      <c r="AE789" s="19"/>
      <c r="AF789" s="19"/>
      <c r="AG789" s="19"/>
      <c r="AH789" s="19"/>
    </row>
    <row r="790" spans="1:34" ht="13.15" x14ac:dyDescent="0.4">
      <c r="A790" s="19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  <c r="AA790" s="19"/>
      <c r="AB790" s="19"/>
      <c r="AC790" s="19"/>
      <c r="AD790" s="19"/>
      <c r="AE790" s="19"/>
      <c r="AF790" s="19"/>
      <c r="AG790" s="19"/>
      <c r="AH790" s="19"/>
    </row>
    <row r="791" spans="1:34" ht="13.15" x14ac:dyDescent="0.4">
      <c r="A791" s="19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  <c r="AA791" s="19"/>
      <c r="AB791" s="19"/>
      <c r="AC791" s="19"/>
      <c r="AD791" s="19"/>
      <c r="AE791" s="19"/>
      <c r="AF791" s="19"/>
      <c r="AG791" s="19"/>
      <c r="AH791" s="19"/>
    </row>
    <row r="792" spans="1:34" ht="13.15" x14ac:dyDescent="0.4">
      <c r="A792" s="19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  <c r="AA792" s="19"/>
      <c r="AB792" s="19"/>
      <c r="AC792" s="19"/>
      <c r="AD792" s="19"/>
      <c r="AE792" s="19"/>
      <c r="AF792" s="19"/>
      <c r="AG792" s="19"/>
      <c r="AH792" s="19"/>
    </row>
    <row r="793" spans="1:34" ht="13.15" x14ac:dyDescent="0.4">
      <c r="A793" s="19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  <c r="AA793" s="19"/>
      <c r="AB793" s="19"/>
      <c r="AC793" s="19"/>
      <c r="AD793" s="19"/>
      <c r="AE793" s="19"/>
      <c r="AF793" s="19"/>
      <c r="AG793" s="19"/>
      <c r="AH793" s="19"/>
    </row>
    <row r="794" spans="1:34" ht="13.15" x14ac:dyDescent="0.4">
      <c r="A794" s="19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  <c r="AA794" s="19"/>
      <c r="AB794" s="19"/>
      <c r="AC794" s="19"/>
      <c r="AD794" s="19"/>
      <c r="AE794" s="19"/>
      <c r="AF794" s="19"/>
      <c r="AG794" s="19"/>
      <c r="AH794" s="19"/>
    </row>
    <row r="795" spans="1:34" ht="13.15" x14ac:dyDescent="0.4">
      <c r="A795" s="19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  <c r="AA795" s="19"/>
      <c r="AB795" s="19"/>
      <c r="AC795" s="19"/>
      <c r="AD795" s="19"/>
      <c r="AE795" s="19"/>
      <c r="AF795" s="19"/>
      <c r="AG795" s="19"/>
      <c r="AH795" s="19"/>
    </row>
    <row r="796" spans="1:34" ht="13.15" x14ac:dyDescent="0.4">
      <c r="A796" s="19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  <c r="AA796" s="19"/>
      <c r="AB796" s="19"/>
      <c r="AC796" s="19"/>
      <c r="AD796" s="19"/>
      <c r="AE796" s="19"/>
      <c r="AF796" s="19"/>
      <c r="AG796" s="19"/>
      <c r="AH796" s="19"/>
    </row>
    <row r="797" spans="1:34" ht="13.15" x14ac:dyDescent="0.4">
      <c r="A797" s="19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  <c r="AA797" s="19"/>
      <c r="AB797" s="19"/>
      <c r="AC797" s="19"/>
      <c r="AD797" s="19"/>
      <c r="AE797" s="19"/>
      <c r="AF797" s="19"/>
      <c r="AG797" s="19"/>
      <c r="AH797" s="19"/>
    </row>
    <row r="798" spans="1:34" ht="13.15" x14ac:dyDescent="0.4">
      <c r="A798" s="19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  <c r="AA798" s="19"/>
      <c r="AB798" s="19"/>
      <c r="AC798" s="19"/>
      <c r="AD798" s="19"/>
      <c r="AE798" s="19"/>
      <c r="AF798" s="19"/>
      <c r="AG798" s="19"/>
      <c r="AH798" s="19"/>
    </row>
    <row r="799" spans="1:34" ht="13.15" x14ac:dyDescent="0.4">
      <c r="A799" s="19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  <c r="AA799" s="19"/>
      <c r="AB799" s="19"/>
      <c r="AC799" s="19"/>
      <c r="AD799" s="19"/>
      <c r="AE799" s="19"/>
      <c r="AF799" s="19"/>
      <c r="AG799" s="19"/>
      <c r="AH799" s="19"/>
    </row>
    <row r="800" spans="1:34" ht="13.15" x14ac:dyDescent="0.4">
      <c r="A800" s="19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  <c r="AA800" s="19"/>
      <c r="AB800" s="19"/>
      <c r="AC800" s="19"/>
      <c r="AD800" s="19"/>
      <c r="AE800" s="19"/>
      <c r="AF800" s="19"/>
      <c r="AG800" s="19"/>
      <c r="AH800" s="19"/>
    </row>
    <row r="801" spans="1:34" ht="13.15" x14ac:dyDescent="0.4">
      <c r="A801" s="19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  <c r="AA801" s="19"/>
      <c r="AB801" s="19"/>
      <c r="AC801" s="19"/>
      <c r="AD801" s="19"/>
      <c r="AE801" s="19"/>
      <c r="AF801" s="19"/>
      <c r="AG801" s="19"/>
      <c r="AH801" s="19"/>
    </row>
    <row r="802" spans="1:34" ht="13.15" x14ac:dyDescent="0.4">
      <c r="A802" s="19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  <c r="AA802" s="19"/>
      <c r="AB802" s="19"/>
      <c r="AC802" s="19"/>
      <c r="AD802" s="19"/>
      <c r="AE802" s="19"/>
      <c r="AF802" s="19"/>
      <c r="AG802" s="19"/>
      <c r="AH802" s="19"/>
    </row>
    <row r="803" spans="1:34" ht="13.15" x14ac:dyDescent="0.4">
      <c r="A803" s="19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  <c r="AA803" s="19"/>
      <c r="AB803" s="19"/>
      <c r="AC803" s="19"/>
      <c r="AD803" s="19"/>
      <c r="AE803" s="19"/>
      <c r="AF803" s="19"/>
      <c r="AG803" s="19"/>
      <c r="AH803" s="19"/>
    </row>
    <row r="804" spans="1:34" ht="13.15" x14ac:dyDescent="0.4">
      <c r="A804" s="19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  <c r="AA804" s="19"/>
      <c r="AB804" s="19"/>
      <c r="AC804" s="19"/>
      <c r="AD804" s="19"/>
      <c r="AE804" s="19"/>
      <c r="AF804" s="19"/>
      <c r="AG804" s="19"/>
      <c r="AH804" s="19"/>
    </row>
    <row r="805" spans="1:34" ht="13.15" x14ac:dyDescent="0.4">
      <c r="A805" s="19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  <c r="AA805" s="19"/>
      <c r="AB805" s="19"/>
      <c r="AC805" s="19"/>
      <c r="AD805" s="19"/>
      <c r="AE805" s="19"/>
      <c r="AF805" s="19"/>
      <c r="AG805" s="19"/>
      <c r="AH805" s="19"/>
    </row>
    <row r="806" spans="1:34" ht="13.15" x14ac:dyDescent="0.4">
      <c r="A806" s="19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  <c r="AA806" s="19"/>
      <c r="AB806" s="19"/>
      <c r="AC806" s="19"/>
      <c r="AD806" s="19"/>
      <c r="AE806" s="19"/>
      <c r="AF806" s="19"/>
      <c r="AG806" s="19"/>
      <c r="AH806" s="19"/>
    </row>
    <row r="807" spans="1:34" ht="13.15" x14ac:dyDescent="0.4">
      <c r="A807" s="19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  <c r="AA807" s="19"/>
      <c r="AB807" s="19"/>
      <c r="AC807" s="19"/>
      <c r="AD807" s="19"/>
      <c r="AE807" s="19"/>
      <c r="AF807" s="19"/>
      <c r="AG807" s="19"/>
      <c r="AH807" s="19"/>
    </row>
    <row r="808" spans="1:34" ht="13.15" x14ac:dyDescent="0.4">
      <c r="A808" s="19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  <c r="AA808" s="19"/>
      <c r="AB808" s="19"/>
      <c r="AC808" s="19"/>
      <c r="AD808" s="19"/>
      <c r="AE808" s="19"/>
      <c r="AF808" s="19"/>
      <c r="AG808" s="19"/>
      <c r="AH808" s="19"/>
    </row>
    <row r="809" spans="1:34" ht="13.15" x14ac:dyDescent="0.4">
      <c r="A809" s="19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  <c r="AA809" s="19"/>
      <c r="AB809" s="19"/>
      <c r="AC809" s="19"/>
      <c r="AD809" s="19"/>
      <c r="AE809" s="19"/>
      <c r="AF809" s="19"/>
      <c r="AG809" s="19"/>
      <c r="AH809" s="19"/>
    </row>
    <row r="810" spans="1:34" ht="13.15" x14ac:dyDescent="0.4">
      <c r="A810" s="19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  <c r="AA810" s="19"/>
      <c r="AB810" s="19"/>
      <c r="AC810" s="19"/>
      <c r="AD810" s="19"/>
      <c r="AE810" s="19"/>
      <c r="AF810" s="19"/>
      <c r="AG810" s="19"/>
      <c r="AH810" s="19"/>
    </row>
    <row r="811" spans="1:34" ht="13.15" x14ac:dyDescent="0.4">
      <c r="A811" s="19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  <c r="AA811" s="19"/>
      <c r="AB811" s="19"/>
      <c r="AC811" s="19"/>
      <c r="AD811" s="19"/>
      <c r="AE811" s="19"/>
      <c r="AF811" s="19"/>
      <c r="AG811" s="19"/>
      <c r="AH811" s="19"/>
    </row>
    <row r="812" spans="1:34" ht="13.15" x14ac:dyDescent="0.4">
      <c r="A812" s="19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  <c r="AA812" s="19"/>
      <c r="AB812" s="19"/>
      <c r="AC812" s="19"/>
      <c r="AD812" s="19"/>
      <c r="AE812" s="19"/>
      <c r="AF812" s="19"/>
      <c r="AG812" s="19"/>
      <c r="AH812" s="19"/>
    </row>
    <row r="813" spans="1:34" ht="13.15" x14ac:dyDescent="0.4">
      <c r="A813" s="19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  <c r="AA813" s="19"/>
      <c r="AB813" s="19"/>
      <c r="AC813" s="19"/>
      <c r="AD813" s="19"/>
      <c r="AE813" s="19"/>
      <c r="AF813" s="19"/>
      <c r="AG813" s="19"/>
      <c r="AH813" s="19"/>
    </row>
    <row r="814" spans="1:34" ht="13.15" x14ac:dyDescent="0.4">
      <c r="A814" s="19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  <c r="AA814" s="19"/>
      <c r="AB814" s="19"/>
      <c r="AC814" s="19"/>
      <c r="AD814" s="19"/>
      <c r="AE814" s="19"/>
      <c r="AF814" s="19"/>
      <c r="AG814" s="19"/>
      <c r="AH814" s="19"/>
    </row>
    <row r="815" spans="1:34" ht="13.15" x14ac:dyDescent="0.4">
      <c r="A815" s="19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  <c r="AA815" s="19"/>
      <c r="AB815" s="19"/>
      <c r="AC815" s="19"/>
      <c r="AD815" s="19"/>
      <c r="AE815" s="19"/>
      <c r="AF815" s="19"/>
      <c r="AG815" s="19"/>
      <c r="AH815" s="19"/>
    </row>
    <row r="816" spans="1:34" ht="13.15" x14ac:dyDescent="0.4">
      <c r="A816" s="19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  <c r="AA816" s="19"/>
      <c r="AB816" s="19"/>
      <c r="AC816" s="19"/>
      <c r="AD816" s="19"/>
      <c r="AE816" s="19"/>
      <c r="AF816" s="19"/>
      <c r="AG816" s="19"/>
      <c r="AH816" s="19"/>
    </row>
    <row r="817" spans="1:34" ht="13.15" x14ac:dyDescent="0.4">
      <c r="A817" s="19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  <c r="AA817" s="19"/>
      <c r="AB817" s="19"/>
      <c r="AC817" s="19"/>
      <c r="AD817" s="19"/>
      <c r="AE817" s="19"/>
      <c r="AF817" s="19"/>
      <c r="AG817" s="19"/>
      <c r="AH817" s="19"/>
    </row>
    <row r="818" spans="1:34" ht="13.15" x14ac:dyDescent="0.4">
      <c r="A818" s="19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  <c r="AA818" s="19"/>
      <c r="AB818" s="19"/>
      <c r="AC818" s="19"/>
      <c r="AD818" s="19"/>
      <c r="AE818" s="19"/>
      <c r="AF818" s="19"/>
      <c r="AG818" s="19"/>
      <c r="AH818" s="19"/>
    </row>
    <row r="819" spans="1:34" ht="13.15" x14ac:dyDescent="0.4">
      <c r="A819" s="19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  <c r="AA819" s="19"/>
      <c r="AB819" s="19"/>
      <c r="AC819" s="19"/>
      <c r="AD819" s="19"/>
      <c r="AE819" s="19"/>
      <c r="AF819" s="19"/>
      <c r="AG819" s="19"/>
      <c r="AH819" s="19"/>
    </row>
    <row r="820" spans="1:34" ht="13.15" x14ac:dyDescent="0.4">
      <c r="A820" s="19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  <c r="AA820" s="19"/>
      <c r="AB820" s="19"/>
      <c r="AC820" s="19"/>
      <c r="AD820" s="19"/>
      <c r="AE820" s="19"/>
      <c r="AF820" s="19"/>
      <c r="AG820" s="19"/>
      <c r="AH820" s="19"/>
    </row>
    <row r="821" spans="1:34" ht="13.15" x14ac:dyDescent="0.4">
      <c r="A821" s="19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  <c r="AA821" s="19"/>
      <c r="AB821" s="19"/>
      <c r="AC821" s="19"/>
      <c r="AD821" s="19"/>
      <c r="AE821" s="19"/>
      <c r="AF821" s="19"/>
      <c r="AG821" s="19"/>
      <c r="AH821" s="19"/>
    </row>
    <row r="822" spans="1:34" ht="13.15" x14ac:dyDescent="0.4">
      <c r="A822" s="19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  <c r="AA822" s="19"/>
      <c r="AB822" s="19"/>
      <c r="AC822" s="19"/>
      <c r="AD822" s="19"/>
      <c r="AE822" s="19"/>
      <c r="AF822" s="19"/>
      <c r="AG822" s="19"/>
      <c r="AH822" s="19"/>
    </row>
    <row r="823" spans="1:34" ht="13.15" x14ac:dyDescent="0.4">
      <c r="A823" s="19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  <c r="AA823" s="19"/>
      <c r="AB823" s="19"/>
      <c r="AC823" s="19"/>
      <c r="AD823" s="19"/>
      <c r="AE823" s="19"/>
      <c r="AF823" s="19"/>
      <c r="AG823" s="19"/>
      <c r="AH823" s="19"/>
    </row>
    <row r="824" spans="1:34" ht="13.15" x14ac:dyDescent="0.4">
      <c r="A824" s="19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  <c r="AA824" s="19"/>
      <c r="AB824" s="19"/>
      <c r="AC824" s="19"/>
      <c r="AD824" s="19"/>
      <c r="AE824" s="19"/>
      <c r="AF824" s="19"/>
      <c r="AG824" s="19"/>
      <c r="AH824" s="19"/>
    </row>
    <row r="825" spans="1:34" ht="13.15" x14ac:dyDescent="0.4">
      <c r="A825" s="19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  <c r="AA825" s="19"/>
      <c r="AB825" s="19"/>
      <c r="AC825" s="19"/>
      <c r="AD825" s="19"/>
      <c r="AE825" s="19"/>
      <c r="AF825" s="19"/>
      <c r="AG825" s="19"/>
      <c r="AH825" s="19"/>
    </row>
    <row r="826" spans="1:34" ht="13.15" x14ac:dyDescent="0.4">
      <c r="A826" s="19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  <c r="AA826" s="19"/>
      <c r="AB826" s="19"/>
      <c r="AC826" s="19"/>
      <c r="AD826" s="19"/>
      <c r="AE826" s="19"/>
      <c r="AF826" s="19"/>
      <c r="AG826" s="19"/>
      <c r="AH826" s="19"/>
    </row>
    <row r="827" spans="1:34" ht="13.15" x14ac:dyDescent="0.4">
      <c r="A827" s="19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  <c r="AA827" s="19"/>
      <c r="AB827" s="19"/>
      <c r="AC827" s="19"/>
      <c r="AD827" s="19"/>
      <c r="AE827" s="19"/>
      <c r="AF827" s="19"/>
      <c r="AG827" s="19"/>
      <c r="AH827" s="19"/>
    </row>
    <row r="828" spans="1:34" ht="13.15" x14ac:dyDescent="0.4">
      <c r="A828" s="19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  <c r="AA828" s="19"/>
      <c r="AB828" s="19"/>
      <c r="AC828" s="19"/>
      <c r="AD828" s="19"/>
      <c r="AE828" s="19"/>
      <c r="AF828" s="19"/>
      <c r="AG828" s="19"/>
      <c r="AH828" s="19"/>
    </row>
    <row r="829" spans="1:34" ht="13.15" x14ac:dyDescent="0.4">
      <c r="A829" s="19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  <c r="AA829" s="19"/>
      <c r="AB829" s="19"/>
      <c r="AC829" s="19"/>
      <c r="AD829" s="19"/>
      <c r="AE829" s="19"/>
      <c r="AF829" s="19"/>
      <c r="AG829" s="19"/>
      <c r="AH829" s="19"/>
    </row>
    <row r="830" spans="1:34" ht="13.15" x14ac:dyDescent="0.4">
      <c r="A830" s="19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  <c r="AA830" s="19"/>
      <c r="AB830" s="19"/>
      <c r="AC830" s="19"/>
      <c r="AD830" s="19"/>
      <c r="AE830" s="19"/>
      <c r="AF830" s="19"/>
      <c r="AG830" s="19"/>
      <c r="AH830" s="19"/>
    </row>
    <row r="831" spans="1:34" ht="13.15" x14ac:dyDescent="0.4">
      <c r="A831" s="19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  <c r="AA831" s="19"/>
      <c r="AB831" s="19"/>
      <c r="AC831" s="19"/>
      <c r="AD831" s="19"/>
      <c r="AE831" s="19"/>
      <c r="AF831" s="19"/>
      <c r="AG831" s="19"/>
      <c r="AH831" s="19"/>
    </row>
    <row r="832" spans="1:34" ht="13.15" x14ac:dyDescent="0.4">
      <c r="A832" s="19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  <c r="AA832" s="19"/>
      <c r="AB832" s="19"/>
      <c r="AC832" s="19"/>
      <c r="AD832" s="19"/>
      <c r="AE832" s="19"/>
      <c r="AF832" s="19"/>
      <c r="AG832" s="19"/>
      <c r="AH832" s="19"/>
    </row>
    <row r="833" spans="1:34" ht="13.15" x14ac:dyDescent="0.4">
      <c r="A833" s="19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  <c r="AA833" s="19"/>
      <c r="AB833" s="19"/>
      <c r="AC833" s="19"/>
      <c r="AD833" s="19"/>
      <c r="AE833" s="19"/>
      <c r="AF833" s="19"/>
      <c r="AG833" s="19"/>
      <c r="AH833" s="19"/>
    </row>
    <row r="834" spans="1:34" ht="13.15" x14ac:dyDescent="0.4">
      <c r="A834" s="19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  <c r="AA834" s="19"/>
      <c r="AB834" s="19"/>
      <c r="AC834" s="19"/>
      <c r="AD834" s="19"/>
      <c r="AE834" s="19"/>
      <c r="AF834" s="19"/>
      <c r="AG834" s="19"/>
      <c r="AH834" s="19"/>
    </row>
    <row r="835" spans="1:34" ht="13.15" x14ac:dyDescent="0.4">
      <c r="A835" s="19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  <c r="AA835" s="19"/>
      <c r="AB835" s="19"/>
      <c r="AC835" s="19"/>
      <c r="AD835" s="19"/>
      <c r="AE835" s="19"/>
      <c r="AF835" s="19"/>
      <c r="AG835" s="19"/>
      <c r="AH835" s="19"/>
    </row>
    <row r="836" spans="1:34" ht="13.15" x14ac:dyDescent="0.4">
      <c r="A836" s="19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  <c r="AA836" s="19"/>
      <c r="AB836" s="19"/>
      <c r="AC836" s="19"/>
      <c r="AD836" s="19"/>
      <c r="AE836" s="19"/>
      <c r="AF836" s="19"/>
      <c r="AG836" s="19"/>
      <c r="AH836" s="19"/>
    </row>
    <row r="837" spans="1:34" ht="13.15" x14ac:dyDescent="0.4">
      <c r="A837" s="19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  <c r="AA837" s="19"/>
      <c r="AB837" s="19"/>
      <c r="AC837" s="19"/>
      <c r="AD837" s="19"/>
      <c r="AE837" s="19"/>
      <c r="AF837" s="19"/>
      <c r="AG837" s="19"/>
      <c r="AH837" s="19"/>
    </row>
    <row r="838" spans="1:34" ht="13.15" x14ac:dyDescent="0.4">
      <c r="A838" s="19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  <c r="AA838" s="19"/>
      <c r="AB838" s="19"/>
      <c r="AC838" s="19"/>
      <c r="AD838" s="19"/>
      <c r="AE838" s="19"/>
      <c r="AF838" s="19"/>
      <c r="AG838" s="19"/>
      <c r="AH838" s="19"/>
    </row>
    <row r="839" spans="1:34" ht="13.15" x14ac:dyDescent="0.4">
      <c r="A839" s="19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  <c r="AA839" s="19"/>
      <c r="AB839" s="19"/>
      <c r="AC839" s="19"/>
      <c r="AD839" s="19"/>
      <c r="AE839" s="19"/>
      <c r="AF839" s="19"/>
      <c r="AG839" s="19"/>
      <c r="AH839" s="19"/>
    </row>
    <row r="840" spans="1:34" ht="13.15" x14ac:dyDescent="0.4">
      <c r="A840" s="19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  <c r="AA840" s="19"/>
      <c r="AB840" s="19"/>
      <c r="AC840" s="19"/>
      <c r="AD840" s="19"/>
      <c r="AE840" s="19"/>
      <c r="AF840" s="19"/>
      <c r="AG840" s="19"/>
      <c r="AH840" s="19"/>
    </row>
    <row r="841" spans="1:34" ht="13.15" x14ac:dyDescent="0.4">
      <c r="A841" s="19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  <c r="AA841" s="19"/>
      <c r="AB841" s="19"/>
      <c r="AC841" s="19"/>
      <c r="AD841" s="19"/>
      <c r="AE841" s="19"/>
      <c r="AF841" s="19"/>
      <c r="AG841" s="19"/>
      <c r="AH841" s="19"/>
    </row>
    <row r="842" spans="1:34" ht="13.15" x14ac:dyDescent="0.4">
      <c r="A842" s="19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  <c r="AA842" s="19"/>
      <c r="AB842" s="19"/>
      <c r="AC842" s="19"/>
      <c r="AD842" s="19"/>
      <c r="AE842" s="19"/>
      <c r="AF842" s="19"/>
      <c r="AG842" s="19"/>
      <c r="AH842" s="19"/>
    </row>
    <row r="843" spans="1:34" ht="13.15" x14ac:dyDescent="0.4">
      <c r="A843" s="19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  <c r="AA843" s="19"/>
      <c r="AB843" s="19"/>
      <c r="AC843" s="19"/>
      <c r="AD843" s="19"/>
      <c r="AE843" s="19"/>
      <c r="AF843" s="19"/>
      <c r="AG843" s="19"/>
      <c r="AH843" s="19"/>
    </row>
    <row r="844" spans="1:34" ht="13.15" x14ac:dyDescent="0.4">
      <c r="A844" s="19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  <c r="AA844" s="19"/>
      <c r="AB844" s="19"/>
      <c r="AC844" s="19"/>
      <c r="AD844" s="19"/>
      <c r="AE844" s="19"/>
      <c r="AF844" s="19"/>
      <c r="AG844" s="19"/>
      <c r="AH844" s="19"/>
    </row>
    <row r="845" spans="1:34" ht="13.15" x14ac:dyDescent="0.4">
      <c r="A845" s="19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  <c r="AA845" s="19"/>
      <c r="AB845" s="19"/>
      <c r="AC845" s="19"/>
      <c r="AD845" s="19"/>
      <c r="AE845" s="19"/>
      <c r="AF845" s="19"/>
      <c r="AG845" s="19"/>
      <c r="AH845" s="19"/>
    </row>
    <row r="846" spans="1:34" ht="13.15" x14ac:dyDescent="0.4">
      <c r="A846" s="19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  <c r="AA846" s="19"/>
      <c r="AB846" s="19"/>
      <c r="AC846" s="19"/>
      <c r="AD846" s="19"/>
      <c r="AE846" s="19"/>
      <c r="AF846" s="19"/>
      <c r="AG846" s="19"/>
      <c r="AH846" s="19"/>
    </row>
    <row r="847" spans="1:34" ht="13.15" x14ac:dyDescent="0.4">
      <c r="A847" s="19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  <c r="AA847" s="19"/>
      <c r="AB847" s="19"/>
      <c r="AC847" s="19"/>
      <c r="AD847" s="19"/>
      <c r="AE847" s="19"/>
      <c r="AF847" s="19"/>
      <c r="AG847" s="19"/>
      <c r="AH847" s="19"/>
    </row>
    <row r="848" spans="1:34" ht="13.15" x14ac:dyDescent="0.4">
      <c r="A848" s="19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  <c r="AA848" s="19"/>
      <c r="AB848" s="19"/>
      <c r="AC848" s="19"/>
      <c r="AD848" s="19"/>
      <c r="AE848" s="19"/>
      <c r="AF848" s="19"/>
      <c r="AG848" s="19"/>
      <c r="AH848" s="19"/>
    </row>
    <row r="849" spans="1:34" ht="13.15" x14ac:dyDescent="0.4">
      <c r="A849" s="19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  <c r="AA849" s="19"/>
      <c r="AB849" s="19"/>
      <c r="AC849" s="19"/>
      <c r="AD849" s="19"/>
      <c r="AE849" s="19"/>
      <c r="AF849" s="19"/>
      <c r="AG849" s="19"/>
      <c r="AH849" s="19"/>
    </row>
    <row r="850" spans="1:34" ht="13.15" x14ac:dyDescent="0.4">
      <c r="A850" s="19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  <c r="AA850" s="19"/>
      <c r="AB850" s="19"/>
      <c r="AC850" s="19"/>
      <c r="AD850" s="19"/>
      <c r="AE850" s="19"/>
      <c r="AF850" s="19"/>
      <c r="AG850" s="19"/>
      <c r="AH850" s="19"/>
    </row>
    <row r="851" spans="1:34" ht="13.15" x14ac:dyDescent="0.4">
      <c r="A851" s="19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  <c r="AA851" s="19"/>
      <c r="AB851" s="19"/>
      <c r="AC851" s="19"/>
      <c r="AD851" s="19"/>
      <c r="AE851" s="19"/>
      <c r="AF851" s="19"/>
      <c r="AG851" s="19"/>
      <c r="AH851" s="19"/>
    </row>
    <row r="852" spans="1:34" ht="13.15" x14ac:dyDescent="0.4">
      <c r="A852" s="19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  <c r="AA852" s="19"/>
      <c r="AB852" s="19"/>
      <c r="AC852" s="19"/>
      <c r="AD852" s="19"/>
      <c r="AE852" s="19"/>
      <c r="AF852" s="19"/>
      <c r="AG852" s="19"/>
      <c r="AH852" s="19"/>
    </row>
    <row r="853" spans="1:34" ht="13.15" x14ac:dyDescent="0.4">
      <c r="A853" s="19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  <c r="AA853" s="19"/>
      <c r="AB853" s="19"/>
      <c r="AC853" s="19"/>
      <c r="AD853" s="19"/>
      <c r="AE853" s="19"/>
      <c r="AF853" s="19"/>
      <c r="AG853" s="19"/>
      <c r="AH853" s="19"/>
    </row>
    <row r="854" spans="1:34" ht="13.15" x14ac:dyDescent="0.4">
      <c r="A854" s="19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  <c r="AA854" s="19"/>
      <c r="AB854" s="19"/>
      <c r="AC854" s="19"/>
      <c r="AD854" s="19"/>
      <c r="AE854" s="19"/>
      <c r="AF854" s="19"/>
      <c r="AG854" s="19"/>
      <c r="AH854" s="19"/>
    </row>
    <row r="855" spans="1:34" ht="13.15" x14ac:dyDescent="0.4">
      <c r="A855" s="19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  <c r="AA855" s="19"/>
      <c r="AB855" s="19"/>
      <c r="AC855" s="19"/>
      <c r="AD855" s="19"/>
      <c r="AE855" s="19"/>
      <c r="AF855" s="19"/>
      <c r="AG855" s="19"/>
      <c r="AH855" s="19"/>
    </row>
    <row r="856" spans="1:34" ht="13.15" x14ac:dyDescent="0.4">
      <c r="A856" s="19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  <c r="AA856" s="19"/>
      <c r="AB856" s="19"/>
      <c r="AC856" s="19"/>
      <c r="AD856" s="19"/>
      <c r="AE856" s="19"/>
      <c r="AF856" s="19"/>
      <c r="AG856" s="19"/>
      <c r="AH856" s="19"/>
    </row>
    <row r="857" spans="1:34" ht="13.15" x14ac:dyDescent="0.4">
      <c r="A857" s="19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  <c r="AA857" s="19"/>
      <c r="AB857" s="19"/>
      <c r="AC857" s="19"/>
      <c r="AD857" s="19"/>
      <c r="AE857" s="19"/>
      <c r="AF857" s="19"/>
      <c r="AG857" s="19"/>
      <c r="AH857" s="19"/>
    </row>
    <row r="858" spans="1:34" ht="13.15" x14ac:dyDescent="0.4">
      <c r="A858" s="19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  <c r="AA858" s="19"/>
      <c r="AB858" s="19"/>
      <c r="AC858" s="19"/>
      <c r="AD858" s="19"/>
      <c r="AE858" s="19"/>
      <c r="AF858" s="19"/>
      <c r="AG858" s="19"/>
      <c r="AH858" s="19"/>
    </row>
    <row r="859" spans="1:34" ht="13.15" x14ac:dyDescent="0.4">
      <c r="A859" s="19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  <c r="AA859" s="19"/>
      <c r="AB859" s="19"/>
      <c r="AC859" s="19"/>
      <c r="AD859" s="19"/>
      <c r="AE859" s="19"/>
      <c r="AF859" s="19"/>
      <c r="AG859" s="19"/>
      <c r="AH859" s="19"/>
    </row>
    <row r="860" spans="1:34" ht="13.15" x14ac:dyDescent="0.4">
      <c r="A860" s="19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  <c r="AA860" s="19"/>
      <c r="AB860" s="19"/>
      <c r="AC860" s="19"/>
      <c r="AD860" s="19"/>
      <c r="AE860" s="19"/>
      <c r="AF860" s="19"/>
      <c r="AG860" s="19"/>
      <c r="AH860" s="19"/>
    </row>
    <row r="861" spans="1:34" ht="13.15" x14ac:dyDescent="0.4">
      <c r="A861" s="19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  <c r="AA861" s="19"/>
      <c r="AB861" s="19"/>
      <c r="AC861" s="19"/>
      <c r="AD861" s="19"/>
      <c r="AE861" s="19"/>
      <c r="AF861" s="19"/>
      <c r="AG861" s="19"/>
      <c r="AH861" s="19"/>
    </row>
    <row r="862" spans="1:34" ht="13.15" x14ac:dyDescent="0.4">
      <c r="A862" s="19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  <c r="AA862" s="19"/>
      <c r="AB862" s="19"/>
      <c r="AC862" s="19"/>
      <c r="AD862" s="19"/>
      <c r="AE862" s="19"/>
      <c r="AF862" s="19"/>
      <c r="AG862" s="19"/>
      <c r="AH862" s="19"/>
    </row>
    <row r="863" spans="1:34" ht="13.15" x14ac:dyDescent="0.4">
      <c r="A863" s="19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  <c r="AA863" s="19"/>
      <c r="AB863" s="19"/>
      <c r="AC863" s="19"/>
      <c r="AD863" s="19"/>
      <c r="AE863" s="19"/>
      <c r="AF863" s="19"/>
      <c r="AG863" s="19"/>
      <c r="AH863" s="19"/>
    </row>
    <row r="864" spans="1:34" ht="13.15" x14ac:dyDescent="0.4">
      <c r="A864" s="19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  <c r="AA864" s="19"/>
      <c r="AB864" s="19"/>
      <c r="AC864" s="19"/>
      <c r="AD864" s="19"/>
      <c r="AE864" s="19"/>
      <c r="AF864" s="19"/>
      <c r="AG864" s="19"/>
      <c r="AH864" s="19"/>
    </row>
    <row r="865" spans="1:34" ht="13.15" x14ac:dyDescent="0.4">
      <c r="A865" s="19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  <c r="AA865" s="19"/>
      <c r="AB865" s="19"/>
      <c r="AC865" s="19"/>
      <c r="AD865" s="19"/>
      <c r="AE865" s="19"/>
      <c r="AF865" s="19"/>
      <c r="AG865" s="19"/>
      <c r="AH865" s="19"/>
    </row>
    <row r="866" spans="1:34" ht="13.15" x14ac:dyDescent="0.4">
      <c r="A866" s="19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  <c r="AA866" s="19"/>
      <c r="AB866" s="19"/>
      <c r="AC866" s="19"/>
      <c r="AD866" s="19"/>
      <c r="AE866" s="19"/>
      <c r="AF866" s="19"/>
      <c r="AG866" s="19"/>
      <c r="AH866" s="19"/>
    </row>
    <row r="867" spans="1:34" ht="13.15" x14ac:dyDescent="0.4">
      <c r="A867" s="19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  <c r="AA867" s="19"/>
      <c r="AB867" s="19"/>
      <c r="AC867" s="19"/>
      <c r="AD867" s="19"/>
      <c r="AE867" s="19"/>
      <c r="AF867" s="19"/>
      <c r="AG867" s="19"/>
      <c r="AH867" s="19"/>
    </row>
    <row r="868" spans="1:34" ht="13.15" x14ac:dyDescent="0.4">
      <c r="A868" s="19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  <c r="AA868" s="19"/>
      <c r="AB868" s="19"/>
      <c r="AC868" s="19"/>
      <c r="AD868" s="19"/>
      <c r="AE868" s="19"/>
      <c r="AF868" s="19"/>
      <c r="AG868" s="19"/>
      <c r="AH868" s="19"/>
    </row>
    <row r="869" spans="1:34" ht="13.15" x14ac:dyDescent="0.4">
      <c r="A869" s="19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  <c r="AA869" s="19"/>
      <c r="AB869" s="19"/>
      <c r="AC869" s="19"/>
      <c r="AD869" s="19"/>
      <c r="AE869" s="19"/>
      <c r="AF869" s="19"/>
      <c r="AG869" s="19"/>
      <c r="AH869" s="19"/>
    </row>
    <row r="870" spans="1:34" ht="13.15" x14ac:dyDescent="0.4">
      <c r="A870" s="19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  <c r="AA870" s="19"/>
      <c r="AB870" s="19"/>
      <c r="AC870" s="19"/>
      <c r="AD870" s="19"/>
      <c r="AE870" s="19"/>
      <c r="AF870" s="19"/>
      <c r="AG870" s="19"/>
      <c r="AH870" s="19"/>
    </row>
    <row r="871" spans="1:34" ht="13.15" x14ac:dyDescent="0.4">
      <c r="A871" s="19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  <c r="AA871" s="19"/>
      <c r="AB871" s="19"/>
      <c r="AC871" s="19"/>
      <c r="AD871" s="19"/>
      <c r="AE871" s="19"/>
      <c r="AF871" s="19"/>
      <c r="AG871" s="19"/>
      <c r="AH871" s="19"/>
    </row>
    <row r="872" spans="1:34" ht="13.15" x14ac:dyDescent="0.4">
      <c r="A872" s="19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  <c r="AA872" s="19"/>
      <c r="AB872" s="19"/>
      <c r="AC872" s="19"/>
      <c r="AD872" s="19"/>
      <c r="AE872" s="19"/>
      <c r="AF872" s="19"/>
      <c r="AG872" s="19"/>
      <c r="AH872" s="19"/>
    </row>
    <row r="873" spans="1:34" ht="13.15" x14ac:dyDescent="0.4">
      <c r="A873" s="19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  <c r="AA873" s="19"/>
      <c r="AB873" s="19"/>
      <c r="AC873" s="19"/>
      <c r="AD873" s="19"/>
      <c r="AE873" s="19"/>
      <c r="AF873" s="19"/>
      <c r="AG873" s="19"/>
      <c r="AH873" s="19"/>
    </row>
    <row r="874" spans="1:34" ht="13.15" x14ac:dyDescent="0.4">
      <c r="A874" s="19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  <c r="AA874" s="19"/>
      <c r="AB874" s="19"/>
      <c r="AC874" s="19"/>
      <c r="AD874" s="19"/>
      <c r="AE874" s="19"/>
      <c r="AF874" s="19"/>
      <c r="AG874" s="19"/>
      <c r="AH874" s="19"/>
    </row>
    <row r="875" spans="1:34" ht="13.15" x14ac:dyDescent="0.4">
      <c r="A875" s="19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  <c r="AA875" s="19"/>
      <c r="AB875" s="19"/>
      <c r="AC875" s="19"/>
      <c r="AD875" s="19"/>
      <c r="AE875" s="19"/>
      <c r="AF875" s="19"/>
      <c r="AG875" s="19"/>
      <c r="AH875" s="19"/>
    </row>
    <row r="876" spans="1:34" ht="13.15" x14ac:dyDescent="0.4">
      <c r="A876" s="19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  <c r="AA876" s="19"/>
      <c r="AB876" s="19"/>
      <c r="AC876" s="19"/>
      <c r="AD876" s="19"/>
      <c r="AE876" s="19"/>
      <c r="AF876" s="19"/>
      <c r="AG876" s="19"/>
      <c r="AH876" s="19"/>
    </row>
    <row r="877" spans="1:34" ht="13.15" x14ac:dyDescent="0.4">
      <c r="A877" s="19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  <c r="AA877" s="19"/>
      <c r="AB877" s="19"/>
      <c r="AC877" s="19"/>
      <c r="AD877" s="19"/>
      <c r="AE877" s="19"/>
      <c r="AF877" s="19"/>
      <c r="AG877" s="19"/>
      <c r="AH877" s="19"/>
    </row>
    <row r="878" spans="1:34" ht="13.15" x14ac:dyDescent="0.4">
      <c r="A878" s="19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  <c r="AA878" s="19"/>
      <c r="AB878" s="19"/>
      <c r="AC878" s="19"/>
      <c r="AD878" s="19"/>
      <c r="AE878" s="19"/>
      <c r="AF878" s="19"/>
      <c r="AG878" s="19"/>
      <c r="AH878" s="19"/>
    </row>
    <row r="879" spans="1:34" ht="13.15" x14ac:dyDescent="0.4">
      <c r="A879" s="19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  <c r="AA879" s="19"/>
      <c r="AB879" s="19"/>
      <c r="AC879" s="19"/>
      <c r="AD879" s="19"/>
      <c r="AE879" s="19"/>
      <c r="AF879" s="19"/>
      <c r="AG879" s="19"/>
      <c r="AH879" s="19"/>
    </row>
    <row r="880" spans="1:34" ht="13.15" x14ac:dyDescent="0.4">
      <c r="A880" s="19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  <c r="AA880" s="19"/>
      <c r="AB880" s="19"/>
      <c r="AC880" s="19"/>
      <c r="AD880" s="19"/>
      <c r="AE880" s="19"/>
      <c r="AF880" s="19"/>
      <c r="AG880" s="19"/>
      <c r="AH880" s="19"/>
    </row>
    <row r="881" spans="1:34" ht="13.15" x14ac:dyDescent="0.4">
      <c r="A881" s="19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  <c r="AA881" s="19"/>
      <c r="AB881" s="19"/>
      <c r="AC881" s="19"/>
      <c r="AD881" s="19"/>
      <c r="AE881" s="19"/>
      <c r="AF881" s="19"/>
      <c r="AG881" s="19"/>
      <c r="AH881" s="19"/>
    </row>
    <row r="882" spans="1:34" ht="13.15" x14ac:dyDescent="0.4">
      <c r="A882" s="19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  <c r="AA882" s="19"/>
      <c r="AB882" s="19"/>
      <c r="AC882" s="19"/>
      <c r="AD882" s="19"/>
      <c r="AE882" s="19"/>
      <c r="AF882" s="19"/>
      <c r="AG882" s="19"/>
      <c r="AH882" s="19"/>
    </row>
    <row r="883" spans="1:34" ht="13.15" x14ac:dyDescent="0.4">
      <c r="A883" s="19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  <c r="AA883" s="19"/>
      <c r="AB883" s="19"/>
      <c r="AC883" s="19"/>
      <c r="AD883" s="19"/>
      <c r="AE883" s="19"/>
      <c r="AF883" s="19"/>
      <c r="AG883" s="19"/>
      <c r="AH883" s="19"/>
    </row>
    <row r="884" spans="1:34" ht="13.15" x14ac:dyDescent="0.4">
      <c r="A884" s="19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  <c r="AA884" s="19"/>
      <c r="AB884" s="19"/>
      <c r="AC884" s="19"/>
      <c r="AD884" s="19"/>
      <c r="AE884" s="19"/>
      <c r="AF884" s="19"/>
      <c r="AG884" s="19"/>
      <c r="AH884" s="19"/>
    </row>
    <row r="885" spans="1:34" ht="13.15" x14ac:dyDescent="0.4">
      <c r="A885" s="19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  <c r="AA885" s="19"/>
      <c r="AB885" s="19"/>
      <c r="AC885" s="19"/>
      <c r="AD885" s="19"/>
      <c r="AE885" s="19"/>
      <c r="AF885" s="19"/>
      <c r="AG885" s="19"/>
      <c r="AH885" s="19"/>
    </row>
    <row r="886" spans="1:34" ht="13.15" x14ac:dyDescent="0.4">
      <c r="A886" s="19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  <c r="AA886" s="19"/>
      <c r="AB886" s="19"/>
      <c r="AC886" s="19"/>
      <c r="AD886" s="19"/>
      <c r="AE886" s="19"/>
      <c r="AF886" s="19"/>
      <c r="AG886" s="19"/>
      <c r="AH886" s="19"/>
    </row>
    <row r="887" spans="1:34" ht="13.15" x14ac:dyDescent="0.4">
      <c r="A887" s="19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  <c r="AA887" s="19"/>
      <c r="AB887" s="19"/>
      <c r="AC887" s="19"/>
      <c r="AD887" s="19"/>
      <c r="AE887" s="19"/>
      <c r="AF887" s="19"/>
      <c r="AG887" s="19"/>
      <c r="AH887" s="19"/>
    </row>
    <row r="888" spans="1:34" ht="13.15" x14ac:dyDescent="0.4">
      <c r="A888" s="19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  <c r="AA888" s="19"/>
      <c r="AB888" s="19"/>
      <c r="AC888" s="19"/>
      <c r="AD888" s="19"/>
      <c r="AE888" s="19"/>
      <c r="AF888" s="19"/>
      <c r="AG888" s="19"/>
      <c r="AH888" s="19"/>
    </row>
    <row r="889" spans="1:34" ht="13.15" x14ac:dyDescent="0.4">
      <c r="A889" s="19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  <c r="AA889" s="19"/>
      <c r="AB889" s="19"/>
      <c r="AC889" s="19"/>
      <c r="AD889" s="19"/>
      <c r="AE889" s="19"/>
      <c r="AF889" s="19"/>
      <c r="AG889" s="19"/>
      <c r="AH889" s="19"/>
    </row>
    <row r="890" spans="1:34" ht="13.15" x14ac:dyDescent="0.4">
      <c r="A890" s="19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  <c r="AA890" s="19"/>
      <c r="AB890" s="19"/>
      <c r="AC890" s="19"/>
      <c r="AD890" s="19"/>
      <c r="AE890" s="19"/>
      <c r="AF890" s="19"/>
      <c r="AG890" s="19"/>
      <c r="AH890" s="19"/>
    </row>
    <row r="891" spans="1:34" ht="13.15" x14ac:dyDescent="0.4">
      <c r="A891" s="19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  <c r="AA891" s="19"/>
      <c r="AB891" s="19"/>
      <c r="AC891" s="19"/>
      <c r="AD891" s="19"/>
      <c r="AE891" s="19"/>
      <c r="AF891" s="19"/>
      <c r="AG891" s="19"/>
      <c r="AH891" s="19"/>
    </row>
    <row r="892" spans="1:34" ht="13.15" x14ac:dyDescent="0.4">
      <c r="A892" s="19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  <c r="AA892" s="19"/>
      <c r="AB892" s="19"/>
      <c r="AC892" s="19"/>
      <c r="AD892" s="19"/>
      <c r="AE892" s="19"/>
      <c r="AF892" s="19"/>
      <c r="AG892" s="19"/>
      <c r="AH892" s="19"/>
    </row>
    <row r="893" spans="1:34" ht="13.15" x14ac:dyDescent="0.4">
      <c r="A893" s="19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  <c r="AA893" s="19"/>
      <c r="AB893" s="19"/>
      <c r="AC893" s="19"/>
      <c r="AD893" s="19"/>
      <c r="AE893" s="19"/>
      <c r="AF893" s="19"/>
      <c r="AG893" s="19"/>
      <c r="AH893" s="19"/>
    </row>
    <row r="894" spans="1:34" ht="13.15" x14ac:dyDescent="0.4">
      <c r="A894" s="19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  <c r="AA894" s="19"/>
      <c r="AB894" s="19"/>
      <c r="AC894" s="19"/>
      <c r="AD894" s="19"/>
      <c r="AE894" s="19"/>
      <c r="AF894" s="19"/>
      <c r="AG894" s="19"/>
      <c r="AH894" s="19"/>
    </row>
    <row r="895" spans="1:34" ht="13.15" x14ac:dyDescent="0.4">
      <c r="A895" s="19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  <c r="AA895" s="19"/>
      <c r="AB895" s="19"/>
      <c r="AC895" s="19"/>
      <c r="AD895" s="19"/>
      <c r="AE895" s="19"/>
      <c r="AF895" s="19"/>
      <c r="AG895" s="19"/>
      <c r="AH895" s="19"/>
    </row>
    <row r="896" spans="1:34" ht="13.15" x14ac:dyDescent="0.4">
      <c r="A896" s="19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  <c r="AA896" s="19"/>
      <c r="AB896" s="19"/>
      <c r="AC896" s="19"/>
      <c r="AD896" s="19"/>
      <c r="AE896" s="19"/>
      <c r="AF896" s="19"/>
      <c r="AG896" s="19"/>
      <c r="AH896" s="19"/>
    </row>
    <row r="897" spans="1:34" ht="13.15" x14ac:dyDescent="0.4">
      <c r="A897" s="19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  <c r="AA897" s="19"/>
      <c r="AB897" s="19"/>
      <c r="AC897" s="19"/>
      <c r="AD897" s="19"/>
      <c r="AE897" s="19"/>
      <c r="AF897" s="19"/>
      <c r="AG897" s="19"/>
      <c r="AH897" s="19"/>
    </row>
    <row r="898" spans="1:34" ht="13.15" x14ac:dyDescent="0.4">
      <c r="A898" s="19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  <c r="AA898" s="19"/>
      <c r="AB898" s="19"/>
      <c r="AC898" s="19"/>
      <c r="AD898" s="19"/>
      <c r="AE898" s="19"/>
      <c r="AF898" s="19"/>
      <c r="AG898" s="19"/>
      <c r="AH898" s="19"/>
    </row>
    <row r="899" spans="1:34" ht="13.15" x14ac:dyDescent="0.4">
      <c r="A899" s="19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  <c r="AA899" s="19"/>
      <c r="AB899" s="19"/>
      <c r="AC899" s="19"/>
      <c r="AD899" s="19"/>
      <c r="AE899" s="19"/>
      <c r="AF899" s="19"/>
      <c r="AG899" s="19"/>
      <c r="AH899" s="19"/>
    </row>
    <row r="900" spans="1:34" ht="13.15" x14ac:dyDescent="0.4">
      <c r="A900" s="19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  <c r="AA900" s="19"/>
      <c r="AB900" s="19"/>
      <c r="AC900" s="19"/>
      <c r="AD900" s="19"/>
      <c r="AE900" s="19"/>
      <c r="AF900" s="19"/>
      <c r="AG900" s="19"/>
      <c r="AH900" s="19"/>
    </row>
    <row r="901" spans="1:34" ht="13.15" x14ac:dyDescent="0.4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  <c r="AA901" s="19"/>
      <c r="AB901" s="19"/>
      <c r="AC901" s="19"/>
      <c r="AD901" s="19"/>
      <c r="AE901" s="19"/>
      <c r="AF901" s="19"/>
      <c r="AG901" s="19"/>
      <c r="AH901" s="19"/>
    </row>
    <row r="902" spans="1:34" ht="13.15" x14ac:dyDescent="0.4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  <c r="AA902" s="19"/>
      <c r="AB902" s="19"/>
      <c r="AC902" s="19"/>
      <c r="AD902" s="19"/>
      <c r="AE902" s="19"/>
      <c r="AF902" s="19"/>
      <c r="AG902" s="19"/>
      <c r="AH902" s="19"/>
    </row>
    <row r="903" spans="1:34" ht="13.15" x14ac:dyDescent="0.4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  <c r="AA903" s="19"/>
      <c r="AB903" s="19"/>
      <c r="AC903" s="19"/>
      <c r="AD903" s="19"/>
      <c r="AE903" s="19"/>
      <c r="AF903" s="19"/>
      <c r="AG903" s="19"/>
      <c r="AH903" s="19"/>
    </row>
    <row r="904" spans="1:34" ht="13.15" x14ac:dyDescent="0.4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  <c r="AA904" s="19"/>
      <c r="AB904" s="19"/>
      <c r="AC904" s="19"/>
      <c r="AD904" s="19"/>
      <c r="AE904" s="19"/>
      <c r="AF904" s="19"/>
      <c r="AG904" s="19"/>
      <c r="AH904" s="19"/>
    </row>
    <row r="905" spans="1:34" ht="13.15" x14ac:dyDescent="0.4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  <c r="AA905" s="19"/>
      <c r="AB905" s="19"/>
      <c r="AC905" s="19"/>
      <c r="AD905" s="19"/>
      <c r="AE905" s="19"/>
      <c r="AF905" s="19"/>
      <c r="AG905" s="19"/>
      <c r="AH905" s="19"/>
    </row>
    <row r="906" spans="1:34" ht="13.15" x14ac:dyDescent="0.4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  <c r="AA906" s="19"/>
      <c r="AB906" s="19"/>
      <c r="AC906" s="19"/>
      <c r="AD906" s="19"/>
      <c r="AE906" s="19"/>
      <c r="AF906" s="19"/>
      <c r="AG906" s="19"/>
      <c r="AH906" s="19"/>
    </row>
    <row r="907" spans="1:34" ht="13.15" x14ac:dyDescent="0.4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  <c r="AA907" s="19"/>
      <c r="AB907" s="19"/>
      <c r="AC907" s="19"/>
      <c r="AD907" s="19"/>
      <c r="AE907" s="19"/>
      <c r="AF907" s="19"/>
      <c r="AG907" s="19"/>
      <c r="AH907" s="19"/>
    </row>
    <row r="908" spans="1:34" ht="13.15" x14ac:dyDescent="0.4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  <c r="AA908" s="19"/>
      <c r="AB908" s="19"/>
      <c r="AC908" s="19"/>
      <c r="AD908" s="19"/>
      <c r="AE908" s="19"/>
      <c r="AF908" s="19"/>
      <c r="AG908" s="19"/>
      <c r="AH908" s="19"/>
    </row>
    <row r="909" spans="1:34" ht="13.15" x14ac:dyDescent="0.4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  <c r="AA909" s="19"/>
      <c r="AB909" s="19"/>
      <c r="AC909" s="19"/>
      <c r="AD909" s="19"/>
      <c r="AE909" s="19"/>
      <c r="AF909" s="19"/>
      <c r="AG909" s="19"/>
      <c r="AH909" s="19"/>
    </row>
    <row r="910" spans="1:34" ht="13.15" x14ac:dyDescent="0.4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  <c r="AB910" s="19"/>
      <c r="AC910" s="19"/>
      <c r="AD910" s="19"/>
      <c r="AE910" s="19"/>
      <c r="AF910" s="19"/>
      <c r="AG910" s="19"/>
      <c r="AH910" s="19"/>
    </row>
    <row r="911" spans="1:34" ht="13.15" x14ac:dyDescent="0.4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  <c r="AA911" s="19"/>
      <c r="AB911" s="19"/>
      <c r="AC911" s="19"/>
      <c r="AD911" s="19"/>
      <c r="AE911" s="19"/>
      <c r="AF911" s="19"/>
      <c r="AG911" s="19"/>
      <c r="AH911" s="19"/>
    </row>
    <row r="912" spans="1:34" ht="13.15" x14ac:dyDescent="0.4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  <c r="AA912" s="19"/>
      <c r="AB912" s="19"/>
      <c r="AC912" s="19"/>
      <c r="AD912" s="19"/>
      <c r="AE912" s="19"/>
      <c r="AF912" s="19"/>
      <c r="AG912" s="19"/>
      <c r="AH912" s="19"/>
    </row>
    <row r="913" spans="1:34" ht="13.15" x14ac:dyDescent="0.4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  <c r="AA913" s="19"/>
      <c r="AB913" s="19"/>
      <c r="AC913" s="19"/>
      <c r="AD913" s="19"/>
      <c r="AE913" s="19"/>
      <c r="AF913" s="19"/>
      <c r="AG913" s="19"/>
      <c r="AH913" s="19"/>
    </row>
    <row r="914" spans="1:34" ht="13.15" x14ac:dyDescent="0.4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  <c r="AA914" s="19"/>
      <c r="AB914" s="19"/>
      <c r="AC914" s="19"/>
      <c r="AD914" s="19"/>
      <c r="AE914" s="19"/>
      <c r="AF914" s="19"/>
      <c r="AG914" s="19"/>
      <c r="AH914" s="19"/>
    </row>
    <row r="915" spans="1:34" ht="13.15" x14ac:dyDescent="0.4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  <c r="AA915" s="19"/>
      <c r="AB915" s="19"/>
      <c r="AC915" s="19"/>
      <c r="AD915" s="19"/>
      <c r="AE915" s="19"/>
      <c r="AF915" s="19"/>
      <c r="AG915" s="19"/>
      <c r="AH915" s="19"/>
    </row>
    <row r="916" spans="1:34" ht="13.15" x14ac:dyDescent="0.4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  <c r="AA916" s="19"/>
      <c r="AB916" s="19"/>
      <c r="AC916" s="19"/>
      <c r="AD916" s="19"/>
      <c r="AE916" s="19"/>
      <c r="AF916" s="19"/>
      <c r="AG916" s="19"/>
      <c r="AH916" s="19"/>
    </row>
    <row r="917" spans="1:34" ht="13.15" x14ac:dyDescent="0.4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  <c r="AA917" s="19"/>
      <c r="AB917" s="19"/>
      <c r="AC917" s="19"/>
      <c r="AD917" s="19"/>
      <c r="AE917" s="19"/>
      <c r="AF917" s="19"/>
      <c r="AG917" s="19"/>
      <c r="AH917" s="19"/>
    </row>
    <row r="918" spans="1:34" ht="13.15" x14ac:dyDescent="0.4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  <c r="AB918" s="19"/>
      <c r="AC918" s="19"/>
      <c r="AD918" s="19"/>
      <c r="AE918" s="19"/>
      <c r="AF918" s="19"/>
      <c r="AG918" s="19"/>
      <c r="AH918" s="19"/>
    </row>
    <row r="919" spans="1:34" ht="13.15" x14ac:dyDescent="0.4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  <c r="AA919" s="19"/>
      <c r="AB919" s="19"/>
      <c r="AC919" s="19"/>
      <c r="AD919" s="19"/>
      <c r="AE919" s="19"/>
      <c r="AF919" s="19"/>
      <c r="AG919" s="19"/>
      <c r="AH919" s="19"/>
    </row>
    <row r="920" spans="1:34" ht="13.15" x14ac:dyDescent="0.4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  <c r="AA920" s="19"/>
      <c r="AB920" s="19"/>
      <c r="AC920" s="19"/>
      <c r="AD920" s="19"/>
      <c r="AE920" s="19"/>
      <c r="AF920" s="19"/>
      <c r="AG920" s="19"/>
      <c r="AH920" s="19"/>
    </row>
    <row r="921" spans="1:34" ht="13.15" x14ac:dyDescent="0.4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  <c r="AA921" s="19"/>
      <c r="AB921" s="19"/>
      <c r="AC921" s="19"/>
      <c r="AD921" s="19"/>
      <c r="AE921" s="19"/>
      <c r="AF921" s="19"/>
      <c r="AG921" s="19"/>
      <c r="AH921" s="19"/>
    </row>
    <row r="922" spans="1:34" ht="13.15" x14ac:dyDescent="0.4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  <c r="AA922" s="19"/>
      <c r="AB922" s="19"/>
      <c r="AC922" s="19"/>
      <c r="AD922" s="19"/>
      <c r="AE922" s="19"/>
      <c r="AF922" s="19"/>
      <c r="AG922" s="19"/>
      <c r="AH922" s="19"/>
    </row>
    <row r="923" spans="1:34" ht="13.15" x14ac:dyDescent="0.4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  <c r="AA923" s="19"/>
      <c r="AB923" s="19"/>
      <c r="AC923" s="19"/>
      <c r="AD923" s="19"/>
      <c r="AE923" s="19"/>
      <c r="AF923" s="19"/>
      <c r="AG923" s="19"/>
      <c r="AH923" s="19"/>
    </row>
    <row r="924" spans="1:34" ht="13.15" x14ac:dyDescent="0.4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  <c r="AA924" s="19"/>
      <c r="AB924" s="19"/>
      <c r="AC924" s="19"/>
      <c r="AD924" s="19"/>
      <c r="AE924" s="19"/>
      <c r="AF924" s="19"/>
      <c r="AG924" s="19"/>
      <c r="AH924" s="19"/>
    </row>
    <row r="925" spans="1:34" ht="13.15" x14ac:dyDescent="0.4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  <c r="AA925" s="19"/>
      <c r="AB925" s="19"/>
      <c r="AC925" s="19"/>
      <c r="AD925" s="19"/>
      <c r="AE925" s="19"/>
      <c r="AF925" s="19"/>
      <c r="AG925" s="19"/>
      <c r="AH925" s="19"/>
    </row>
    <row r="926" spans="1:34" ht="13.15" x14ac:dyDescent="0.4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  <c r="AA926" s="19"/>
      <c r="AB926" s="19"/>
      <c r="AC926" s="19"/>
      <c r="AD926" s="19"/>
      <c r="AE926" s="19"/>
      <c r="AF926" s="19"/>
      <c r="AG926" s="19"/>
      <c r="AH926" s="19"/>
    </row>
    <row r="927" spans="1:34" ht="13.15" x14ac:dyDescent="0.4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  <c r="AA927" s="19"/>
      <c r="AB927" s="19"/>
      <c r="AC927" s="19"/>
      <c r="AD927" s="19"/>
      <c r="AE927" s="19"/>
      <c r="AF927" s="19"/>
      <c r="AG927" s="19"/>
      <c r="AH927" s="19"/>
    </row>
    <row r="928" spans="1:34" ht="13.15" x14ac:dyDescent="0.4">
      <c r="A928" s="19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  <c r="AA928" s="19"/>
      <c r="AB928" s="19"/>
      <c r="AC928" s="19"/>
      <c r="AD928" s="19"/>
      <c r="AE928" s="19"/>
      <c r="AF928" s="19"/>
      <c r="AG928" s="19"/>
      <c r="AH928" s="19"/>
    </row>
    <row r="929" spans="1:34" ht="13.15" x14ac:dyDescent="0.4">
      <c r="A929" s="19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  <c r="AA929" s="19"/>
      <c r="AB929" s="19"/>
      <c r="AC929" s="19"/>
      <c r="AD929" s="19"/>
      <c r="AE929" s="19"/>
      <c r="AF929" s="19"/>
      <c r="AG929" s="19"/>
      <c r="AH929" s="19"/>
    </row>
    <row r="930" spans="1:34" ht="13.15" x14ac:dyDescent="0.4">
      <c r="A930" s="19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  <c r="AA930" s="19"/>
      <c r="AB930" s="19"/>
      <c r="AC930" s="19"/>
      <c r="AD930" s="19"/>
      <c r="AE930" s="19"/>
      <c r="AF930" s="19"/>
      <c r="AG930" s="19"/>
      <c r="AH930" s="19"/>
    </row>
    <row r="931" spans="1:34" ht="13.15" x14ac:dyDescent="0.4">
      <c r="A931" s="19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  <c r="AA931" s="19"/>
      <c r="AB931" s="19"/>
      <c r="AC931" s="19"/>
      <c r="AD931" s="19"/>
      <c r="AE931" s="19"/>
      <c r="AF931" s="19"/>
      <c r="AG931" s="19"/>
      <c r="AH931" s="19"/>
    </row>
    <row r="932" spans="1:34" ht="13.15" x14ac:dyDescent="0.4">
      <c r="A932" s="19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  <c r="AA932" s="19"/>
      <c r="AB932" s="19"/>
      <c r="AC932" s="19"/>
      <c r="AD932" s="19"/>
      <c r="AE932" s="19"/>
      <c r="AF932" s="19"/>
      <c r="AG932" s="19"/>
      <c r="AH932" s="19"/>
    </row>
    <row r="933" spans="1:34" ht="13.15" x14ac:dyDescent="0.4">
      <c r="A933" s="19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  <c r="AA933" s="19"/>
      <c r="AB933" s="19"/>
      <c r="AC933" s="19"/>
      <c r="AD933" s="19"/>
      <c r="AE933" s="19"/>
      <c r="AF933" s="19"/>
      <c r="AG933" s="19"/>
      <c r="AH933" s="19"/>
    </row>
    <row r="934" spans="1:34" ht="13.15" x14ac:dyDescent="0.4">
      <c r="A934" s="19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  <c r="AA934" s="19"/>
      <c r="AB934" s="19"/>
      <c r="AC934" s="19"/>
      <c r="AD934" s="19"/>
      <c r="AE934" s="19"/>
      <c r="AF934" s="19"/>
      <c r="AG934" s="19"/>
      <c r="AH934" s="19"/>
    </row>
    <row r="935" spans="1:34" ht="13.15" x14ac:dyDescent="0.4">
      <c r="A935" s="19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  <c r="AA935" s="19"/>
      <c r="AB935" s="19"/>
      <c r="AC935" s="19"/>
      <c r="AD935" s="19"/>
      <c r="AE935" s="19"/>
      <c r="AF935" s="19"/>
      <c r="AG935" s="19"/>
      <c r="AH935" s="19"/>
    </row>
    <row r="936" spans="1:34" ht="13.15" x14ac:dyDescent="0.4">
      <c r="A936" s="19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  <c r="AA936" s="19"/>
      <c r="AB936" s="19"/>
      <c r="AC936" s="19"/>
      <c r="AD936" s="19"/>
      <c r="AE936" s="19"/>
      <c r="AF936" s="19"/>
      <c r="AG936" s="19"/>
      <c r="AH936" s="19"/>
    </row>
    <row r="937" spans="1:34" ht="13.15" x14ac:dyDescent="0.4">
      <c r="A937" s="19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  <c r="AA937" s="19"/>
      <c r="AB937" s="19"/>
      <c r="AC937" s="19"/>
      <c r="AD937" s="19"/>
      <c r="AE937" s="19"/>
      <c r="AF937" s="19"/>
      <c r="AG937" s="19"/>
      <c r="AH937" s="19"/>
    </row>
    <row r="938" spans="1:34" ht="13.15" x14ac:dyDescent="0.4">
      <c r="A938" s="19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  <c r="AA938" s="19"/>
      <c r="AB938" s="19"/>
      <c r="AC938" s="19"/>
      <c r="AD938" s="19"/>
      <c r="AE938" s="19"/>
      <c r="AF938" s="19"/>
      <c r="AG938" s="19"/>
      <c r="AH938" s="19"/>
    </row>
    <row r="939" spans="1:34" ht="13.15" x14ac:dyDescent="0.4">
      <c r="A939" s="19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  <c r="AA939" s="19"/>
      <c r="AB939" s="19"/>
      <c r="AC939" s="19"/>
      <c r="AD939" s="19"/>
      <c r="AE939" s="19"/>
      <c r="AF939" s="19"/>
      <c r="AG939" s="19"/>
      <c r="AH939" s="19"/>
    </row>
    <row r="940" spans="1:34" ht="13.15" x14ac:dyDescent="0.4">
      <c r="A940" s="19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  <c r="AB940" s="19"/>
      <c r="AC940" s="19"/>
      <c r="AD940" s="19"/>
      <c r="AE940" s="19"/>
      <c r="AF940" s="19"/>
      <c r="AG940" s="19"/>
      <c r="AH940" s="19"/>
    </row>
    <row r="941" spans="1:34" ht="13.15" x14ac:dyDescent="0.4">
      <c r="A941" s="19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  <c r="AA941" s="19"/>
      <c r="AB941" s="19"/>
      <c r="AC941" s="19"/>
      <c r="AD941" s="19"/>
      <c r="AE941" s="19"/>
      <c r="AF941" s="19"/>
      <c r="AG941" s="19"/>
      <c r="AH941" s="19"/>
    </row>
    <row r="942" spans="1:34" ht="13.15" x14ac:dyDescent="0.4">
      <c r="A942" s="19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  <c r="AA942" s="19"/>
      <c r="AB942" s="19"/>
      <c r="AC942" s="19"/>
      <c r="AD942" s="19"/>
      <c r="AE942" s="19"/>
      <c r="AF942" s="19"/>
      <c r="AG942" s="19"/>
      <c r="AH942" s="19"/>
    </row>
    <row r="943" spans="1:34" ht="13.15" x14ac:dyDescent="0.4">
      <c r="A943" s="19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  <c r="AA943" s="19"/>
      <c r="AB943" s="19"/>
      <c r="AC943" s="19"/>
      <c r="AD943" s="19"/>
      <c r="AE943" s="19"/>
      <c r="AF943" s="19"/>
      <c r="AG943" s="19"/>
      <c r="AH943" s="19"/>
    </row>
    <row r="944" spans="1:34" ht="13.15" x14ac:dyDescent="0.4">
      <c r="A944" s="19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  <c r="AA944" s="19"/>
      <c r="AB944" s="19"/>
      <c r="AC944" s="19"/>
      <c r="AD944" s="19"/>
      <c r="AE944" s="19"/>
      <c r="AF944" s="19"/>
      <c r="AG944" s="19"/>
      <c r="AH944" s="19"/>
    </row>
    <row r="945" spans="1:34" ht="13.15" x14ac:dyDescent="0.4">
      <c r="A945" s="19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  <c r="AA945" s="19"/>
      <c r="AB945" s="19"/>
      <c r="AC945" s="19"/>
      <c r="AD945" s="19"/>
      <c r="AE945" s="19"/>
      <c r="AF945" s="19"/>
      <c r="AG945" s="19"/>
      <c r="AH945" s="19"/>
    </row>
    <row r="946" spans="1:34" ht="13.15" x14ac:dyDescent="0.4">
      <c r="A946" s="19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  <c r="AA946" s="19"/>
      <c r="AB946" s="19"/>
      <c r="AC946" s="19"/>
      <c r="AD946" s="19"/>
      <c r="AE946" s="19"/>
      <c r="AF946" s="19"/>
      <c r="AG946" s="19"/>
      <c r="AH946" s="19"/>
    </row>
    <row r="947" spans="1:34" ht="13.15" x14ac:dyDescent="0.4">
      <c r="A947" s="19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  <c r="AA947" s="19"/>
      <c r="AB947" s="19"/>
      <c r="AC947" s="19"/>
      <c r="AD947" s="19"/>
      <c r="AE947" s="19"/>
      <c r="AF947" s="19"/>
      <c r="AG947" s="19"/>
      <c r="AH947" s="19"/>
    </row>
    <row r="948" spans="1:34" ht="13.15" x14ac:dyDescent="0.4">
      <c r="A948" s="19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  <c r="AA948" s="19"/>
      <c r="AB948" s="19"/>
      <c r="AC948" s="19"/>
      <c r="AD948" s="19"/>
      <c r="AE948" s="19"/>
      <c r="AF948" s="19"/>
      <c r="AG948" s="19"/>
      <c r="AH948" s="19"/>
    </row>
    <row r="949" spans="1:34" ht="13.15" x14ac:dyDescent="0.4">
      <c r="A949" s="19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  <c r="AA949" s="19"/>
      <c r="AB949" s="19"/>
      <c r="AC949" s="19"/>
      <c r="AD949" s="19"/>
      <c r="AE949" s="19"/>
      <c r="AF949" s="19"/>
      <c r="AG949" s="19"/>
      <c r="AH949" s="19"/>
    </row>
    <row r="950" spans="1:34" ht="13.15" x14ac:dyDescent="0.4">
      <c r="A950" s="19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  <c r="AA950" s="19"/>
      <c r="AB950" s="19"/>
      <c r="AC950" s="19"/>
      <c r="AD950" s="19"/>
      <c r="AE950" s="19"/>
      <c r="AF950" s="19"/>
      <c r="AG950" s="19"/>
      <c r="AH950" s="19"/>
    </row>
    <row r="951" spans="1:34" ht="13.15" x14ac:dyDescent="0.4">
      <c r="A951" s="19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  <c r="AA951" s="19"/>
      <c r="AB951" s="19"/>
      <c r="AC951" s="19"/>
      <c r="AD951" s="19"/>
      <c r="AE951" s="19"/>
      <c r="AF951" s="19"/>
      <c r="AG951" s="19"/>
      <c r="AH951" s="19"/>
    </row>
    <row r="952" spans="1:34" ht="13.15" x14ac:dyDescent="0.4">
      <c r="A952" s="19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  <c r="AA952" s="19"/>
      <c r="AB952" s="19"/>
      <c r="AC952" s="19"/>
      <c r="AD952" s="19"/>
      <c r="AE952" s="19"/>
      <c r="AF952" s="19"/>
      <c r="AG952" s="19"/>
      <c r="AH952" s="19"/>
    </row>
    <row r="953" spans="1:34" ht="13.15" x14ac:dyDescent="0.4">
      <c r="A953" s="19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  <c r="AA953" s="19"/>
      <c r="AB953" s="19"/>
      <c r="AC953" s="19"/>
      <c r="AD953" s="19"/>
      <c r="AE953" s="19"/>
      <c r="AF953" s="19"/>
      <c r="AG953" s="19"/>
      <c r="AH953" s="19"/>
    </row>
    <row r="954" spans="1:34" ht="13.15" x14ac:dyDescent="0.4">
      <c r="A954" s="19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  <c r="AA954" s="19"/>
      <c r="AB954" s="19"/>
      <c r="AC954" s="19"/>
      <c r="AD954" s="19"/>
      <c r="AE954" s="19"/>
      <c r="AF954" s="19"/>
      <c r="AG954" s="19"/>
      <c r="AH954" s="19"/>
    </row>
    <row r="955" spans="1:34" ht="13.15" x14ac:dyDescent="0.4">
      <c r="A955" s="19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  <c r="AA955" s="19"/>
      <c r="AB955" s="19"/>
      <c r="AC955" s="19"/>
      <c r="AD955" s="19"/>
      <c r="AE955" s="19"/>
      <c r="AF955" s="19"/>
      <c r="AG955" s="19"/>
      <c r="AH955" s="19"/>
    </row>
    <row r="956" spans="1:34" ht="13.15" x14ac:dyDescent="0.4">
      <c r="A956" s="19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  <c r="AA956" s="19"/>
      <c r="AB956" s="19"/>
      <c r="AC956" s="19"/>
      <c r="AD956" s="19"/>
      <c r="AE956" s="19"/>
      <c r="AF956" s="19"/>
      <c r="AG956" s="19"/>
      <c r="AH956" s="19"/>
    </row>
    <row r="957" spans="1:34" ht="13.15" x14ac:dyDescent="0.4">
      <c r="A957" s="19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  <c r="AA957" s="19"/>
      <c r="AB957" s="19"/>
      <c r="AC957" s="19"/>
      <c r="AD957" s="19"/>
      <c r="AE957" s="19"/>
      <c r="AF957" s="19"/>
      <c r="AG957" s="19"/>
      <c r="AH957" s="19"/>
    </row>
    <row r="958" spans="1:34" ht="13.15" x14ac:dyDescent="0.4">
      <c r="A958" s="19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  <c r="AA958" s="19"/>
      <c r="AB958" s="19"/>
      <c r="AC958" s="19"/>
      <c r="AD958" s="19"/>
      <c r="AE958" s="19"/>
      <c r="AF958" s="19"/>
      <c r="AG958" s="19"/>
      <c r="AH958" s="19"/>
    </row>
    <row r="959" spans="1:34" ht="13.15" x14ac:dyDescent="0.4">
      <c r="A959" s="19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  <c r="AA959" s="19"/>
      <c r="AB959" s="19"/>
      <c r="AC959" s="19"/>
      <c r="AD959" s="19"/>
      <c r="AE959" s="19"/>
      <c r="AF959" s="19"/>
      <c r="AG959" s="19"/>
      <c r="AH959" s="19"/>
    </row>
    <row r="960" spans="1:34" ht="13.15" x14ac:dyDescent="0.4">
      <c r="A960" s="19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  <c r="AA960" s="19"/>
      <c r="AB960" s="19"/>
      <c r="AC960" s="19"/>
      <c r="AD960" s="19"/>
      <c r="AE960" s="19"/>
      <c r="AF960" s="19"/>
      <c r="AG960" s="19"/>
      <c r="AH960" s="19"/>
    </row>
    <row r="961" spans="1:34" ht="13.15" x14ac:dyDescent="0.4">
      <c r="A961" s="19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  <c r="AA961" s="19"/>
      <c r="AB961" s="19"/>
      <c r="AC961" s="19"/>
      <c r="AD961" s="19"/>
      <c r="AE961" s="19"/>
      <c r="AF961" s="19"/>
      <c r="AG961" s="19"/>
      <c r="AH961" s="19"/>
    </row>
    <row r="962" spans="1:34" ht="13.15" x14ac:dyDescent="0.4">
      <c r="A962" s="19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  <c r="AA962" s="19"/>
      <c r="AB962" s="19"/>
      <c r="AC962" s="19"/>
      <c r="AD962" s="19"/>
      <c r="AE962" s="19"/>
      <c r="AF962" s="19"/>
      <c r="AG962" s="19"/>
      <c r="AH962" s="19"/>
    </row>
    <row r="963" spans="1:34" ht="13.15" x14ac:dyDescent="0.4">
      <c r="A963" s="19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  <c r="AB963" s="19"/>
      <c r="AC963" s="19"/>
      <c r="AD963" s="19"/>
      <c r="AE963" s="19"/>
      <c r="AF963" s="19"/>
      <c r="AG963" s="19"/>
      <c r="AH963" s="19"/>
    </row>
    <row r="964" spans="1:34" ht="13.15" x14ac:dyDescent="0.4">
      <c r="A964" s="19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  <c r="AA964" s="19"/>
      <c r="AB964" s="19"/>
      <c r="AC964" s="19"/>
      <c r="AD964" s="19"/>
      <c r="AE964" s="19"/>
      <c r="AF964" s="19"/>
      <c r="AG964" s="19"/>
      <c r="AH964" s="19"/>
    </row>
    <row r="965" spans="1:34" ht="13.15" x14ac:dyDescent="0.4">
      <c r="A965" s="19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  <c r="AA965" s="19"/>
      <c r="AB965" s="19"/>
      <c r="AC965" s="19"/>
      <c r="AD965" s="19"/>
      <c r="AE965" s="19"/>
      <c r="AF965" s="19"/>
      <c r="AG965" s="19"/>
      <c r="AH965" s="19"/>
    </row>
    <row r="966" spans="1:34" ht="13.15" x14ac:dyDescent="0.4">
      <c r="A966" s="19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  <c r="AA966" s="19"/>
      <c r="AB966" s="19"/>
      <c r="AC966" s="19"/>
      <c r="AD966" s="19"/>
      <c r="AE966" s="19"/>
      <c r="AF966" s="19"/>
      <c r="AG966" s="19"/>
      <c r="AH966" s="19"/>
    </row>
    <row r="967" spans="1:34" ht="13.15" x14ac:dyDescent="0.4">
      <c r="A967" s="19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  <c r="AA967" s="19"/>
      <c r="AB967" s="19"/>
      <c r="AC967" s="19"/>
      <c r="AD967" s="19"/>
      <c r="AE967" s="19"/>
      <c r="AF967" s="19"/>
      <c r="AG967" s="19"/>
      <c r="AH967" s="19"/>
    </row>
    <row r="968" spans="1:34" ht="13.15" x14ac:dyDescent="0.4">
      <c r="A968" s="19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  <c r="AA968" s="19"/>
      <c r="AB968" s="19"/>
      <c r="AC968" s="19"/>
      <c r="AD968" s="19"/>
      <c r="AE968" s="19"/>
      <c r="AF968" s="19"/>
      <c r="AG968" s="19"/>
      <c r="AH968" s="19"/>
    </row>
    <row r="969" spans="1:34" ht="13.15" x14ac:dyDescent="0.4">
      <c r="A969" s="19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  <c r="AA969" s="19"/>
      <c r="AB969" s="19"/>
      <c r="AC969" s="19"/>
      <c r="AD969" s="19"/>
      <c r="AE969" s="19"/>
      <c r="AF969" s="19"/>
      <c r="AG969" s="19"/>
      <c r="AH969" s="19"/>
    </row>
    <row r="970" spans="1:34" ht="13.15" x14ac:dyDescent="0.4">
      <c r="A970" s="19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  <c r="AA970" s="19"/>
      <c r="AB970" s="19"/>
      <c r="AC970" s="19"/>
      <c r="AD970" s="19"/>
      <c r="AE970" s="19"/>
      <c r="AF970" s="19"/>
      <c r="AG970" s="19"/>
      <c r="AH970" s="19"/>
    </row>
    <row r="971" spans="1:34" ht="13.15" x14ac:dyDescent="0.4">
      <c r="A971" s="19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  <c r="AA971" s="19"/>
      <c r="AB971" s="19"/>
      <c r="AC971" s="19"/>
      <c r="AD971" s="19"/>
      <c r="AE971" s="19"/>
      <c r="AF971" s="19"/>
      <c r="AG971" s="19"/>
      <c r="AH971" s="19"/>
    </row>
    <row r="972" spans="1:34" ht="13.15" x14ac:dyDescent="0.4">
      <c r="A972" s="19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  <c r="AA972" s="19"/>
      <c r="AB972" s="19"/>
      <c r="AC972" s="19"/>
      <c r="AD972" s="19"/>
      <c r="AE972" s="19"/>
      <c r="AF972" s="19"/>
      <c r="AG972" s="19"/>
      <c r="AH972" s="19"/>
    </row>
    <row r="973" spans="1:34" ht="13.15" x14ac:dyDescent="0.4">
      <c r="A973" s="19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  <c r="AA973" s="19"/>
      <c r="AB973" s="19"/>
      <c r="AC973" s="19"/>
      <c r="AD973" s="19"/>
      <c r="AE973" s="19"/>
      <c r="AF973" s="19"/>
      <c r="AG973" s="19"/>
      <c r="AH973" s="19"/>
    </row>
    <row r="974" spans="1:34" ht="13.15" x14ac:dyDescent="0.4">
      <c r="A974" s="19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  <c r="AA974" s="19"/>
      <c r="AB974" s="19"/>
      <c r="AC974" s="19"/>
      <c r="AD974" s="19"/>
      <c r="AE974" s="19"/>
      <c r="AF974" s="19"/>
      <c r="AG974" s="19"/>
      <c r="AH974" s="19"/>
    </row>
    <row r="975" spans="1:34" ht="13.15" x14ac:dyDescent="0.4">
      <c r="A975" s="19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  <c r="AA975" s="19"/>
      <c r="AB975" s="19"/>
      <c r="AC975" s="19"/>
      <c r="AD975" s="19"/>
      <c r="AE975" s="19"/>
      <c r="AF975" s="19"/>
      <c r="AG975" s="19"/>
      <c r="AH975" s="19"/>
    </row>
    <row r="976" spans="1:34" ht="13.15" x14ac:dyDescent="0.4">
      <c r="A976" s="19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  <c r="AA976" s="19"/>
      <c r="AB976" s="19"/>
      <c r="AC976" s="19"/>
      <c r="AD976" s="19"/>
      <c r="AE976" s="19"/>
      <c r="AF976" s="19"/>
      <c r="AG976" s="19"/>
      <c r="AH976" s="19"/>
    </row>
    <row r="977" spans="1:34" ht="13.15" x14ac:dyDescent="0.4">
      <c r="A977" s="19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  <c r="AA977" s="19"/>
      <c r="AB977" s="19"/>
      <c r="AC977" s="19"/>
      <c r="AD977" s="19"/>
      <c r="AE977" s="19"/>
      <c r="AF977" s="19"/>
      <c r="AG977" s="19"/>
      <c r="AH977" s="19"/>
    </row>
    <row r="978" spans="1:34" ht="13.15" x14ac:dyDescent="0.4">
      <c r="A978" s="19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  <c r="AA978" s="19"/>
      <c r="AB978" s="19"/>
      <c r="AC978" s="19"/>
      <c r="AD978" s="19"/>
      <c r="AE978" s="19"/>
      <c r="AF978" s="19"/>
      <c r="AG978" s="19"/>
      <c r="AH978" s="19"/>
    </row>
    <row r="979" spans="1:34" ht="13.15" x14ac:dyDescent="0.4">
      <c r="A979" s="19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  <c r="AA979" s="19"/>
      <c r="AB979" s="19"/>
      <c r="AC979" s="19"/>
      <c r="AD979" s="19"/>
      <c r="AE979" s="19"/>
      <c r="AF979" s="19"/>
      <c r="AG979" s="19"/>
      <c r="AH979" s="19"/>
    </row>
    <row r="980" spans="1:34" ht="13.15" x14ac:dyDescent="0.4">
      <c r="A980" s="19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  <c r="AA980" s="19"/>
      <c r="AB980" s="19"/>
      <c r="AC980" s="19"/>
      <c r="AD980" s="19"/>
      <c r="AE980" s="19"/>
      <c r="AF980" s="19"/>
      <c r="AG980" s="19"/>
      <c r="AH980" s="19"/>
    </row>
    <row r="981" spans="1:34" ht="13.15" x14ac:dyDescent="0.4">
      <c r="A981" s="19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  <c r="AA981" s="19"/>
      <c r="AB981" s="19"/>
      <c r="AC981" s="19"/>
      <c r="AD981" s="19"/>
      <c r="AE981" s="19"/>
      <c r="AF981" s="19"/>
      <c r="AG981" s="19"/>
      <c r="AH981" s="19"/>
    </row>
    <row r="982" spans="1:34" ht="13.15" x14ac:dyDescent="0.4">
      <c r="A982" s="19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  <c r="AA982" s="19"/>
      <c r="AB982" s="19"/>
      <c r="AC982" s="19"/>
      <c r="AD982" s="19"/>
      <c r="AE982" s="19"/>
      <c r="AF982" s="19"/>
      <c r="AG982" s="19"/>
      <c r="AH982" s="19"/>
    </row>
    <row r="983" spans="1:34" ht="13.15" x14ac:dyDescent="0.4">
      <c r="A983" s="19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  <c r="AA983" s="19"/>
      <c r="AB983" s="19"/>
      <c r="AC983" s="19"/>
      <c r="AD983" s="19"/>
      <c r="AE983" s="19"/>
      <c r="AF983" s="19"/>
      <c r="AG983" s="19"/>
      <c r="AH983" s="19"/>
    </row>
    <row r="984" spans="1:34" ht="13.15" x14ac:dyDescent="0.4">
      <c r="A984" s="19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  <c r="AA984" s="19"/>
      <c r="AB984" s="19"/>
      <c r="AC984" s="19"/>
      <c r="AD984" s="19"/>
      <c r="AE984" s="19"/>
      <c r="AF984" s="19"/>
      <c r="AG984" s="19"/>
      <c r="AH984" s="19"/>
    </row>
    <row r="985" spans="1:34" ht="13.15" x14ac:dyDescent="0.4">
      <c r="A985" s="19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  <c r="AA985" s="19"/>
      <c r="AB985" s="19"/>
      <c r="AC985" s="19"/>
      <c r="AD985" s="19"/>
      <c r="AE985" s="19"/>
      <c r="AF985" s="19"/>
      <c r="AG985" s="19"/>
      <c r="AH985" s="19"/>
    </row>
    <row r="986" spans="1:34" ht="13.15" x14ac:dyDescent="0.4">
      <c r="A986" s="19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  <c r="AA986" s="19"/>
      <c r="AB986" s="19"/>
      <c r="AC986" s="19"/>
      <c r="AD986" s="19"/>
      <c r="AE986" s="19"/>
      <c r="AF986" s="19"/>
      <c r="AG986" s="19"/>
      <c r="AH986" s="19"/>
    </row>
    <row r="987" spans="1:34" ht="13.15" x14ac:dyDescent="0.4">
      <c r="A987" s="19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  <c r="AA987" s="19"/>
      <c r="AB987" s="19"/>
      <c r="AC987" s="19"/>
      <c r="AD987" s="19"/>
      <c r="AE987" s="19"/>
      <c r="AF987" s="19"/>
      <c r="AG987" s="19"/>
      <c r="AH987" s="19"/>
    </row>
    <row r="988" spans="1:34" ht="13.15" x14ac:dyDescent="0.4">
      <c r="A988" s="19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  <c r="AA988" s="19"/>
      <c r="AB988" s="19"/>
      <c r="AC988" s="19"/>
      <c r="AD988" s="19"/>
      <c r="AE988" s="19"/>
      <c r="AF988" s="19"/>
      <c r="AG988" s="19"/>
      <c r="AH988" s="19"/>
    </row>
    <row r="989" spans="1:34" ht="13.15" x14ac:dyDescent="0.4">
      <c r="A989" s="19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  <c r="AA989" s="19"/>
      <c r="AB989" s="19"/>
      <c r="AC989" s="19"/>
      <c r="AD989" s="19"/>
      <c r="AE989" s="19"/>
      <c r="AF989" s="19"/>
      <c r="AG989" s="19"/>
      <c r="AH989" s="19"/>
    </row>
    <row r="990" spans="1:34" ht="13.15" x14ac:dyDescent="0.4">
      <c r="A990" s="19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  <c r="AA990" s="19"/>
      <c r="AB990" s="19"/>
      <c r="AC990" s="19"/>
      <c r="AD990" s="19"/>
      <c r="AE990" s="19"/>
      <c r="AF990" s="19"/>
      <c r="AG990" s="19"/>
      <c r="AH990" s="19"/>
    </row>
    <row r="991" spans="1:34" ht="13.15" x14ac:dyDescent="0.4">
      <c r="A991" s="19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  <c r="AA991" s="19"/>
      <c r="AB991" s="19"/>
      <c r="AC991" s="19"/>
      <c r="AD991" s="19"/>
      <c r="AE991" s="19"/>
      <c r="AF991" s="19"/>
      <c r="AG991" s="19"/>
      <c r="AH991" s="19"/>
    </row>
    <row r="992" spans="1:34" ht="13.15" x14ac:dyDescent="0.4">
      <c r="A992" s="19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  <c r="AA992" s="19"/>
      <c r="AB992" s="19"/>
      <c r="AC992" s="19"/>
      <c r="AD992" s="19"/>
      <c r="AE992" s="19"/>
      <c r="AF992" s="19"/>
      <c r="AG992" s="19"/>
      <c r="AH992" s="19"/>
    </row>
    <row r="993" spans="1:34" ht="13.15" x14ac:dyDescent="0.4">
      <c r="A993" s="19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  <c r="AA993" s="19"/>
      <c r="AB993" s="19"/>
      <c r="AC993" s="19"/>
      <c r="AD993" s="19"/>
      <c r="AE993" s="19"/>
      <c r="AF993" s="19"/>
      <c r="AG993" s="19"/>
      <c r="AH993" s="19"/>
    </row>
    <row r="994" spans="1:34" ht="13.15" x14ac:dyDescent="0.4">
      <c r="A994" s="19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  <c r="AA994" s="19"/>
      <c r="AB994" s="19"/>
      <c r="AC994" s="19"/>
      <c r="AD994" s="19"/>
      <c r="AE994" s="19"/>
      <c r="AF994" s="19"/>
      <c r="AG994" s="19"/>
      <c r="AH994" s="19"/>
    </row>
    <row r="995" spans="1:34" ht="13.15" x14ac:dyDescent="0.4">
      <c r="A995" s="19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  <c r="AA995" s="19"/>
      <c r="AB995" s="19"/>
      <c r="AC995" s="19"/>
      <c r="AD995" s="19"/>
      <c r="AE995" s="19"/>
      <c r="AF995" s="19"/>
      <c r="AG995" s="19"/>
      <c r="AH995" s="19"/>
    </row>
    <row r="996" spans="1:34" ht="13.15" x14ac:dyDescent="0.4">
      <c r="A996" s="19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  <c r="AA996" s="19"/>
      <c r="AB996" s="19"/>
      <c r="AC996" s="19"/>
      <c r="AD996" s="19"/>
      <c r="AE996" s="19"/>
      <c r="AF996" s="19"/>
      <c r="AG996" s="19"/>
      <c r="AH996" s="19"/>
    </row>
    <row r="997" spans="1:34" ht="13.15" x14ac:dyDescent="0.4">
      <c r="A997" s="19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  <c r="AA997" s="19"/>
      <c r="AB997" s="19"/>
      <c r="AC997" s="19"/>
      <c r="AD997" s="19"/>
      <c r="AE997" s="19"/>
      <c r="AF997" s="19"/>
      <c r="AG997" s="19"/>
      <c r="AH997" s="19"/>
    </row>
    <row r="998" spans="1:34" ht="13.15" x14ac:dyDescent="0.4">
      <c r="A998" s="19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  <c r="AA998" s="19"/>
      <c r="AB998" s="19"/>
      <c r="AC998" s="19"/>
      <c r="AD998" s="19"/>
      <c r="AE998" s="19"/>
      <c r="AF998" s="19"/>
      <c r="AG998" s="19"/>
      <c r="AH998" s="19"/>
    </row>
    <row r="999" spans="1:34" ht="13.15" x14ac:dyDescent="0.4">
      <c r="A999" s="19"/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  <c r="AA999" s="19"/>
      <c r="AB999" s="19"/>
      <c r="AC999" s="19"/>
      <c r="AD999" s="19"/>
      <c r="AE999" s="19"/>
      <c r="AF999" s="19"/>
      <c r="AG999" s="19"/>
      <c r="AH999" s="19"/>
    </row>
    <row r="1000" spans="1:34" ht="13.15" x14ac:dyDescent="0.4">
      <c r="A1000" s="19"/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  <c r="AA1000" s="19"/>
      <c r="AB1000" s="19"/>
      <c r="AC1000" s="19"/>
      <c r="AD1000" s="19"/>
      <c r="AE1000" s="19"/>
      <c r="AF1000" s="19"/>
      <c r="AG1000" s="19"/>
      <c r="AH1000" s="19"/>
    </row>
    <row r="1001" spans="1:34" ht="13.15" x14ac:dyDescent="0.4">
      <c r="A1001" s="19"/>
      <c r="B1001" s="19"/>
      <c r="C1001" s="19"/>
      <c r="D1001" s="19"/>
      <c r="E1001" s="19"/>
      <c r="F1001" s="19"/>
      <c r="G1001" s="19"/>
      <c r="H1001" s="19"/>
      <c r="I1001" s="19"/>
      <c r="J1001" s="19"/>
      <c r="K1001" s="19"/>
      <c r="L1001" s="19"/>
      <c r="M1001" s="19"/>
      <c r="N1001" s="19"/>
      <c r="O1001" s="19"/>
      <c r="P1001" s="19"/>
      <c r="Q1001" s="19"/>
      <c r="R1001" s="19"/>
      <c r="S1001" s="19"/>
      <c r="T1001" s="19"/>
      <c r="U1001" s="19"/>
      <c r="V1001" s="19"/>
      <c r="W1001" s="19"/>
      <c r="X1001" s="19"/>
      <c r="Y1001" s="19"/>
      <c r="Z1001" s="19"/>
      <c r="AA1001" s="19"/>
      <c r="AB1001" s="19"/>
      <c r="AC1001" s="19"/>
      <c r="AD1001" s="19"/>
      <c r="AE1001" s="19"/>
      <c r="AF1001" s="19"/>
      <c r="AG1001" s="19"/>
      <c r="AH1001" s="19"/>
    </row>
    <row r="1002" spans="1:34" ht="13.15" x14ac:dyDescent="0.4">
      <c r="A1002" s="19"/>
      <c r="B1002" s="19"/>
      <c r="C1002" s="19"/>
      <c r="D1002" s="19"/>
      <c r="E1002" s="19"/>
      <c r="F1002" s="19"/>
      <c r="G1002" s="19"/>
      <c r="H1002" s="19"/>
      <c r="I1002" s="19"/>
      <c r="J1002" s="19"/>
      <c r="K1002" s="19"/>
      <c r="L1002" s="19"/>
      <c r="M1002" s="19"/>
      <c r="N1002" s="19"/>
      <c r="O1002" s="19"/>
      <c r="P1002" s="19"/>
      <c r="Q1002" s="19"/>
      <c r="R1002" s="19"/>
      <c r="S1002" s="19"/>
      <c r="T1002" s="19"/>
      <c r="U1002" s="19"/>
      <c r="V1002" s="19"/>
      <c r="W1002" s="19"/>
      <c r="X1002" s="19"/>
      <c r="Y1002" s="19"/>
      <c r="Z1002" s="19"/>
      <c r="AA1002" s="19"/>
      <c r="AB1002" s="19"/>
      <c r="AC1002" s="19"/>
      <c r="AD1002" s="19"/>
      <c r="AE1002" s="19"/>
      <c r="AF1002" s="19"/>
      <c r="AG1002" s="19"/>
      <c r="AH1002" s="19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AE999"/>
  <sheetViews>
    <sheetView workbookViewId="0">
      <pane ySplit="1" topLeftCell="A2" activePane="bottomLeft" state="frozen"/>
      <selection pane="bottomLeft" activeCell="B3" sqref="B3"/>
    </sheetView>
  </sheetViews>
  <sheetFormatPr defaultColWidth="12.59765625" defaultRowHeight="15.75" customHeight="1" x14ac:dyDescent="0.35"/>
  <cols>
    <col min="6" max="6" width="20.265625" customWidth="1"/>
    <col min="7" max="7" width="18.46484375" customWidth="1"/>
    <col min="8" max="8" width="16.265625" customWidth="1"/>
  </cols>
  <sheetData>
    <row r="1" spans="1:31" ht="15.75" customHeight="1" x14ac:dyDescent="0.4">
      <c r="A1" s="18"/>
      <c r="B1" s="18"/>
      <c r="C1" s="18"/>
      <c r="D1" s="18"/>
      <c r="E1" s="18" t="s">
        <v>0</v>
      </c>
      <c r="F1" s="18" t="s">
        <v>4</v>
      </c>
      <c r="G1" s="18" t="s">
        <v>5</v>
      </c>
      <c r="H1" s="18" t="s">
        <v>6</v>
      </c>
      <c r="I1" s="18" t="s">
        <v>7</v>
      </c>
      <c r="J1" s="18" t="s">
        <v>8</v>
      </c>
      <c r="K1" s="18" t="s">
        <v>9</v>
      </c>
      <c r="L1" s="18" t="s">
        <v>10</v>
      </c>
      <c r="M1" s="18" t="s">
        <v>11</v>
      </c>
      <c r="N1" s="18" t="s">
        <v>12</v>
      </c>
      <c r="O1" s="18" t="s">
        <v>13</v>
      </c>
      <c r="P1" s="18" t="s">
        <v>14</v>
      </c>
      <c r="Q1" s="18" t="s">
        <v>15</v>
      </c>
      <c r="R1" s="18" t="s">
        <v>16</v>
      </c>
      <c r="S1" s="18" t="s">
        <v>74</v>
      </c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</row>
    <row r="2" spans="1:31" ht="15.75" customHeight="1" x14ac:dyDescent="0.4">
      <c r="A2" s="20" t="s">
        <v>3</v>
      </c>
      <c r="B2" s="20" t="s">
        <v>1</v>
      </c>
      <c r="C2" s="19"/>
      <c r="D2" s="19"/>
      <c r="E2" s="19" t="s">
        <v>24</v>
      </c>
      <c r="F2" s="19" t="s">
        <v>83</v>
      </c>
      <c r="G2" s="19" t="s">
        <v>290</v>
      </c>
      <c r="H2" s="19" t="s">
        <v>291</v>
      </c>
      <c r="I2" s="21">
        <v>45356</v>
      </c>
      <c r="J2" s="21">
        <v>45357</v>
      </c>
      <c r="K2" s="19" t="s">
        <v>78</v>
      </c>
      <c r="L2" s="19" t="s">
        <v>86</v>
      </c>
      <c r="M2" s="19" t="s">
        <v>95</v>
      </c>
      <c r="N2" s="19">
        <v>5.5</v>
      </c>
      <c r="O2" s="19" t="s">
        <v>81</v>
      </c>
      <c r="P2" s="19">
        <v>1</v>
      </c>
      <c r="Q2" s="19">
        <v>1.5</v>
      </c>
      <c r="R2" s="19">
        <v>1.5</v>
      </c>
      <c r="S2" s="19">
        <v>1.5</v>
      </c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</row>
    <row r="3" spans="1:31" ht="15.75" customHeight="1" x14ac:dyDescent="0.4">
      <c r="A3" s="19" t="s">
        <v>54</v>
      </c>
      <c r="B3" s="19">
        <f>COUNTIF($H$2:$H999,"Mersadez Gobert")</f>
        <v>10</v>
      </c>
      <c r="C3" s="19"/>
      <c r="D3" s="19"/>
      <c r="E3" s="19" t="s">
        <v>24</v>
      </c>
      <c r="F3" s="19" t="s">
        <v>83</v>
      </c>
      <c r="G3" s="19" t="s">
        <v>292</v>
      </c>
      <c r="H3" s="19" t="s">
        <v>291</v>
      </c>
      <c r="I3" s="21">
        <v>45356</v>
      </c>
      <c r="J3" s="21">
        <v>45358</v>
      </c>
      <c r="K3" s="19" t="s">
        <v>85</v>
      </c>
      <c r="L3" s="19" t="s">
        <v>86</v>
      </c>
      <c r="M3" s="19" t="s">
        <v>80</v>
      </c>
      <c r="N3" s="19">
        <v>3.5</v>
      </c>
      <c r="O3" s="19" t="s">
        <v>123</v>
      </c>
      <c r="P3" s="19">
        <v>1</v>
      </c>
      <c r="Q3" s="19">
        <v>0.5</v>
      </c>
      <c r="R3" s="19">
        <v>1</v>
      </c>
      <c r="S3" s="19">
        <v>1</v>
      </c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</row>
    <row r="4" spans="1:31" ht="15.75" customHeight="1" x14ac:dyDescent="0.4">
      <c r="A4" s="19" t="s">
        <v>55</v>
      </c>
      <c r="B4" s="19">
        <f>COUNTIF($H$2:$H999,"D.Thibedeaux")</f>
        <v>12</v>
      </c>
      <c r="C4" s="19"/>
      <c r="D4" s="19"/>
      <c r="E4" s="19" t="s">
        <v>24</v>
      </c>
      <c r="F4" s="19" t="s">
        <v>75</v>
      </c>
      <c r="G4" s="19" t="s">
        <v>293</v>
      </c>
      <c r="H4" s="19" t="s">
        <v>291</v>
      </c>
      <c r="I4" s="21">
        <v>45357</v>
      </c>
      <c r="J4" s="21">
        <v>45358</v>
      </c>
      <c r="K4" s="19" t="s">
        <v>85</v>
      </c>
      <c r="L4" s="19" t="s">
        <v>99</v>
      </c>
      <c r="M4" s="19" t="s">
        <v>80</v>
      </c>
      <c r="N4" s="19">
        <v>7</v>
      </c>
      <c r="O4" s="19" t="s">
        <v>97</v>
      </c>
      <c r="P4" s="19">
        <v>1</v>
      </c>
      <c r="Q4" s="19">
        <v>2.5</v>
      </c>
      <c r="R4" s="19">
        <v>2</v>
      </c>
      <c r="S4" s="19">
        <v>1.5</v>
      </c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</row>
    <row r="5" spans="1:31" ht="15.75" customHeight="1" x14ac:dyDescent="0.4">
      <c r="A5" s="19" t="s">
        <v>56</v>
      </c>
      <c r="B5" s="19">
        <f>COUNTIF($H$2:$H999,"Makenzie Vandiver")</f>
        <v>12</v>
      </c>
      <c r="C5" s="19"/>
      <c r="D5" s="19"/>
      <c r="E5" s="19" t="s">
        <v>24</v>
      </c>
      <c r="F5" s="19" t="s">
        <v>83</v>
      </c>
      <c r="G5" s="19" t="s">
        <v>294</v>
      </c>
      <c r="H5" s="19" t="s">
        <v>291</v>
      </c>
      <c r="I5" s="21">
        <v>45357</v>
      </c>
      <c r="J5" s="21">
        <v>45359</v>
      </c>
      <c r="K5" s="19" t="s">
        <v>85</v>
      </c>
      <c r="L5" s="19" t="s">
        <v>138</v>
      </c>
      <c r="M5" s="19" t="s">
        <v>95</v>
      </c>
      <c r="N5" s="19">
        <v>3</v>
      </c>
      <c r="O5" s="19" t="s">
        <v>123</v>
      </c>
      <c r="P5" s="19">
        <v>1</v>
      </c>
      <c r="Q5" s="19">
        <v>0.5</v>
      </c>
      <c r="R5" s="19">
        <v>1</v>
      </c>
      <c r="S5" s="19">
        <v>0.5</v>
      </c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</row>
    <row r="6" spans="1:31" ht="15.75" customHeight="1" x14ac:dyDescent="0.4">
      <c r="A6" s="19" t="s">
        <v>57</v>
      </c>
      <c r="B6" s="19">
        <f>COUNTIF($H$2:$H999,"Clarissa Wilson")</f>
        <v>11</v>
      </c>
      <c r="C6" s="19"/>
      <c r="D6" s="19"/>
      <c r="E6" s="19" t="s">
        <v>24</v>
      </c>
      <c r="F6" s="19" t="s">
        <v>209</v>
      </c>
      <c r="G6" s="19" t="s">
        <v>295</v>
      </c>
      <c r="H6" s="19" t="s">
        <v>291</v>
      </c>
      <c r="I6" s="21">
        <v>45357</v>
      </c>
      <c r="J6" s="21">
        <v>45357</v>
      </c>
      <c r="K6" s="19" t="s">
        <v>78</v>
      </c>
      <c r="L6" s="19" t="s">
        <v>138</v>
      </c>
      <c r="M6" s="19" t="s">
        <v>80</v>
      </c>
      <c r="N6" s="19">
        <v>8</v>
      </c>
      <c r="O6" s="19" t="s">
        <v>91</v>
      </c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</row>
    <row r="7" spans="1:31" ht="15.75" customHeight="1" x14ac:dyDescent="0.4">
      <c r="A7" s="18" t="s">
        <v>29</v>
      </c>
      <c r="B7" s="18">
        <f>SUM(B3:B6)</f>
        <v>45</v>
      </c>
      <c r="C7" s="19"/>
      <c r="D7" s="19"/>
      <c r="E7" s="19" t="s">
        <v>24</v>
      </c>
      <c r="F7" s="19" t="s">
        <v>75</v>
      </c>
      <c r="G7" s="19" t="s">
        <v>296</v>
      </c>
      <c r="H7" s="19" t="s">
        <v>291</v>
      </c>
      <c r="I7" s="21">
        <v>45358</v>
      </c>
      <c r="J7" s="21">
        <v>45358</v>
      </c>
      <c r="K7" s="19" t="s">
        <v>85</v>
      </c>
      <c r="L7" s="19" t="s">
        <v>88</v>
      </c>
      <c r="M7" s="19" t="s">
        <v>80</v>
      </c>
      <c r="N7" s="19">
        <v>5</v>
      </c>
      <c r="O7" s="19" t="s">
        <v>81</v>
      </c>
      <c r="P7" s="19">
        <v>1</v>
      </c>
      <c r="Q7" s="19">
        <v>1.5</v>
      </c>
      <c r="R7" s="19">
        <v>1.5</v>
      </c>
      <c r="S7" s="19">
        <v>1</v>
      </c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</row>
    <row r="8" spans="1:31" ht="15.75" customHeight="1" x14ac:dyDescent="0.4">
      <c r="A8" s="19"/>
      <c r="B8" s="19"/>
      <c r="C8" s="19"/>
      <c r="D8" s="19"/>
      <c r="E8" s="19" t="s">
        <v>24</v>
      </c>
      <c r="F8" s="19" t="s">
        <v>75</v>
      </c>
      <c r="G8" s="19" t="s">
        <v>297</v>
      </c>
      <c r="H8" s="19" t="s">
        <v>291</v>
      </c>
      <c r="I8" s="21">
        <v>45358</v>
      </c>
      <c r="J8" s="21">
        <v>45359</v>
      </c>
      <c r="K8" s="19" t="s">
        <v>85</v>
      </c>
      <c r="L8" s="19" t="s">
        <v>88</v>
      </c>
      <c r="M8" s="19" t="s">
        <v>95</v>
      </c>
      <c r="N8" s="19">
        <v>6</v>
      </c>
      <c r="O8" s="19" t="s">
        <v>97</v>
      </c>
      <c r="P8" s="19">
        <v>1</v>
      </c>
      <c r="Q8" s="19">
        <v>1.5</v>
      </c>
      <c r="R8" s="19">
        <v>2</v>
      </c>
      <c r="S8" s="19">
        <v>1.5</v>
      </c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</row>
    <row r="9" spans="1:31" ht="15.75" customHeight="1" x14ac:dyDescent="0.4">
      <c r="A9" s="19"/>
      <c r="B9" s="19"/>
      <c r="C9" s="19"/>
      <c r="D9" s="19"/>
      <c r="E9" s="19" t="s">
        <v>24</v>
      </c>
      <c r="F9" s="19" t="s">
        <v>92</v>
      </c>
      <c r="G9" s="19" t="s">
        <v>298</v>
      </c>
      <c r="H9" s="19" t="s">
        <v>291</v>
      </c>
      <c r="I9" s="21">
        <v>45359</v>
      </c>
      <c r="J9" s="21">
        <v>45359</v>
      </c>
      <c r="K9" s="19" t="s">
        <v>85</v>
      </c>
      <c r="L9" s="19" t="s">
        <v>88</v>
      </c>
      <c r="M9" s="19" t="s">
        <v>95</v>
      </c>
      <c r="N9" s="19">
        <v>7</v>
      </c>
      <c r="O9" s="19" t="s">
        <v>97</v>
      </c>
      <c r="P9" s="19">
        <v>2</v>
      </c>
      <c r="Q9" s="19">
        <v>2.5</v>
      </c>
      <c r="R9" s="19">
        <v>2.5</v>
      </c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</row>
    <row r="10" spans="1:31" ht="15.75" customHeight="1" x14ac:dyDescent="0.4">
      <c r="A10" s="20" t="s">
        <v>13</v>
      </c>
      <c r="B10" s="20" t="s">
        <v>104</v>
      </c>
      <c r="C10" s="20" t="s">
        <v>105</v>
      </c>
      <c r="D10" s="19"/>
      <c r="E10" s="19" t="s">
        <v>24</v>
      </c>
      <c r="F10" s="19" t="s">
        <v>210</v>
      </c>
      <c r="G10" s="19" t="s">
        <v>299</v>
      </c>
      <c r="H10" s="19" t="s">
        <v>291</v>
      </c>
      <c r="I10" s="21">
        <v>45359</v>
      </c>
      <c r="J10" s="21">
        <v>45359</v>
      </c>
      <c r="K10" s="19" t="s">
        <v>85</v>
      </c>
      <c r="L10" s="19" t="s">
        <v>138</v>
      </c>
      <c r="M10" s="19" t="s">
        <v>300</v>
      </c>
      <c r="N10" s="19">
        <v>9</v>
      </c>
      <c r="O10" s="19" t="s">
        <v>91</v>
      </c>
      <c r="P10" s="19">
        <v>2</v>
      </c>
      <c r="Q10" s="19">
        <v>4.5</v>
      </c>
      <c r="R10" s="19">
        <v>2.5</v>
      </c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</row>
    <row r="11" spans="1:31" ht="15.75" customHeight="1" x14ac:dyDescent="0.4">
      <c r="A11" s="19" t="s">
        <v>109</v>
      </c>
      <c r="B11" s="22">
        <f>C11/B7</f>
        <v>0.62222222222222223</v>
      </c>
      <c r="C11" s="19">
        <f>(COUNTIF($O$2:$O999,"Proficient I"))+(COUNTIF($O$2:$O999,"Proficient II"))+(COUNTIF($O$2:$O999,"Exemplary"))</f>
        <v>28</v>
      </c>
      <c r="D11" s="19"/>
      <c r="E11" s="19" t="s">
        <v>24</v>
      </c>
      <c r="F11" s="19" t="s">
        <v>83</v>
      </c>
      <c r="G11" s="19" t="s">
        <v>301</v>
      </c>
      <c r="H11" s="19" t="s">
        <v>291</v>
      </c>
      <c r="I11" s="21">
        <v>45359</v>
      </c>
      <c r="J11" s="21">
        <v>45359</v>
      </c>
      <c r="K11" s="19" t="s">
        <v>85</v>
      </c>
      <c r="L11" s="19" t="s">
        <v>138</v>
      </c>
      <c r="M11" s="19" t="s">
        <v>80</v>
      </c>
      <c r="N11" s="19">
        <v>6</v>
      </c>
      <c r="O11" s="19" t="s">
        <v>97</v>
      </c>
      <c r="P11" s="19">
        <v>1</v>
      </c>
      <c r="Q11" s="19">
        <v>1.5</v>
      </c>
      <c r="R11" s="19">
        <v>2</v>
      </c>
      <c r="S11" s="19">
        <v>1.5</v>
      </c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</row>
    <row r="12" spans="1:31" ht="15.75" customHeight="1" x14ac:dyDescent="0.4">
      <c r="A12" s="19" t="s">
        <v>111</v>
      </c>
      <c r="B12" s="22">
        <f>C12/B7</f>
        <v>0.37777777777777777</v>
      </c>
      <c r="C12" s="19">
        <f>(COUNTIF($O$2:$O999,"Unsatisfactory"))+(COUNTIF($O$2:$O999,"Progressing"))</f>
        <v>17</v>
      </c>
      <c r="D12" s="19"/>
      <c r="E12" s="19" t="s">
        <v>24</v>
      </c>
      <c r="F12" s="19" t="s">
        <v>89</v>
      </c>
      <c r="G12" s="19" t="s">
        <v>302</v>
      </c>
      <c r="H12" s="19" t="s">
        <v>291</v>
      </c>
      <c r="I12" s="21">
        <v>45359</v>
      </c>
      <c r="J12" s="21">
        <v>45359</v>
      </c>
      <c r="K12" s="19" t="s">
        <v>78</v>
      </c>
      <c r="L12" s="19"/>
      <c r="M12" s="19"/>
      <c r="N12" s="19">
        <v>7</v>
      </c>
      <c r="O12" s="19" t="s">
        <v>97</v>
      </c>
      <c r="P12" s="19">
        <v>2</v>
      </c>
      <c r="Q12" s="19">
        <v>2</v>
      </c>
      <c r="R12" s="19">
        <v>3</v>
      </c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</row>
    <row r="13" spans="1:31" ht="15.75" customHeight="1" x14ac:dyDescent="0.4">
      <c r="A13" s="19"/>
      <c r="B13" s="19"/>
      <c r="C13" s="18">
        <f>SUM(C11:C12)</f>
        <v>45</v>
      </c>
      <c r="D13" s="19"/>
      <c r="E13" s="19" t="s">
        <v>24</v>
      </c>
      <c r="F13" s="19" t="s">
        <v>75</v>
      </c>
      <c r="G13" s="19" t="s">
        <v>303</v>
      </c>
      <c r="H13" s="19" t="s">
        <v>304</v>
      </c>
      <c r="I13" s="21">
        <v>45355</v>
      </c>
      <c r="J13" s="21">
        <v>45355</v>
      </c>
      <c r="K13" s="19" t="s">
        <v>85</v>
      </c>
      <c r="L13" s="19" t="s">
        <v>79</v>
      </c>
      <c r="M13" s="19" t="s">
        <v>95</v>
      </c>
      <c r="N13" s="19">
        <v>6</v>
      </c>
      <c r="O13" s="19" t="s">
        <v>97</v>
      </c>
      <c r="P13" s="19">
        <v>1</v>
      </c>
      <c r="Q13" s="19">
        <v>1.5</v>
      </c>
      <c r="R13" s="19">
        <v>2</v>
      </c>
      <c r="S13" s="19">
        <v>1.5</v>
      </c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</row>
    <row r="14" spans="1:31" ht="15.75" customHeight="1" x14ac:dyDescent="0.4">
      <c r="A14" s="19"/>
      <c r="B14" s="19"/>
      <c r="C14" s="19"/>
      <c r="D14" s="19"/>
      <c r="E14" s="19" t="s">
        <v>24</v>
      </c>
      <c r="F14" s="19" t="s">
        <v>89</v>
      </c>
      <c r="G14" s="19" t="s">
        <v>305</v>
      </c>
      <c r="H14" s="19" t="s">
        <v>304</v>
      </c>
      <c r="I14" s="21">
        <v>45355</v>
      </c>
      <c r="J14" s="21">
        <v>45356</v>
      </c>
      <c r="K14" s="19" t="s">
        <v>85</v>
      </c>
      <c r="L14" s="19"/>
      <c r="M14" s="19"/>
      <c r="N14" s="19">
        <v>8</v>
      </c>
      <c r="O14" s="19" t="s">
        <v>91</v>
      </c>
      <c r="P14" s="19">
        <v>2</v>
      </c>
      <c r="Q14" s="19">
        <v>3</v>
      </c>
      <c r="R14" s="19">
        <v>3</v>
      </c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</row>
    <row r="15" spans="1:31" ht="15.75" customHeight="1" x14ac:dyDescent="0.4">
      <c r="A15" s="19"/>
      <c r="B15" s="19"/>
      <c r="C15" s="19"/>
      <c r="D15" s="19"/>
      <c r="E15" s="19" t="s">
        <v>24</v>
      </c>
      <c r="F15" s="19" t="s">
        <v>92</v>
      </c>
      <c r="G15" s="19" t="s">
        <v>306</v>
      </c>
      <c r="H15" s="19" t="s">
        <v>304</v>
      </c>
      <c r="I15" s="21">
        <v>45356</v>
      </c>
      <c r="J15" s="21">
        <v>45357</v>
      </c>
      <c r="K15" s="19" t="s">
        <v>85</v>
      </c>
      <c r="L15" s="19" t="s">
        <v>88</v>
      </c>
      <c r="M15" s="19" t="s">
        <v>117</v>
      </c>
      <c r="N15" s="19">
        <v>6</v>
      </c>
      <c r="O15" s="19" t="s">
        <v>97</v>
      </c>
      <c r="P15" s="19">
        <v>2</v>
      </c>
      <c r="Q15" s="19">
        <v>1.5</v>
      </c>
      <c r="R15" s="19">
        <v>2.5</v>
      </c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</row>
    <row r="16" spans="1:31" ht="15.75" customHeight="1" x14ac:dyDescent="0.4">
      <c r="A16" s="19"/>
      <c r="B16" s="19"/>
      <c r="C16" s="19"/>
      <c r="D16" s="19"/>
      <c r="E16" s="19" t="s">
        <v>24</v>
      </c>
      <c r="F16" s="19" t="s">
        <v>92</v>
      </c>
      <c r="G16" s="19" t="s">
        <v>307</v>
      </c>
      <c r="H16" s="19" t="s">
        <v>304</v>
      </c>
      <c r="I16" s="21">
        <v>45356</v>
      </c>
      <c r="J16" s="21">
        <v>45358</v>
      </c>
      <c r="K16" s="19" t="s">
        <v>78</v>
      </c>
      <c r="L16" s="19" t="s">
        <v>79</v>
      </c>
      <c r="M16" s="19" t="s">
        <v>80</v>
      </c>
      <c r="N16" s="19">
        <v>3.5</v>
      </c>
      <c r="O16" s="19" t="s">
        <v>123</v>
      </c>
      <c r="P16" s="19">
        <v>2</v>
      </c>
      <c r="Q16" s="19">
        <v>0.5</v>
      </c>
      <c r="R16" s="19">
        <v>1</v>
      </c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</row>
    <row r="17" spans="1:31" ht="15.75" customHeight="1" x14ac:dyDescent="0.4">
      <c r="A17" s="19"/>
      <c r="B17" s="19"/>
      <c r="C17" s="19"/>
      <c r="D17" s="19"/>
      <c r="E17" s="19" t="s">
        <v>24</v>
      </c>
      <c r="F17" s="19" t="s">
        <v>75</v>
      </c>
      <c r="G17" s="19" t="s">
        <v>293</v>
      </c>
      <c r="H17" s="19" t="s">
        <v>304</v>
      </c>
      <c r="I17" s="21">
        <v>45356</v>
      </c>
      <c r="J17" s="21">
        <v>45357</v>
      </c>
      <c r="K17" s="19" t="s">
        <v>85</v>
      </c>
      <c r="L17" s="19" t="s">
        <v>99</v>
      </c>
      <c r="M17" s="19" t="s">
        <v>80</v>
      </c>
      <c r="N17" s="19">
        <v>7.5</v>
      </c>
      <c r="O17" s="19" t="s">
        <v>97</v>
      </c>
      <c r="P17" s="19">
        <v>1</v>
      </c>
      <c r="Q17" s="19">
        <v>2</v>
      </c>
      <c r="R17" s="19">
        <v>3</v>
      </c>
      <c r="S17" s="19">
        <v>1.5</v>
      </c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</row>
    <row r="18" spans="1:31" ht="15.75" customHeight="1" x14ac:dyDescent="0.4">
      <c r="A18" s="19"/>
      <c r="B18" s="19"/>
      <c r="C18" s="19"/>
      <c r="D18" s="19"/>
      <c r="E18" s="19" t="s">
        <v>24</v>
      </c>
      <c r="F18" s="19" t="s">
        <v>75</v>
      </c>
      <c r="G18" s="19" t="s">
        <v>296</v>
      </c>
      <c r="H18" s="19" t="s">
        <v>304</v>
      </c>
      <c r="I18" s="21">
        <v>45357</v>
      </c>
      <c r="J18" s="21">
        <v>45358</v>
      </c>
      <c r="K18" s="19" t="s">
        <v>85</v>
      </c>
      <c r="L18" s="19" t="s">
        <v>88</v>
      </c>
      <c r="M18" s="19" t="s">
        <v>80</v>
      </c>
      <c r="N18" s="19">
        <v>6</v>
      </c>
      <c r="O18" s="19" t="s">
        <v>97</v>
      </c>
      <c r="P18" s="19">
        <v>1</v>
      </c>
      <c r="Q18" s="19">
        <v>2</v>
      </c>
      <c r="R18" s="19">
        <v>1.5</v>
      </c>
      <c r="S18" s="19">
        <v>1.5</v>
      </c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</row>
    <row r="19" spans="1:31" ht="15.75" customHeight="1" x14ac:dyDescent="0.4">
      <c r="A19" s="19"/>
      <c r="B19" s="19"/>
      <c r="C19" s="19"/>
      <c r="D19" s="19"/>
      <c r="E19" s="19" t="s">
        <v>24</v>
      </c>
      <c r="F19" s="19" t="s">
        <v>75</v>
      </c>
      <c r="G19" s="19" t="s">
        <v>308</v>
      </c>
      <c r="H19" s="19" t="s">
        <v>304</v>
      </c>
      <c r="I19" s="21">
        <v>45357</v>
      </c>
      <c r="J19" s="21">
        <v>45358</v>
      </c>
      <c r="K19" s="19" t="s">
        <v>85</v>
      </c>
      <c r="L19" s="19" t="s">
        <v>94</v>
      </c>
      <c r="M19" s="19" t="s">
        <v>108</v>
      </c>
      <c r="N19" s="19">
        <v>6</v>
      </c>
      <c r="O19" s="19" t="s">
        <v>97</v>
      </c>
      <c r="P19" s="19">
        <v>1</v>
      </c>
      <c r="Q19" s="19">
        <v>2</v>
      </c>
      <c r="R19" s="19">
        <v>2</v>
      </c>
      <c r="S19" s="19">
        <v>1</v>
      </c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</row>
    <row r="20" spans="1:31" ht="15.75" customHeight="1" x14ac:dyDescent="0.4">
      <c r="A20" s="19"/>
      <c r="B20" s="19"/>
      <c r="C20" s="19"/>
      <c r="D20" s="19"/>
      <c r="E20" s="19" t="s">
        <v>24</v>
      </c>
      <c r="F20" s="19" t="s">
        <v>92</v>
      </c>
      <c r="G20" s="19" t="s">
        <v>298</v>
      </c>
      <c r="H20" s="19" t="s">
        <v>304</v>
      </c>
      <c r="I20" s="21">
        <v>45358</v>
      </c>
      <c r="J20" s="21">
        <v>45359</v>
      </c>
      <c r="K20" s="19" t="s">
        <v>78</v>
      </c>
      <c r="L20" s="19" t="s">
        <v>88</v>
      </c>
      <c r="M20" s="19" t="s">
        <v>117</v>
      </c>
      <c r="N20" s="19">
        <v>6</v>
      </c>
      <c r="O20" s="19" t="s">
        <v>97</v>
      </c>
      <c r="P20" s="19">
        <v>2</v>
      </c>
      <c r="Q20" s="19">
        <v>2</v>
      </c>
      <c r="R20" s="19">
        <v>2</v>
      </c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</row>
    <row r="21" spans="1:31" ht="15.75" customHeight="1" x14ac:dyDescent="0.4">
      <c r="A21" s="19"/>
      <c r="B21" s="19"/>
      <c r="C21" s="19"/>
      <c r="D21" s="19"/>
      <c r="E21" s="19" t="s">
        <v>24</v>
      </c>
      <c r="F21" s="19" t="s">
        <v>92</v>
      </c>
      <c r="G21" s="19" t="s">
        <v>309</v>
      </c>
      <c r="H21" s="19" t="s">
        <v>304</v>
      </c>
      <c r="I21" s="21">
        <v>45358</v>
      </c>
      <c r="J21" s="21">
        <v>45358</v>
      </c>
      <c r="K21" s="19" t="s">
        <v>78</v>
      </c>
      <c r="L21" s="19" t="s">
        <v>79</v>
      </c>
      <c r="M21" s="19" t="s">
        <v>108</v>
      </c>
      <c r="N21" s="19">
        <v>7</v>
      </c>
      <c r="O21" s="19" t="s">
        <v>97</v>
      </c>
      <c r="P21" s="19">
        <v>2</v>
      </c>
      <c r="Q21" s="19">
        <v>2.5</v>
      </c>
      <c r="R21" s="19">
        <v>2.5</v>
      </c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</row>
    <row r="22" spans="1:31" ht="15.75" customHeight="1" x14ac:dyDescent="0.4">
      <c r="A22" s="19"/>
      <c r="B22" s="19"/>
      <c r="C22" s="19"/>
      <c r="D22" s="19"/>
      <c r="E22" s="19" t="s">
        <v>24</v>
      </c>
      <c r="F22" s="19" t="s">
        <v>75</v>
      </c>
      <c r="G22" s="19" t="s">
        <v>310</v>
      </c>
      <c r="H22" s="19" t="s">
        <v>304</v>
      </c>
      <c r="I22" s="21">
        <v>45358</v>
      </c>
      <c r="J22" s="21">
        <v>45358</v>
      </c>
      <c r="K22" s="19" t="s">
        <v>85</v>
      </c>
      <c r="L22" s="19" t="s">
        <v>79</v>
      </c>
      <c r="M22" s="19" t="s">
        <v>80</v>
      </c>
      <c r="N22" s="19">
        <v>6.5</v>
      </c>
      <c r="O22" s="19" t="s">
        <v>97</v>
      </c>
      <c r="P22" s="19">
        <v>1</v>
      </c>
      <c r="Q22" s="19">
        <v>2</v>
      </c>
      <c r="R22" s="19">
        <v>1.5</v>
      </c>
      <c r="S22" s="19">
        <v>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</row>
    <row r="23" spans="1:31" ht="15.75" customHeight="1" x14ac:dyDescent="0.4">
      <c r="A23" s="19"/>
      <c r="B23" s="19"/>
      <c r="C23" s="19"/>
      <c r="D23" s="19"/>
      <c r="E23" s="19" t="s">
        <v>24</v>
      </c>
      <c r="F23" s="19" t="s">
        <v>100</v>
      </c>
      <c r="G23" s="19" t="s">
        <v>311</v>
      </c>
      <c r="H23" s="19" t="s">
        <v>304</v>
      </c>
      <c r="I23" s="21">
        <v>45359</v>
      </c>
      <c r="J23" s="21">
        <v>45359</v>
      </c>
      <c r="K23" s="19" t="s">
        <v>78</v>
      </c>
      <c r="L23" s="19" t="s">
        <v>88</v>
      </c>
      <c r="M23" s="19"/>
      <c r="N23" s="19">
        <v>7</v>
      </c>
      <c r="O23" s="19" t="s">
        <v>91</v>
      </c>
      <c r="P23" s="19">
        <v>1</v>
      </c>
      <c r="Q23" s="19">
        <v>3</v>
      </c>
      <c r="R23" s="19">
        <v>3</v>
      </c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</row>
    <row r="24" spans="1:31" ht="15.75" customHeight="1" x14ac:dyDescent="0.4">
      <c r="A24" s="19"/>
      <c r="B24" s="19"/>
      <c r="C24" s="19"/>
      <c r="D24" s="19"/>
      <c r="E24" s="19" t="s">
        <v>24</v>
      </c>
      <c r="F24" s="19" t="s">
        <v>83</v>
      </c>
      <c r="G24" s="19" t="s">
        <v>312</v>
      </c>
      <c r="H24" s="19" t="s">
        <v>304</v>
      </c>
      <c r="I24" s="21">
        <v>45359</v>
      </c>
      <c r="J24" s="21">
        <v>45359</v>
      </c>
      <c r="K24" s="19" t="s">
        <v>85</v>
      </c>
      <c r="L24" s="19" t="s">
        <v>138</v>
      </c>
      <c r="M24" s="19" t="s">
        <v>95</v>
      </c>
      <c r="N24" s="19">
        <v>6</v>
      </c>
      <c r="O24" s="19" t="s">
        <v>97</v>
      </c>
      <c r="P24" s="19">
        <v>1</v>
      </c>
      <c r="Q24" s="19">
        <v>2</v>
      </c>
      <c r="R24" s="19">
        <v>1.5</v>
      </c>
      <c r="S24" s="19">
        <v>1.5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</row>
    <row r="25" spans="1:31" ht="15.75" customHeight="1" x14ac:dyDescent="0.4">
      <c r="A25" s="19"/>
      <c r="B25" s="19"/>
      <c r="C25" s="19"/>
      <c r="D25" s="19"/>
      <c r="E25" s="19" t="s">
        <v>24</v>
      </c>
      <c r="F25" s="19" t="s">
        <v>92</v>
      </c>
      <c r="G25" s="19" t="s">
        <v>313</v>
      </c>
      <c r="H25" s="19" t="s">
        <v>314</v>
      </c>
      <c r="I25" s="21">
        <v>45355</v>
      </c>
      <c r="J25" s="21">
        <v>45356</v>
      </c>
      <c r="K25" s="19" t="s">
        <v>78</v>
      </c>
      <c r="L25" s="19" t="s">
        <v>79</v>
      </c>
      <c r="M25" s="19" t="s">
        <v>95</v>
      </c>
      <c r="N25" s="19">
        <v>5</v>
      </c>
      <c r="O25" s="19" t="s">
        <v>81</v>
      </c>
      <c r="P25" s="19">
        <v>2</v>
      </c>
      <c r="Q25" s="19">
        <v>1.5</v>
      </c>
      <c r="R25" s="19">
        <v>1.5</v>
      </c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</row>
    <row r="26" spans="1:31" ht="15.75" customHeight="1" x14ac:dyDescent="0.4">
      <c r="A26" s="19"/>
      <c r="B26" s="19"/>
      <c r="C26" s="19"/>
      <c r="D26" s="19"/>
      <c r="E26" s="19" t="s">
        <v>24</v>
      </c>
      <c r="F26" s="19" t="s">
        <v>83</v>
      </c>
      <c r="G26" s="19" t="s">
        <v>315</v>
      </c>
      <c r="H26" s="19" t="s">
        <v>314</v>
      </c>
      <c r="I26" s="21">
        <v>45355</v>
      </c>
      <c r="J26" s="21">
        <v>45356</v>
      </c>
      <c r="K26" s="19" t="s">
        <v>85</v>
      </c>
      <c r="L26" s="19" t="s">
        <v>86</v>
      </c>
      <c r="M26" s="19" t="s">
        <v>95</v>
      </c>
      <c r="N26" s="19">
        <v>5.5</v>
      </c>
      <c r="O26" s="19" t="s">
        <v>81</v>
      </c>
      <c r="P26" s="19">
        <v>1</v>
      </c>
      <c r="Q26" s="19">
        <v>1.5</v>
      </c>
      <c r="R26" s="19">
        <v>1.5</v>
      </c>
      <c r="S26" s="19">
        <v>1.5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</row>
    <row r="27" spans="1:31" ht="15.75" customHeight="1" x14ac:dyDescent="0.4">
      <c r="A27" s="19"/>
      <c r="B27" s="19"/>
      <c r="C27" s="19"/>
      <c r="D27" s="19"/>
      <c r="E27" s="19" t="s">
        <v>24</v>
      </c>
      <c r="F27" s="19" t="s">
        <v>100</v>
      </c>
      <c r="G27" s="19" t="s">
        <v>311</v>
      </c>
      <c r="H27" s="19" t="s">
        <v>314</v>
      </c>
      <c r="I27" s="21">
        <v>45356</v>
      </c>
      <c r="J27" s="21">
        <v>45356</v>
      </c>
      <c r="K27" s="19" t="s">
        <v>85</v>
      </c>
      <c r="L27" s="19" t="s">
        <v>99</v>
      </c>
      <c r="M27" s="19"/>
      <c r="N27" s="19">
        <v>5</v>
      </c>
      <c r="O27" s="19" t="s">
        <v>97</v>
      </c>
      <c r="P27" s="19">
        <v>2</v>
      </c>
      <c r="Q27" s="19">
        <v>3</v>
      </c>
      <c r="R27" s="19">
        <v>0</v>
      </c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</row>
    <row r="28" spans="1:31" ht="15.75" customHeight="1" x14ac:dyDescent="0.4">
      <c r="A28" s="19"/>
      <c r="B28" s="19"/>
      <c r="C28" s="19"/>
      <c r="D28" s="19"/>
      <c r="E28" s="19" t="s">
        <v>24</v>
      </c>
      <c r="F28" s="19" t="s">
        <v>83</v>
      </c>
      <c r="G28" s="19" t="s">
        <v>316</v>
      </c>
      <c r="H28" s="19" t="s">
        <v>314</v>
      </c>
      <c r="I28" s="21">
        <v>45356</v>
      </c>
      <c r="J28" s="21">
        <v>45356</v>
      </c>
      <c r="K28" s="19" t="s">
        <v>85</v>
      </c>
      <c r="L28" s="19" t="s">
        <v>138</v>
      </c>
      <c r="M28" s="19" t="s">
        <v>95</v>
      </c>
      <c r="N28" s="19">
        <v>4</v>
      </c>
      <c r="O28" s="19" t="s">
        <v>81</v>
      </c>
      <c r="P28" s="19">
        <v>1</v>
      </c>
      <c r="Q28" s="19">
        <v>1</v>
      </c>
      <c r="R28" s="19">
        <v>1</v>
      </c>
      <c r="S28" s="19">
        <v>1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</row>
    <row r="29" spans="1:31" ht="15.75" customHeight="1" x14ac:dyDescent="0.4">
      <c r="A29" s="19"/>
      <c r="B29" s="19"/>
      <c r="C29" s="19"/>
      <c r="D29" s="19"/>
      <c r="E29" s="19" t="s">
        <v>24</v>
      </c>
      <c r="F29" s="19" t="s">
        <v>92</v>
      </c>
      <c r="G29" s="19" t="s">
        <v>317</v>
      </c>
      <c r="H29" s="19" t="s">
        <v>314</v>
      </c>
      <c r="I29" s="21">
        <v>45357</v>
      </c>
      <c r="J29" s="21">
        <v>45359</v>
      </c>
      <c r="K29" s="19" t="s">
        <v>78</v>
      </c>
      <c r="L29" s="19" t="s">
        <v>88</v>
      </c>
      <c r="M29" s="19" t="s">
        <v>108</v>
      </c>
      <c r="N29" s="19">
        <v>4</v>
      </c>
      <c r="O29" s="19" t="s">
        <v>81</v>
      </c>
      <c r="P29" s="19">
        <v>2</v>
      </c>
      <c r="Q29" s="19">
        <v>1</v>
      </c>
      <c r="R29" s="19">
        <v>1</v>
      </c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</row>
    <row r="30" spans="1:31" ht="15.75" customHeight="1" x14ac:dyDescent="0.4">
      <c r="A30" s="19"/>
      <c r="B30" s="19"/>
      <c r="C30" s="19"/>
      <c r="D30" s="19"/>
      <c r="E30" s="19" t="s">
        <v>24</v>
      </c>
      <c r="F30" s="19" t="s">
        <v>75</v>
      </c>
      <c r="G30" s="19" t="s">
        <v>318</v>
      </c>
      <c r="H30" s="19" t="s">
        <v>314</v>
      </c>
      <c r="I30" s="21">
        <v>45357</v>
      </c>
      <c r="J30" s="21">
        <v>45358</v>
      </c>
      <c r="K30" s="19" t="s">
        <v>78</v>
      </c>
      <c r="L30" s="19" t="s">
        <v>94</v>
      </c>
      <c r="M30" s="19" t="s">
        <v>95</v>
      </c>
      <c r="N30" s="19">
        <v>3.5</v>
      </c>
      <c r="O30" s="19" t="s">
        <v>123</v>
      </c>
      <c r="P30" s="19">
        <v>1</v>
      </c>
      <c r="Q30" s="19">
        <v>1</v>
      </c>
      <c r="R30" s="19">
        <v>1</v>
      </c>
      <c r="S30" s="19">
        <v>0.5</v>
      </c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</row>
    <row r="31" spans="1:31" ht="15.75" customHeight="1" x14ac:dyDescent="0.4">
      <c r="A31" s="19"/>
      <c r="B31" s="19"/>
      <c r="C31" s="19"/>
      <c r="D31" s="19"/>
      <c r="E31" s="19" t="s">
        <v>24</v>
      </c>
      <c r="F31" s="19" t="s">
        <v>92</v>
      </c>
      <c r="G31" s="19" t="s">
        <v>306</v>
      </c>
      <c r="H31" s="19" t="s">
        <v>314</v>
      </c>
      <c r="I31" s="21">
        <v>45358</v>
      </c>
      <c r="J31" s="21">
        <v>45359</v>
      </c>
      <c r="K31" s="19" t="s">
        <v>78</v>
      </c>
      <c r="L31" s="19" t="s">
        <v>99</v>
      </c>
      <c r="M31" s="19" t="s">
        <v>117</v>
      </c>
      <c r="N31" s="19">
        <v>3.5</v>
      </c>
      <c r="O31" s="19" t="s">
        <v>123</v>
      </c>
      <c r="P31" s="19">
        <v>2</v>
      </c>
      <c r="Q31" s="19">
        <v>0.5</v>
      </c>
      <c r="R31" s="19">
        <v>1</v>
      </c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</row>
    <row r="32" spans="1:31" ht="15.75" customHeight="1" x14ac:dyDescent="0.4">
      <c r="A32" s="19"/>
      <c r="B32" s="19"/>
      <c r="C32" s="19"/>
      <c r="D32" s="19"/>
      <c r="E32" s="19" t="s">
        <v>24</v>
      </c>
      <c r="F32" s="19" t="s">
        <v>75</v>
      </c>
      <c r="G32" s="19" t="s">
        <v>303</v>
      </c>
      <c r="H32" s="19" t="s">
        <v>314</v>
      </c>
      <c r="I32" s="21">
        <v>45358</v>
      </c>
      <c r="J32" s="21">
        <v>45358</v>
      </c>
      <c r="K32" s="19" t="s">
        <v>85</v>
      </c>
      <c r="L32" s="19" t="s">
        <v>79</v>
      </c>
      <c r="M32" s="19" t="s">
        <v>95</v>
      </c>
      <c r="N32" s="19">
        <v>4</v>
      </c>
      <c r="O32" s="19" t="s">
        <v>81</v>
      </c>
      <c r="P32" s="19">
        <v>1</v>
      </c>
      <c r="Q32" s="19">
        <v>1</v>
      </c>
      <c r="R32" s="19">
        <v>1</v>
      </c>
      <c r="S32" s="19">
        <v>1</v>
      </c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</row>
    <row r="33" spans="1:31" ht="15.75" customHeight="1" x14ac:dyDescent="0.4">
      <c r="A33" s="19"/>
      <c r="B33" s="19"/>
      <c r="C33" s="19"/>
      <c r="D33" s="19"/>
      <c r="E33" s="19" t="s">
        <v>24</v>
      </c>
      <c r="F33" s="19" t="s">
        <v>75</v>
      </c>
      <c r="G33" s="19" t="s">
        <v>308</v>
      </c>
      <c r="H33" s="19" t="s">
        <v>314</v>
      </c>
      <c r="I33" s="21">
        <v>45359</v>
      </c>
      <c r="J33" s="21">
        <v>45359</v>
      </c>
      <c r="K33" s="19" t="s">
        <v>85</v>
      </c>
      <c r="L33" s="19" t="s">
        <v>94</v>
      </c>
      <c r="M33" s="19" t="s">
        <v>108</v>
      </c>
      <c r="N33" s="19">
        <v>4</v>
      </c>
      <c r="O33" s="19" t="s">
        <v>81</v>
      </c>
      <c r="P33" s="19">
        <v>1</v>
      </c>
      <c r="Q33" s="19">
        <v>1</v>
      </c>
      <c r="R33" s="19">
        <v>1</v>
      </c>
      <c r="S33" s="19">
        <v>1</v>
      </c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</row>
    <row r="34" spans="1:31" ht="15.75" customHeight="1" x14ac:dyDescent="0.4">
      <c r="A34" s="19"/>
      <c r="B34" s="19"/>
      <c r="C34" s="19"/>
      <c r="D34" s="19"/>
      <c r="E34" s="19" t="s">
        <v>24</v>
      </c>
      <c r="F34" s="19" t="s">
        <v>89</v>
      </c>
      <c r="G34" s="19" t="s">
        <v>319</v>
      </c>
      <c r="H34" s="19" t="s">
        <v>314</v>
      </c>
      <c r="I34" s="21">
        <v>45359</v>
      </c>
      <c r="J34" s="21">
        <v>45359</v>
      </c>
      <c r="K34" s="19" t="s">
        <v>78</v>
      </c>
      <c r="L34" s="19"/>
      <c r="M34" s="19"/>
      <c r="N34" s="19">
        <v>7</v>
      </c>
      <c r="O34" s="19" t="s">
        <v>97</v>
      </c>
      <c r="P34" s="19">
        <v>2</v>
      </c>
      <c r="Q34" s="19">
        <v>3</v>
      </c>
      <c r="R34" s="19">
        <v>2</v>
      </c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</row>
    <row r="35" spans="1:31" ht="13.15" x14ac:dyDescent="0.4">
      <c r="A35" s="19"/>
      <c r="B35" s="19"/>
      <c r="C35" s="19"/>
      <c r="D35" s="19"/>
      <c r="E35" s="19" t="s">
        <v>24</v>
      </c>
      <c r="F35" s="19" t="s">
        <v>75</v>
      </c>
      <c r="G35" s="19" t="s">
        <v>310</v>
      </c>
      <c r="H35" s="19" t="s">
        <v>320</v>
      </c>
      <c r="I35" s="21">
        <v>45355</v>
      </c>
      <c r="J35" s="21">
        <v>45355</v>
      </c>
      <c r="K35" s="19" t="s">
        <v>85</v>
      </c>
      <c r="L35" s="19" t="s">
        <v>79</v>
      </c>
      <c r="M35" s="19" t="s">
        <v>80</v>
      </c>
      <c r="N35" s="19">
        <v>5</v>
      </c>
      <c r="O35" s="19" t="s">
        <v>81</v>
      </c>
      <c r="P35" s="19">
        <v>1</v>
      </c>
      <c r="Q35" s="19">
        <v>1.5</v>
      </c>
      <c r="R35" s="19">
        <v>1.5</v>
      </c>
      <c r="S35" s="19">
        <v>1</v>
      </c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</row>
    <row r="36" spans="1:31" ht="13.15" x14ac:dyDescent="0.4">
      <c r="A36" s="19"/>
      <c r="B36" s="19"/>
      <c r="C36" s="19"/>
      <c r="D36" s="19"/>
      <c r="E36" s="19" t="s">
        <v>24</v>
      </c>
      <c r="F36" s="19" t="s">
        <v>83</v>
      </c>
      <c r="G36" s="19" t="s">
        <v>321</v>
      </c>
      <c r="H36" s="19" t="s">
        <v>320</v>
      </c>
      <c r="I36" s="21">
        <v>45355</v>
      </c>
      <c r="J36" s="21">
        <v>45355</v>
      </c>
      <c r="K36" s="19" t="s">
        <v>78</v>
      </c>
      <c r="L36" s="19" t="s">
        <v>86</v>
      </c>
      <c r="M36" s="19" t="s">
        <v>95</v>
      </c>
      <c r="N36" s="19">
        <v>7</v>
      </c>
      <c r="O36" s="19" t="s">
        <v>97</v>
      </c>
      <c r="P36" s="19">
        <v>1</v>
      </c>
      <c r="Q36" s="19">
        <v>1.5</v>
      </c>
      <c r="R36" s="19">
        <v>2.5</v>
      </c>
      <c r="S36" s="19">
        <v>2</v>
      </c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</row>
    <row r="37" spans="1:31" ht="13.15" x14ac:dyDescent="0.4">
      <c r="A37" s="19"/>
      <c r="B37" s="19"/>
      <c r="C37" s="19"/>
      <c r="D37" s="19"/>
      <c r="E37" s="19" t="s">
        <v>24</v>
      </c>
      <c r="F37" s="19" t="s">
        <v>89</v>
      </c>
      <c r="G37" s="19" t="s">
        <v>322</v>
      </c>
      <c r="H37" s="19" t="s">
        <v>320</v>
      </c>
      <c r="I37" s="21">
        <v>45355</v>
      </c>
      <c r="J37" s="21">
        <v>45356</v>
      </c>
      <c r="K37" s="19" t="s">
        <v>85</v>
      </c>
      <c r="L37" s="19"/>
      <c r="M37" s="19"/>
      <c r="N37" s="19">
        <v>6</v>
      </c>
      <c r="O37" s="19" t="s">
        <v>97</v>
      </c>
      <c r="P37" s="19">
        <v>1.5</v>
      </c>
      <c r="Q37" s="19">
        <v>2</v>
      </c>
      <c r="R37" s="19">
        <v>2.5</v>
      </c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</row>
    <row r="38" spans="1:31" ht="13.15" x14ac:dyDescent="0.4">
      <c r="A38" s="19"/>
      <c r="B38" s="19"/>
      <c r="C38" s="19"/>
      <c r="D38" s="19"/>
      <c r="E38" s="19" t="s">
        <v>24</v>
      </c>
      <c r="F38" s="19" t="s">
        <v>75</v>
      </c>
      <c r="G38" s="19" t="s">
        <v>297</v>
      </c>
      <c r="H38" s="19" t="s">
        <v>320</v>
      </c>
      <c r="I38" s="21">
        <v>45356</v>
      </c>
      <c r="J38" s="21">
        <v>45356</v>
      </c>
      <c r="K38" s="19" t="s">
        <v>85</v>
      </c>
      <c r="L38" s="19" t="s">
        <v>88</v>
      </c>
      <c r="M38" s="19" t="s">
        <v>95</v>
      </c>
      <c r="N38" s="19">
        <v>4</v>
      </c>
      <c r="O38" s="19" t="s">
        <v>81</v>
      </c>
      <c r="P38" s="19">
        <v>1</v>
      </c>
      <c r="Q38" s="19">
        <v>0.5</v>
      </c>
      <c r="R38" s="19">
        <v>1.5</v>
      </c>
      <c r="S38" s="19">
        <v>1</v>
      </c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</row>
    <row r="39" spans="1:31" ht="13.15" x14ac:dyDescent="0.4">
      <c r="A39" s="19"/>
      <c r="B39" s="19"/>
      <c r="C39" s="19"/>
      <c r="D39" s="19"/>
      <c r="E39" s="19" t="s">
        <v>24</v>
      </c>
      <c r="F39" s="19" t="s">
        <v>75</v>
      </c>
      <c r="G39" s="19" t="s">
        <v>303</v>
      </c>
      <c r="H39" s="19" t="s">
        <v>320</v>
      </c>
      <c r="I39" s="21">
        <v>45356</v>
      </c>
      <c r="J39" s="21">
        <v>45356</v>
      </c>
      <c r="K39" s="19" t="s">
        <v>78</v>
      </c>
      <c r="L39" s="19" t="s">
        <v>79</v>
      </c>
      <c r="M39" s="19" t="s">
        <v>95</v>
      </c>
      <c r="N39" s="19">
        <v>6</v>
      </c>
      <c r="O39" s="19" t="s">
        <v>97</v>
      </c>
      <c r="P39" s="19">
        <v>1</v>
      </c>
      <c r="Q39" s="19">
        <v>2</v>
      </c>
      <c r="R39" s="19">
        <v>1.5</v>
      </c>
      <c r="S39" s="19">
        <v>1.5</v>
      </c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</row>
    <row r="40" spans="1:31" ht="13.15" x14ac:dyDescent="0.4">
      <c r="A40" s="19"/>
      <c r="B40" s="19"/>
      <c r="C40" s="19"/>
      <c r="D40" s="19"/>
      <c r="E40" s="19" t="s">
        <v>24</v>
      </c>
      <c r="F40" s="19" t="s">
        <v>75</v>
      </c>
      <c r="G40" s="19" t="s">
        <v>323</v>
      </c>
      <c r="H40" s="19" t="s">
        <v>320</v>
      </c>
      <c r="I40" s="21">
        <v>45356</v>
      </c>
      <c r="J40" s="21">
        <v>45356</v>
      </c>
      <c r="K40" s="19" t="s">
        <v>85</v>
      </c>
      <c r="L40" s="19" t="s">
        <v>94</v>
      </c>
      <c r="M40" s="19" t="s">
        <v>80</v>
      </c>
      <c r="N40" s="19">
        <v>4</v>
      </c>
      <c r="O40" s="19" t="s">
        <v>81</v>
      </c>
      <c r="P40" s="19">
        <v>1</v>
      </c>
      <c r="Q40" s="19">
        <v>1</v>
      </c>
      <c r="R40" s="19">
        <v>1</v>
      </c>
      <c r="S40" s="19">
        <v>1</v>
      </c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</row>
    <row r="41" spans="1:31" ht="13.15" x14ac:dyDescent="0.4">
      <c r="A41" s="19"/>
      <c r="B41" s="19"/>
      <c r="C41" s="19"/>
      <c r="D41" s="19"/>
      <c r="E41" s="19" t="s">
        <v>24</v>
      </c>
      <c r="F41" s="19" t="s">
        <v>92</v>
      </c>
      <c r="G41" s="19" t="s">
        <v>324</v>
      </c>
      <c r="H41" s="19" t="s">
        <v>320</v>
      </c>
      <c r="I41" s="21">
        <v>45357</v>
      </c>
      <c r="J41" s="21">
        <v>45357</v>
      </c>
      <c r="K41" s="19" t="s">
        <v>78</v>
      </c>
      <c r="L41" s="19" t="s">
        <v>99</v>
      </c>
      <c r="M41" s="19" t="s">
        <v>108</v>
      </c>
      <c r="N41" s="19">
        <v>4.5</v>
      </c>
      <c r="O41" s="19" t="s">
        <v>81</v>
      </c>
      <c r="P41" s="19">
        <v>2</v>
      </c>
      <c r="Q41" s="19">
        <v>1.5</v>
      </c>
      <c r="R41" s="19">
        <v>1</v>
      </c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</row>
    <row r="42" spans="1:31" ht="13.15" x14ac:dyDescent="0.4">
      <c r="A42" s="19"/>
      <c r="B42" s="19"/>
      <c r="C42" s="19"/>
      <c r="D42" s="19"/>
      <c r="E42" s="19" t="s">
        <v>24</v>
      </c>
      <c r="F42" s="19" t="s">
        <v>75</v>
      </c>
      <c r="G42" s="19" t="s">
        <v>325</v>
      </c>
      <c r="H42" s="19" t="s">
        <v>320</v>
      </c>
      <c r="I42" s="21">
        <v>45357</v>
      </c>
      <c r="J42" s="21">
        <v>45358</v>
      </c>
      <c r="K42" s="19" t="s">
        <v>85</v>
      </c>
      <c r="L42" s="19" t="s">
        <v>99</v>
      </c>
      <c r="M42" s="19" t="s">
        <v>95</v>
      </c>
      <c r="N42" s="19">
        <v>7.5</v>
      </c>
      <c r="O42" s="19" t="s">
        <v>97</v>
      </c>
      <c r="P42" s="19">
        <v>1</v>
      </c>
      <c r="Q42" s="19">
        <v>2</v>
      </c>
      <c r="R42" s="19">
        <v>3</v>
      </c>
      <c r="S42" s="19">
        <v>1.5</v>
      </c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</row>
    <row r="43" spans="1:31" ht="13.15" x14ac:dyDescent="0.4">
      <c r="A43" s="19"/>
      <c r="B43" s="19"/>
      <c r="C43" s="19"/>
      <c r="D43" s="19"/>
      <c r="E43" s="19" t="s">
        <v>24</v>
      </c>
      <c r="F43" s="19" t="s">
        <v>83</v>
      </c>
      <c r="G43" s="19" t="s">
        <v>315</v>
      </c>
      <c r="H43" s="19" t="s">
        <v>320</v>
      </c>
      <c r="I43" s="21">
        <v>45358</v>
      </c>
      <c r="J43" s="21">
        <v>45358</v>
      </c>
      <c r="K43" s="19" t="s">
        <v>85</v>
      </c>
      <c r="L43" s="19" t="s">
        <v>86</v>
      </c>
      <c r="M43" s="19" t="s">
        <v>80</v>
      </c>
      <c r="N43" s="19">
        <v>7.5</v>
      </c>
      <c r="O43" s="19" t="s">
        <v>97</v>
      </c>
      <c r="P43" s="19">
        <v>1</v>
      </c>
      <c r="Q43" s="19">
        <v>2</v>
      </c>
      <c r="R43" s="19">
        <v>2.5</v>
      </c>
      <c r="S43" s="19">
        <v>2</v>
      </c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</row>
    <row r="44" spans="1:31" ht="13.15" x14ac:dyDescent="0.4">
      <c r="A44" s="19"/>
      <c r="B44" s="19"/>
      <c r="C44" s="19"/>
      <c r="D44" s="19"/>
      <c r="E44" s="19" t="s">
        <v>24</v>
      </c>
      <c r="F44" s="19" t="s">
        <v>89</v>
      </c>
      <c r="G44" s="19" t="s">
        <v>326</v>
      </c>
      <c r="H44" s="19" t="s">
        <v>320</v>
      </c>
      <c r="I44" s="21">
        <v>45358</v>
      </c>
      <c r="J44" s="21">
        <v>45358</v>
      </c>
      <c r="K44" s="19" t="s">
        <v>78</v>
      </c>
      <c r="L44" s="19"/>
      <c r="M44" s="19"/>
      <c r="N44" s="19">
        <v>8</v>
      </c>
      <c r="O44" s="19" t="s">
        <v>91</v>
      </c>
      <c r="P44" s="19">
        <v>2</v>
      </c>
      <c r="Q44" s="19">
        <v>3.5</v>
      </c>
      <c r="R44" s="19">
        <v>2.5</v>
      </c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</row>
    <row r="45" spans="1:31" ht="13.15" x14ac:dyDescent="0.4">
      <c r="A45" s="19"/>
      <c r="B45" s="19"/>
      <c r="C45" s="19"/>
      <c r="D45" s="19"/>
      <c r="E45" s="19" t="s">
        <v>24</v>
      </c>
      <c r="F45" s="19" t="s">
        <v>216</v>
      </c>
      <c r="G45" s="19" t="s">
        <v>327</v>
      </c>
      <c r="H45" s="19" t="s">
        <v>320</v>
      </c>
      <c r="I45" s="21">
        <v>45358</v>
      </c>
      <c r="J45" s="21">
        <v>45358</v>
      </c>
      <c r="K45" s="19" t="s">
        <v>85</v>
      </c>
      <c r="L45" s="19" t="s">
        <v>88</v>
      </c>
      <c r="M45" s="19"/>
      <c r="N45" s="19">
        <v>5</v>
      </c>
      <c r="O45" s="19" t="s">
        <v>97</v>
      </c>
      <c r="P45" s="19">
        <v>2</v>
      </c>
      <c r="Q45" s="19">
        <v>3</v>
      </c>
      <c r="R45" s="19">
        <v>0</v>
      </c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</row>
    <row r="46" spans="1:31" ht="13.15" x14ac:dyDescent="0.4">
      <c r="A46" s="19"/>
      <c r="B46" s="19"/>
      <c r="C46" s="19"/>
      <c r="D46" s="19"/>
      <c r="E46" s="19" t="s">
        <v>24</v>
      </c>
      <c r="F46" s="19" t="s">
        <v>89</v>
      </c>
      <c r="G46" s="19" t="s">
        <v>328</v>
      </c>
      <c r="H46" s="19" t="s">
        <v>320</v>
      </c>
      <c r="I46" s="21">
        <v>45359</v>
      </c>
      <c r="J46" s="21">
        <v>45359</v>
      </c>
      <c r="K46" s="19" t="s">
        <v>85</v>
      </c>
      <c r="L46" s="19"/>
      <c r="M46" s="19"/>
      <c r="N46" s="19">
        <v>7.5</v>
      </c>
      <c r="O46" s="19" t="s">
        <v>97</v>
      </c>
      <c r="P46" s="19">
        <v>1.5</v>
      </c>
      <c r="Q46" s="19">
        <v>4</v>
      </c>
      <c r="R46" s="19">
        <v>2</v>
      </c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</row>
    <row r="47" spans="1:31" ht="13.15" x14ac:dyDescent="0.4">
      <c r="A47" s="19"/>
      <c r="B47" s="19"/>
      <c r="C47" s="19"/>
      <c r="D47" s="19"/>
      <c r="E47" s="19"/>
      <c r="F47" s="19"/>
      <c r="G47" s="19"/>
      <c r="H47" s="19"/>
      <c r="I47" s="21"/>
      <c r="J47" s="21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</row>
    <row r="48" spans="1:31" ht="13.15" x14ac:dyDescent="0.4">
      <c r="A48" s="19"/>
      <c r="B48" s="19"/>
      <c r="C48" s="19"/>
      <c r="D48" s="19"/>
      <c r="E48" s="19"/>
      <c r="F48" s="19"/>
      <c r="G48" s="19"/>
      <c r="H48" s="19"/>
      <c r="I48" s="21"/>
      <c r="J48" s="21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</row>
    <row r="49" spans="1:31" ht="13.15" x14ac:dyDescent="0.4">
      <c r="A49" s="19"/>
      <c r="B49" s="19"/>
      <c r="C49" s="19"/>
      <c r="D49" s="19"/>
      <c r="E49" s="19"/>
      <c r="F49" s="19"/>
      <c r="G49" s="19"/>
      <c r="H49" s="19"/>
      <c r="I49" s="21"/>
      <c r="J49" s="21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</row>
    <row r="50" spans="1:31" ht="13.15" x14ac:dyDescent="0.4">
      <c r="A50" s="19"/>
      <c r="B50" s="19"/>
      <c r="C50" s="19"/>
      <c r="D50" s="19"/>
      <c r="E50" s="19"/>
      <c r="F50" s="19"/>
      <c r="G50" s="19"/>
      <c r="H50" s="19"/>
      <c r="I50" s="21"/>
      <c r="J50" s="21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</row>
    <row r="51" spans="1:31" ht="13.15" x14ac:dyDescent="0.4">
      <c r="A51" s="19"/>
      <c r="B51" s="19"/>
      <c r="C51" s="19"/>
      <c r="D51" s="19"/>
      <c r="E51" s="19"/>
      <c r="F51" s="19"/>
      <c r="G51" s="19"/>
      <c r="H51" s="19"/>
      <c r="I51" s="21"/>
      <c r="J51" s="21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</row>
    <row r="52" spans="1:31" ht="13.15" x14ac:dyDescent="0.4">
      <c r="A52" s="19"/>
      <c r="B52" s="19"/>
      <c r="C52" s="19"/>
      <c r="D52" s="19"/>
      <c r="E52" s="19"/>
      <c r="F52" s="19"/>
      <c r="G52" s="19"/>
      <c r="H52" s="19"/>
      <c r="I52" s="21"/>
      <c r="J52" s="21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</row>
    <row r="53" spans="1:31" ht="13.15" x14ac:dyDescent="0.4">
      <c r="A53" s="19"/>
      <c r="B53" s="19"/>
      <c r="C53" s="19"/>
      <c r="D53" s="19"/>
      <c r="E53" s="19"/>
      <c r="F53" s="19"/>
      <c r="G53" s="19"/>
      <c r="H53" s="19"/>
      <c r="I53" s="21"/>
      <c r="J53" s="21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</row>
    <row r="54" spans="1:31" ht="13.15" x14ac:dyDescent="0.4">
      <c r="A54" s="19"/>
      <c r="B54" s="19"/>
      <c r="C54" s="19"/>
      <c r="D54" s="19"/>
      <c r="E54" s="19"/>
      <c r="F54" s="19"/>
      <c r="G54" s="19"/>
      <c r="H54" s="19"/>
      <c r="I54" s="21"/>
      <c r="J54" s="21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</row>
    <row r="55" spans="1:31" ht="13.15" x14ac:dyDescent="0.4">
      <c r="A55" s="19"/>
      <c r="B55" s="19"/>
      <c r="C55" s="19"/>
      <c r="D55" s="19"/>
      <c r="E55" s="19"/>
      <c r="F55" s="19"/>
      <c r="G55" s="19"/>
      <c r="H55" s="19"/>
      <c r="I55" s="21"/>
      <c r="J55" s="21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</row>
    <row r="56" spans="1:31" ht="13.15" x14ac:dyDescent="0.4">
      <c r="A56" s="19"/>
      <c r="B56" s="19"/>
      <c r="C56" s="19"/>
      <c r="D56" s="19"/>
      <c r="E56" s="19"/>
      <c r="F56" s="19"/>
      <c r="G56" s="19"/>
      <c r="H56" s="19"/>
      <c r="I56" s="21"/>
      <c r="J56" s="21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</row>
    <row r="57" spans="1:31" ht="13.15" x14ac:dyDescent="0.4">
      <c r="A57" s="19"/>
      <c r="B57" s="19"/>
      <c r="C57" s="19"/>
      <c r="D57" s="19"/>
      <c r="E57" s="19"/>
      <c r="F57" s="19"/>
      <c r="G57" s="19"/>
      <c r="H57" s="19"/>
      <c r="I57" s="21"/>
      <c r="J57" s="21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</row>
    <row r="58" spans="1:31" ht="13.15" x14ac:dyDescent="0.4">
      <c r="A58" s="19"/>
      <c r="B58" s="19"/>
      <c r="C58" s="19"/>
      <c r="D58" s="19"/>
      <c r="E58" s="19"/>
      <c r="F58" s="19"/>
      <c r="G58" s="19"/>
      <c r="H58" s="19"/>
      <c r="I58" s="21"/>
      <c r="J58" s="21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</row>
    <row r="59" spans="1:31" ht="13.15" x14ac:dyDescent="0.4">
      <c r="A59" s="19"/>
      <c r="B59" s="19"/>
      <c r="C59" s="19"/>
      <c r="D59" s="19"/>
      <c r="E59" s="19"/>
      <c r="F59" s="19"/>
      <c r="G59" s="19"/>
      <c r="H59" s="19"/>
      <c r="I59" s="21"/>
      <c r="J59" s="21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</row>
    <row r="60" spans="1:31" ht="13.15" x14ac:dyDescent="0.4">
      <c r="A60" s="19"/>
      <c r="B60" s="19"/>
      <c r="C60" s="19"/>
      <c r="D60" s="19"/>
      <c r="E60" s="19"/>
      <c r="F60" s="19"/>
      <c r="G60" s="19"/>
      <c r="H60" s="19"/>
      <c r="I60" s="21"/>
      <c r="J60" s="21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</row>
    <row r="61" spans="1:31" ht="13.15" x14ac:dyDescent="0.4">
      <c r="A61" s="19"/>
      <c r="B61" s="19"/>
      <c r="C61" s="19"/>
      <c r="D61" s="19"/>
      <c r="E61" s="19"/>
      <c r="F61" s="19"/>
      <c r="G61" s="19"/>
      <c r="H61" s="19"/>
      <c r="I61" s="21"/>
      <c r="J61" s="21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</row>
    <row r="62" spans="1:31" ht="13.15" x14ac:dyDescent="0.4">
      <c r="A62" s="19"/>
      <c r="B62" s="19"/>
      <c r="C62" s="19"/>
      <c r="D62" s="19"/>
      <c r="E62" s="19"/>
      <c r="F62" s="19"/>
      <c r="G62" s="19"/>
      <c r="H62" s="19"/>
      <c r="I62" s="21"/>
      <c r="J62" s="21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</row>
    <row r="63" spans="1:31" ht="13.15" x14ac:dyDescent="0.4">
      <c r="A63" s="19"/>
      <c r="B63" s="19"/>
      <c r="C63" s="19"/>
      <c r="D63" s="19"/>
      <c r="E63" s="19"/>
      <c r="F63" s="19"/>
      <c r="G63" s="19"/>
      <c r="H63" s="19"/>
      <c r="I63" s="21"/>
      <c r="J63" s="21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</row>
    <row r="64" spans="1:31" ht="13.15" x14ac:dyDescent="0.4">
      <c r="A64" s="19"/>
      <c r="B64" s="19"/>
      <c r="C64" s="19"/>
      <c r="D64" s="19"/>
      <c r="E64" s="19"/>
      <c r="F64" s="19"/>
      <c r="G64" s="19"/>
      <c r="H64" s="19"/>
      <c r="I64" s="21"/>
      <c r="J64" s="21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</row>
    <row r="65" spans="1:31" ht="13.15" x14ac:dyDescent="0.4">
      <c r="A65" s="19"/>
      <c r="B65" s="19"/>
      <c r="C65" s="19"/>
      <c r="D65" s="19"/>
      <c r="E65" s="19"/>
      <c r="F65" s="19"/>
      <c r="G65" s="19"/>
      <c r="H65" s="19"/>
      <c r="I65" s="21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</row>
    <row r="66" spans="1:31" ht="13.15" x14ac:dyDescent="0.4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</row>
    <row r="67" spans="1:31" ht="13.15" x14ac:dyDescent="0.4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</row>
    <row r="68" spans="1:31" ht="13.15" x14ac:dyDescent="0.4">
      <c r="A68" s="19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</row>
    <row r="69" spans="1:31" ht="13.15" x14ac:dyDescent="0.4">
      <c r="A69" s="19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</row>
    <row r="70" spans="1:31" ht="13.15" x14ac:dyDescent="0.4">
      <c r="A70" s="19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</row>
    <row r="71" spans="1:31" ht="13.15" x14ac:dyDescent="0.4">
      <c r="A71" s="19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</row>
    <row r="72" spans="1:31" ht="13.15" x14ac:dyDescent="0.4">
      <c r="A72" s="19"/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</row>
    <row r="73" spans="1:31" ht="13.15" x14ac:dyDescent="0.4">
      <c r="A73" s="19"/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</row>
    <row r="74" spans="1:31" ht="13.15" x14ac:dyDescent="0.4">
      <c r="A74" s="19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</row>
    <row r="75" spans="1:31" ht="13.15" x14ac:dyDescent="0.4">
      <c r="A75" s="19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</row>
    <row r="76" spans="1:31" ht="13.15" x14ac:dyDescent="0.4">
      <c r="A76" s="19"/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</row>
    <row r="77" spans="1:31" ht="13.15" x14ac:dyDescent="0.4">
      <c r="A77" s="19"/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</row>
    <row r="78" spans="1:31" ht="13.15" x14ac:dyDescent="0.4">
      <c r="A78" s="19"/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</row>
    <row r="79" spans="1:31" ht="13.15" x14ac:dyDescent="0.4">
      <c r="A79" s="19"/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</row>
    <row r="80" spans="1:31" ht="13.15" x14ac:dyDescent="0.4">
      <c r="A80" s="19"/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</row>
    <row r="81" spans="1:31" ht="13.15" x14ac:dyDescent="0.4">
      <c r="A81" s="19"/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</row>
    <row r="82" spans="1:31" ht="13.15" x14ac:dyDescent="0.4">
      <c r="A82" s="19"/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</row>
    <row r="83" spans="1:31" ht="13.15" x14ac:dyDescent="0.4">
      <c r="A83" s="19"/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</row>
    <row r="84" spans="1:31" ht="13.15" x14ac:dyDescent="0.4">
      <c r="A84" s="19"/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</row>
    <row r="85" spans="1:31" ht="13.15" x14ac:dyDescent="0.4">
      <c r="A85" s="19"/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</row>
    <row r="86" spans="1:31" ht="13.15" x14ac:dyDescent="0.4">
      <c r="A86" s="19"/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</row>
    <row r="87" spans="1:31" ht="13.15" x14ac:dyDescent="0.4">
      <c r="A87" s="19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</row>
    <row r="88" spans="1:31" ht="13.15" x14ac:dyDescent="0.4">
      <c r="A88" s="19"/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</row>
    <row r="89" spans="1:31" ht="13.15" x14ac:dyDescent="0.4">
      <c r="A89" s="19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</row>
    <row r="90" spans="1:31" ht="13.15" x14ac:dyDescent="0.4">
      <c r="A90" s="19"/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</row>
    <row r="91" spans="1:31" ht="13.15" x14ac:dyDescent="0.4">
      <c r="A91" s="19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</row>
    <row r="92" spans="1:31" ht="13.15" x14ac:dyDescent="0.4">
      <c r="A92" s="19"/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</row>
    <row r="93" spans="1:31" ht="13.15" x14ac:dyDescent="0.4">
      <c r="A93" s="19"/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</row>
    <row r="94" spans="1:31" ht="13.15" x14ac:dyDescent="0.4">
      <c r="A94" s="19"/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</row>
    <row r="95" spans="1:31" ht="13.15" x14ac:dyDescent="0.4">
      <c r="A95" s="19"/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</row>
    <row r="96" spans="1:31" ht="13.15" x14ac:dyDescent="0.4">
      <c r="A96" s="19"/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</row>
    <row r="97" spans="1:31" ht="13.15" x14ac:dyDescent="0.4">
      <c r="A97" s="19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</row>
    <row r="98" spans="1:31" ht="13.15" x14ac:dyDescent="0.4">
      <c r="A98" s="19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</row>
    <row r="99" spans="1:31" ht="13.15" x14ac:dyDescent="0.4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</row>
    <row r="100" spans="1:31" ht="13.15" x14ac:dyDescent="0.4">
      <c r="A100" s="19"/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</row>
    <row r="101" spans="1:31" ht="13.15" x14ac:dyDescent="0.4">
      <c r="A101" s="19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</row>
    <row r="102" spans="1:31" ht="13.15" x14ac:dyDescent="0.4">
      <c r="A102" s="19"/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</row>
    <row r="103" spans="1:31" ht="13.15" x14ac:dyDescent="0.4">
      <c r="A103" s="19"/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</row>
    <row r="104" spans="1:31" ht="13.15" x14ac:dyDescent="0.4">
      <c r="A104" s="19"/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</row>
    <row r="105" spans="1:31" ht="13.15" x14ac:dyDescent="0.4">
      <c r="A105" s="19"/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</row>
    <row r="106" spans="1:31" ht="13.15" x14ac:dyDescent="0.4">
      <c r="A106" s="19"/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</row>
    <row r="107" spans="1:31" ht="13.15" x14ac:dyDescent="0.4">
      <c r="A107" s="19"/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</row>
    <row r="108" spans="1:31" ht="13.15" x14ac:dyDescent="0.4">
      <c r="A108" s="19"/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</row>
    <row r="109" spans="1:31" ht="13.15" x14ac:dyDescent="0.4">
      <c r="A109" s="19"/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</row>
    <row r="110" spans="1:31" ht="13.15" x14ac:dyDescent="0.4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</row>
    <row r="111" spans="1:31" ht="13.15" x14ac:dyDescent="0.4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</row>
    <row r="112" spans="1:31" ht="13.15" x14ac:dyDescent="0.4">
      <c r="A112" s="19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</row>
    <row r="113" spans="1:31" ht="13.15" x14ac:dyDescent="0.4">
      <c r="A113" s="19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</row>
    <row r="114" spans="1:31" ht="13.15" x14ac:dyDescent="0.4">
      <c r="A114" s="19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</row>
    <row r="115" spans="1:31" ht="13.15" x14ac:dyDescent="0.4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</row>
    <row r="116" spans="1:31" ht="13.15" x14ac:dyDescent="0.4">
      <c r="A116" s="19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</row>
    <row r="117" spans="1:31" ht="13.15" x14ac:dyDescent="0.4">
      <c r="A117" s="19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</row>
    <row r="118" spans="1:31" ht="13.15" x14ac:dyDescent="0.4">
      <c r="A118" s="19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</row>
    <row r="119" spans="1:31" ht="13.15" x14ac:dyDescent="0.4">
      <c r="A119" s="19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</row>
    <row r="120" spans="1:31" ht="13.15" x14ac:dyDescent="0.4">
      <c r="A120" s="19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</row>
    <row r="121" spans="1:31" ht="13.15" x14ac:dyDescent="0.4">
      <c r="A121" s="19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</row>
    <row r="122" spans="1:31" ht="13.15" x14ac:dyDescent="0.4">
      <c r="A122" s="19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</row>
    <row r="123" spans="1:31" ht="13.15" x14ac:dyDescent="0.4">
      <c r="A123" s="19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</row>
    <row r="124" spans="1:31" ht="13.15" x14ac:dyDescent="0.4">
      <c r="A124" s="19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</row>
    <row r="125" spans="1:31" ht="13.15" x14ac:dyDescent="0.4">
      <c r="A125" s="19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</row>
    <row r="126" spans="1:31" ht="13.15" x14ac:dyDescent="0.4">
      <c r="A126" s="19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</row>
    <row r="127" spans="1:31" ht="13.15" x14ac:dyDescent="0.4">
      <c r="A127" s="19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</row>
    <row r="128" spans="1:31" ht="13.15" x14ac:dyDescent="0.4">
      <c r="A128" s="19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</row>
    <row r="129" spans="1:31" ht="13.15" x14ac:dyDescent="0.4">
      <c r="A129" s="19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</row>
    <row r="130" spans="1:31" ht="13.15" x14ac:dyDescent="0.4">
      <c r="A130" s="19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</row>
    <row r="131" spans="1:31" ht="13.15" x14ac:dyDescent="0.4">
      <c r="A131" s="19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</row>
    <row r="132" spans="1:31" ht="13.15" x14ac:dyDescent="0.4">
      <c r="A132" s="19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</row>
    <row r="133" spans="1:31" ht="13.15" x14ac:dyDescent="0.4">
      <c r="A133" s="19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</row>
    <row r="134" spans="1:31" ht="13.15" x14ac:dyDescent="0.4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</row>
    <row r="135" spans="1:31" ht="13.15" x14ac:dyDescent="0.4">
      <c r="A135" s="19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</row>
    <row r="136" spans="1:31" ht="13.15" x14ac:dyDescent="0.4">
      <c r="A136" s="19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</row>
    <row r="137" spans="1:31" ht="13.15" x14ac:dyDescent="0.4">
      <c r="A137" s="19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</row>
    <row r="138" spans="1:31" ht="13.15" x14ac:dyDescent="0.4">
      <c r="A138" s="19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</row>
    <row r="139" spans="1:31" ht="13.15" x14ac:dyDescent="0.4">
      <c r="A139" s="19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</row>
    <row r="140" spans="1:31" ht="13.15" x14ac:dyDescent="0.4">
      <c r="A140" s="19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</row>
    <row r="141" spans="1:31" ht="13.15" x14ac:dyDescent="0.4">
      <c r="A141" s="19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</row>
    <row r="142" spans="1:31" ht="13.15" x14ac:dyDescent="0.4">
      <c r="A142" s="19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</row>
    <row r="143" spans="1:31" ht="13.15" x14ac:dyDescent="0.4">
      <c r="A143" s="19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</row>
    <row r="144" spans="1:31" ht="13.15" x14ac:dyDescent="0.4">
      <c r="A144" s="19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</row>
    <row r="145" spans="1:31" ht="13.15" x14ac:dyDescent="0.4">
      <c r="A145" s="19"/>
      <c r="B145" s="19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19"/>
    </row>
    <row r="146" spans="1:31" ht="13.15" x14ac:dyDescent="0.4">
      <c r="A146" s="19"/>
      <c r="B146" s="19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  <c r="AE146" s="19"/>
    </row>
    <row r="147" spans="1:31" ht="13.15" x14ac:dyDescent="0.4">
      <c r="A147" s="19"/>
      <c r="B147" s="19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</row>
    <row r="148" spans="1:31" ht="13.15" x14ac:dyDescent="0.4">
      <c r="A148" s="19"/>
      <c r="B148" s="19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</row>
    <row r="149" spans="1:31" ht="13.15" x14ac:dyDescent="0.4">
      <c r="A149" s="19"/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19"/>
    </row>
    <row r="150" spans="1:31" ht="13.15" x14ac:dyDescent="0.4">
      <c r="A150" s="19"/>
      <c r="B150" s="19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  <c r="AE150" s="19"/>
    </row>
    <row r="151" spans="1:31" ht="13.15" x14ac:dyDescent="0.4">
      <c r="A151" s="19"/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  <c r="AE151" s="19"/>
    </row>
    <row r="152" spans="1:31" ht="13.15" x14ac:dyDescent="0.4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19"/>
    </row>
    <row r="153" spans="1:31" ht="13.15" x14ac:dyDescent="0.4">
      <c r="A153" s="19"/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  <c r="AE153" s="19"/>
    </row>
    <row r="154" spans="1:31" ht="13.15" x14ac:dyDescent="0.4">
      <c r="A154" s="19"/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/>
      <c r="AD154" s="19"/>
      <c r="AE154" s="19"/>
    </row>
    <row r="155" spans="1:31" ht="13.15" x14ac:dyDescent="0.4">
      <c r="A155" s="19"/>
      <c r="B155" s="19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</row>
    <row r="156" spans="1:31" ht="13.15" x14ac:dyDescent="0.4">
      <c r="A156" s="19"/>
      <c r="B156" s="19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  <c r="AD156" s="19"/>
      <c r="AE156" s="19"/>
    </row>
    <row r="157" spans="1:31" ht="13.15" x14ac:dyDescent="0.4">
      <c r="A157" s="19"/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  <c r="AE157" s="19"/>
    </row>
    <row r="158" spans="1:31" ht="13.15" x14ac:dyDescent="0.4">
      <c r="A158" s="19"/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19"/>
    </row>
    <row r="159" spans="1:31" ht="13.15" x14ac:dyDescent="0.4">
      <c r="A159" s="19"/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</row>
    <row r="160" spans="1:31" ht="13.15" x14ac:dyDescent="0.4">
      <c r="A160" s="19"/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  <c r="AC160" s="19"/>
      <c r="AD160" s="19"/>
      <c r="AE160" s="19"/>
    </row>
    <row r="161" spans="1:31" ht="13.15" x14ac:dyDescent="0.4">
      <c r="A161" s="19"/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  <c r="AC161" s="19"/>
      <c r="AD161" s="19"/>
      <c r="AE161" s="19"/>
    </row>
    <row r="162" spans="1:31" ht="13.15" x14ac:dyDescent="0.4">
      <c r="A162" s="19"/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  <c r="AC162" s="19"/>
      <c r="AD162" s="19"/>
      <c r="AE162" s="19"/>
    </row>
    <row r="163" spans="1:31" ht="13.15" x14ac:dyDescent="0.4">
      <c r="A163" s="19"/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  <c r="AC163" s="19"/>
      <c r="AD163" s="19"/>
      <c r="AE163" s="19"/>
    </row>
    <row r="164" spans="1:31" ht="13.15" x14ac:dyDescent="0.4">
      <c r="A164" s="19"/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  <c r="AC164" s="19"/>
      <c r="AD164" s="19"/>
      <c r="AE164" s="19"/>
    </row>
    <row r="165" spans="1:31" ht="13.15" x14ac:dyDescent="0.4">
      <c r="A165" s="19"/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19"/>
      <c r="AD165" s="19"/>
      <c r="AE165" s="19"/>
    </row>
    <row r="166" spans="1:31" ht="13.15" x14ac:dyDescent="0.4">
      <c r="A166" s="19"/>
      <c r="B166" s="19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  <c r="AC166" s="19"/>
      <c r="AD166" s="19"/>
      <c r="AE166" s="19"/>
    </row>
    <row r="167" spans="1:31" ht="13.15" x14ac:dyDescent="0.4">
      <c r="A167" s="19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</row>
    <row r="168" spans="1:31" ht="13.15" x14ac:dyDescent="0.4">
      <c r="A168" s="19"/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</row>
    <row r="169" spans="1:31" ht="13.15" x14ac:dyDescent="0.4">
      <c r="A169" s="19"/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  <c r="AE169" s="19"/>
    </row>
    <row r="170" spans="1:31" ht="13.15" x14ac:dyDescent="0.4">
      <c r="A170" s="19"/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</row>
    <row r="171" spans="1:31" ht="13.15" x14ac:dyDescent="0.4">
      <c r="A171" s="19"/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</row>
    <row r="172" spans="1:31" ht="13.15" x14ac:dyDescent="0.4">
      <c r="A172" s="19"/>
      <c r="B172" s="19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19"/>
    </row>
    <row r="173" spans="1:31" ht="13.15" x14ac:dyDescent="0.4">
      <c r="A173" s="19"/>
      <c r="B173" s="19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</row>
    <row r="174" spans="1:31" ht="13.15" x14ac:dyDescent="0.4">
      <c r="A174" s="19"/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</row>
    <row r="175" spans="1:31" ht="13.15" x14ac:dyDescent="0.4">
      <c r="A175" s="19"/>
      <c r="B175" s="19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</row>
    <row r="176" spans="1:31" ht="13.15" x14ac:dyDescent="0.4">
      <c r="A176" s="19"/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</row>
    <row r="177" spans="1:31" ht="13.15" x14ac:dyDescent="0.4">
      <c r="A177" s="19"/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  <c r="AE177" s="19"/>
    </row>
    <row r="178" spans="1:31" ht="13.15" x14ac:dyDescent="0.4">
      <c r="A178" s="19"/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</row>
    <row r="179" spans="1:31" ht="13.15" x14ac:dyDescent="0.4">
      <c r="A179" s="19"/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</row>
    <row r="180" spans="1:31" ht="13.15" x14ac:dyDescent="0.4">
      <c r="A180" s="19"/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  <c r="AE180" s="19"/>
    </row>
    <row r="181" spans="1:31" ht="13.15" x14ac:dyDescent="0.4">
      <c r="A181" s="19"/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</row>
    <row r="182" spans="1:31" ht="13.15" x14ac:dyDescent="0.4">
      <c r="A182" s="19"/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</row>
    <row r="183" spans="1:31" ht="13.15" x14ac:dyDescent="0.4">
      <c r="A183" s="19"/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</row>
    <row r="184" spans="1:31" ht="13.15" x14ac:dyDescent="0.4">
      <c r="A184" s="19"/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</row>
    <row r="185" spans="1:31" ht="13.15" x14ac:dyDescent="0.4">
      <c r="A185" s="19"/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</row>
    <row r="186" spans="1:31" ht="13.15" x14ac:dyDescent="0.4">
      <c r="A186" s="19"/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</row>
    <row r="187" spans="1:31" ht="13.15" x14ac:dyDescent="0.4">
      <c r="A187" s="19"/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</row>
    <row r="188" spans="1:31" ht="13.15" x14ac:dyDescent="0.4">
      <c r="A188" s="19"/>
      <c r="B188" s="19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</row>
    <row r="189" spans="1:31" ht="13.15" x14ac:dyDescent="0.4">
      <c r="A189" s="19"/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</row>
    <row r="190" spans="1:31" ht="13.15" x14ac:dyDescent="0.4">
      <c r="A190" s="19"/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</row>
    <row r="191" spans="1:31" ht="13.15" x14ac:dyDescent="0.4">
      <c r="A191" s="19"/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</row>
    <row r="192" spans="1:31" ht="13.15" x14ac:dyDescent="0.4">
      <c r="A192" s="19"/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</row>
    <row r="193" spans="1:31" ht="13.15" x14ac:dyDescent="0.4">
      <c r="A193" s="19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</row>
    <row r="194" spans="1:31" ht="13.15" x14ac:dyDescent="0.4">
      <c r="A194" s="19"/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</row>
    <row r="195" spans="1:31" ht="13.15" x14ac:dyDescent="0.4">
      <c r="A195" s="19"/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</row>
    <row r="196" spans="1:31" ht="13.15" x14ac:dyDescent="0.4">
      <c r="A196" s="19"/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</row>
    <row r="197" spans="1:31" ht="13.15" x14ac:dyDescent="0.4">
      <c r="A197" s="19"/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</row>
    <row r="198" spans="1:31" ht="13.15" x14ac:dyDescent="0.4">
      <c r="A198" s="19"/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</row>
    <row r="199" spans="1:31" ht="13.15" x14ac:dyDescent="0.4">
      <c r="A199" s="19"/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</row>
    <row r="200" spans="1:31" ht="13.15" x14ac:dyDescent="0.4">
      <c r="A200" s="19"/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</row>
    <row r="201" spans="1:31" ht="13.15" x14ac:dyDescent="0.4">
      <c r="A201" s="19"/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</row>
    <row r="202" spans="1:31" ht="13.15" x14ac:dyDescent="0.4">
      <c r="A202" s="19"/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</row>
    <row r="203" spans="1:31" ht="13.15" x14ac:dyDescent="0.4">
      <c r="A203" s="19"/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</row>
    <row r="204" spans="1:31" ht="13.15" x14ac:dyDescent="0.4">
      <c r="A204" s="19"/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</row>
    <row r="205" spans="1:31" ht="13.15" x14ac:dyDescent="0.4">
      <c r="A205" s="19"/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</row>
    <row r="206" spans="1:31" ht="13.15" x14ac:dyDescent="0.4">
      <c r="A206" s="19"/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</row>
    <row r="207" spans="1:31" ht="13.15" x14ac:dyDescent="0.4">
      <c r="A207" s="19"/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</row>
    <row r="208" spans="1:31" ht="13.15" x14ac:dyDescent="0.4">
      <c r="A208" s="19"/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</row>
    <row r="209" spans="1:31" ht="13.15" x14ac:dyDescent="0.4">
      <c r="A209" s="19"/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</row>
    <row r="210" spans="1:31" ht="13.15" x14ac:dyDescent="0.4">
      <c r="A210" s="19"/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</row>
    <row r="211" spans="1:31" ht="13.15" x14ac:dyDescent="0.4">
      <c r="A211" s="19"/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</row>
    <row r="212" spans="1:31" ht="13.15" x14ac:dyDescent="0.4">
      <c r="A212" s="19"/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</row>
    <row r="213" spans="1:31" ht="13.15" x14ac:dyDescent="0.4">
      <c r="A213" s="19"/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</row>
    <row r="214" spans="1:31" ht="13.15" x14ac:dyDescent="0.4">
      <c r="A214" s="19"/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</row>
    <row r="215" spans="1:31" ht="13.15" x14ac:dyDescent="0.4">
      <c r="A215" s="19"/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</row>
    <row r="216" spans="1:31" ht="13.15" x14ac:dyDescent="0.4">
      <c r="A216" s="19"/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</row>
    <row r="217" spans="1:31" ht="13.15" x14ac:dyDescent="0.4">
      <c r="A217" s="19"/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</row>
    <row r="218" spans="1:31" ht="13.15" x14ac:dyDescent="0.4">
      <c r="A218" s="19"/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</row>
    <row r="219" spans="1:31" ht="13.15" x14ac:dyDescent="0.4">
      <c r="A219" s="19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</row>
    <row r="220" spans="1:31" ht="13.15" x14ac:dyDescent="0.4">
      <c r="A220" s="19"/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</row>
    <row r="221" spans="1:31" ht="13.15" x14ac:dyDescent="0.4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</row>
    <row r="222" spans="1:31" ht="13.15" x14ac:dyDescent="0.4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</row>
    <row r="223" spans="1:31" ht="13.15" x14ac:dyDescent="0.4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</row>
    <row r="224" spans="1:31" ht="13.15" x14ac:dyDescent="0.4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</row>
    <row r="225" spans="1:31" ht="13.15" x14ac:dyDescent="0.4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</row>
    <row r="226" spans="1:31" ht="13.15" x14ac:dyDescent="0.4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</row>
    <row r="227" spans="1:31" ht="13.15" x14ac:dyDescent="0.4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</row>
    <row r="228" spans="1:31" ht="13.15" x14ac:dyDescent="0.4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</row>
    <row r="229" spans="1:31" ht="13.15" x14ac:dyDescent="0.4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  <c r="AE229" s="19"/>
    </row>
    <row r="230" spans="1:31" ht="13.15" x14ac:dyDescent="0.4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</row>
    <row r="231" spans="1:31" ht="13.15" x14ac:dyDescent="0.4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</row>
    <row r="232" spans="1:31" ht="13.15" x14ac:dyDescent="0.4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</row>
    <row r="233" spans="1:31" ht="13.15" x14ac:dyDescent="0.4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</row>
    <row r="234" spans="1:31" ht="13.15" x14ac:dyDescent="0.4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</row>
    <row r="235" spans="1:31" ht="13.15" x14ac:dyDescent="0.4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</row>
    <row r="236" spans="1:31" ht="13.15" x14ac:dyDescent="0.4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</row>
    <row r="237" spans="1:31" ht="13.15" x14ac:dyDescent="0.4">
      <c r="A237" s="19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</row>
    <row r="238" spans="1:31" ht="13.15" x14ac:dyDescent="0.4">
      <c r="A238" s="19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</row>
    <row r="239" spans="1:31" ht="13.15" x14ac:dyDescent="0.4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</row>
    <row r="240" spans="1:31" ht="13.15" x14ac:dyDescent="0.4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</row>
    <row r="241" spans="1:31" ht="13.15" x14ac:dyDescent="0.4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</row>
    <row r="242" spans="1:31" ht="13.15" x14ac:dyDescent="0.4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</row>
    <row r="243" spans="1:31" ht="13.15" x14ac:dyDescent="0.4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</row>
    <row r="244" spans="1:31" ht="13.15" x14ac:dyDescent="0.4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</row>
    <row r="245" spans="1:31" ht="13.15" x14ac:dyDescent="0.4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</row>
    <row r="246" spans="1:31" ht="13.15" x14ac:dyDescent="0.4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</row>
    <row r="247" spans="1:31" ht="13.15" x14ac:dyDescent="0.4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</row>
    <row r="248" spans="1:31" ht="13.15" x14ac:dyDescent="0.4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</row>
    <row r="249" spans="1:31" ht="13.15" x14ac:dyDescent="0.4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</row>
    <row r="250" spans="1:31" ht="13.15" x14ac:dyDescent="0.4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</row>
    <row r="251" spans="1:31" ht="13.15" x14ac:dyDescent="0.4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</row>
    <row r="252" spans="1:31" ht="13.15" x14ac:dyDescent="0.4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</row>
    <row r="253" spans="1:31" ht="13.15" x14ac:dyDescent="0.4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</row>
    <row r="254" spans="1:31" ht="13.15" x14ac:dyDescent="0.4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</row>
    <row r="255" spans="1:31" ht="13.15" x14ac:dyDescent="0.4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</row>
    <row r="256" spans="1:31" ht="13.15" x14ac:dyDescent="0.4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  <c r="AC256" s="19"/>
      <c r="AD256" s="19"/>
      <c r="AE256" s="19"/>
    </row>
    <row r="257" spans="1:31" ht="13.15" x14ac:dyDescent="0.4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9"/>
      <c r="AE257" s="19"/>
    </row>
    <row r="258" spans="1:31" ht="13.15" x14ac:dyDescent="0.4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</row>
    <row r="259" spans="1:31" ht="13.15" x14ac:dyDescent="0.4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  <c r="AC259" s="19"/>
      <c r="AD259" s="19"/>
      <c r="AE259" s="19"/>
    </row>
    <row r="260" spans="1:31" ht="13.15" x14ac:dyDescent="0.4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</row>
    <row r="261" spans="1:31" ht="13.15" x14ac:dyDescent="0.4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</row>
    <row r="262" spans="1:31" ht="13.15" x14ac:dyDescent="0.4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</row>
    <row r="263" spans="1:31" ht="13.15" x14ac:dyDescent="0.4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</row>
    <row r="264" spans="1:31" ht="13.15" x14ac:dyDescent="0.4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</row>
    <row r="265" spans="1:31" ht="13.15" x14ac:dyDescent="0.4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</row>
    <row r="266" spans="1:31" ht="13.15" x14ac:dyDescent="0.4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</row>
    <row r="267" spans="1:31" ht="13.15" x14ac:dyDescent="0.4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</row>
    <row r="268" spans="1:31" ht="13.15" x14ac:dyDescent="0.4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</row>
    <row r="269" spans="1:31" ht="13.15" x14ac:dyDescent="0.4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</row>
    <row r="270" spans="1:31" ht="13.15" x14ac:dyDescent="0.4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</row>
    <row r="271" spans="1:31" ht="13.15" x14ac:dyDescent="0.4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</row>
    <row r="272" spans="1:31" ht="13.15" x14ac:dyDescent="0.4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</row>
    <row r="273" spans="1:31" ht="13.15" x14ac:dyDescent="0.4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</row>
    <row r="274" spans="1:31" ht="13.15" x14ac:dyDescent="0.4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</row>
    <row r="275" spans="1:31" ht="13.15" x14ac:dyDescent="0.4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</row>
    <row r="276" spans="1:31" ht="13.15" x14ac:dyDescent="0.4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</row>
    <row r="277" spans="1:31" ht="13.15" x14ac:dyDescent="0.4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</row>
    <row r="278" spans="1:31" ht="13.15" x14ac:dyDescent="0.4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  <c r="AD278" s="19"/>
      <c r="AE278" s="19"/>
    </row>
    <row r="279" spans="1:31" ht="13.15" x14ac:dyDescent="0.4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</row>
    <row r="280" spans="1:31" ht="13.15" x14ac:dyDescent="0.4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</row>
    <row r="281" spans="1:31" ht="13.15" x14ac:dyDescent="0.4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</row>
    <row r="282" spans="1:31" ht="13.15" x14ac:dyDescent="0.4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</row>
    <row r="283" spans="1:31" ht="13.15" x14ac:dyDescent="0.4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</row>
    <row r="284" spans="1:31" ht="13.15" x14ac:dyDescent="0.4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E284" s="19"/>
    </row>
    <row r="285" spans="1:31" ht="13.15" x14ac:dyDescent="0.4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  <c r="AE285" s="19"/>
    </row>
    <row r="286" spans="1:31" ht="13.15" x14ac:dyDescent="0.4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</row>
    <row r="287" spans="1:31" ht="13.15" x14ac:dyDescent="0.4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  <c r="AD287" s="19"/>
      <c r="AE287" s="19"/>
    </row>
    <row r="288" spans="1:31" ht="13.15" x14ac:dyDescent="0.4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  <c r="AD288" s="19"/>
      <c r="AE288" s="19"/>
    </row>
    <row r="289" spans="1:31" ht="13.15" x14ac:dyDescent="0.4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</row>
    <row r="290" spans="1:31" ht="13.15" x14ac:dyDescent="0.4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</row>
    <row r="291" spans="1:31" ht="13.15" x14ac:dyDescent="0.4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  <c r="AD291" s="19"/>
      <c r="AE291" s="19"/>
    </row>
    <row r="292" spans="1:31" ht="13.15" x14ac:dyDescent="0.4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</row>
    <row r="293" spans="1:31" ht="13.15" x14ac:dyDescent="0.4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/>
      <c r="AE293" s="19"/>
    </row>
    <row r="294" spans="1:31" ht="13.15" x14ac:dyDescent="0.4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9"/>
      <c r="AE294" s="19"/>
    </row>
    <row r="295" spans="1:31" ht="13.15" x14ac:dyDescent="0.4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/>
      <c r="AE295" s="19"/>
    </row>
    <row r="296" spans="1:31" ht="13.15" x14ac:dyDescent="0.4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19"/>
      <c r="AE296" s="19"/>
    </row>
    <row r="297" spans="1:31" ht="13.15" x14ac:dyDescent="0.4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</row>
    <row r="298" spans="1:31" ht="13.15" x14ac:dyDescent="0.4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19"/>
      <c r="AD298" s="19"/>
      <c r="AE298" s="19"/>
    </row>
    <row r="299" spans="1:31" ht="13.15" x14ac:dyDescent="0.4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19"/>
      <c r="AE299" s="19"/>
    </row>
    <row r="300" spans="1:31" ht="13.15" x14ac:dyDescent="0.4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19"/>
      <c r="AD300" s="19"/>
      <c r="AE300" s="19"/>
    </row>
    <row r="301" spans="1:31" ht="13.15" x14ac:dyDescent="0.4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/>
      <c r="AE301" s="19"/>
    </row>
    <row r="302" spans="1:31" ht="13.15" x14ac:dyDescent="0.4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E302" s="19"/>
    </row>
    <row r="303" spans="1:31" ht="13.15" x14ac:dyDescent="0.4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  <c r="AC303" s="19"/>
      <c r="AD303" s="19"/>
      <c r="AE303" s="19"/>
    </row>
    <row r="304" spans="1:31" ht="13.15" x14ac:dyDescent="0.4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  <c r="AC304" s="19"/>
      <c r="AD304" s="19"/>
      <c r="AE304" s="19"/>
    </row>
    <row r="305" spans="1:31" ht="13.15" x14ac:dyDescent="0.4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  <c r="AC305" s="19"/>
      <c r="AD305" s="19"/>
      <c r="AE305" s="19"/>
    </row>
    <row r="306" spans="1:31" ht="13.15" x14ac:dyDescent="0.4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  <c r="AC306" s="19"/>
      <c r="AD306" s="19"/>
      <c r="AE306" s="19"/>
    </row>
    <row r="307" spans="1:31" ht="13.15" x14ac:dyDescent="0.4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  <c r="AC307" s="19"/>
      <c r="AD307" s="19"/>
      <c r="AE307" s="19"/>
    </row>
    <row r="308" spans="1:31" ht="13.15" x14ac:dyDescent="0.4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  <c r="AC308" s="19"/>
      <c r="AD308" s="19"/>
      <c r="AE308" s="19"/>
    </row>
    <row r="309" spans="1:31" ht="13.15" x14ac:dyDescent="0.4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  <c r="AC309" s="19"/>
      <c r="AD309" s="19"/>
      <c r="AE309" s="19"/>
    </row>
    <row r="310" spans="1:31" ht="13.15" x14ac:dyDescent="0.4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  <c r="AC310" s="19"/>
      <c r="AD310" s="19"/>
      <c r="AE310" s="19"/>
    </row>
    <row r="311" spans="1:31" ht="13.15" x14ac:dyDescent="0.4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  <c r="AC311" s="19"/>
      <c r="AD311" s="19"/>
      <c r="AE311" s="19"/>
    </row>
    <row r="312" spans="1:31" ht="13.15" x14ac:dyDescent="0.4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  <c r="AC312" s="19"/>
      <c r="AD312" s="19"/>
      <c r="AE312" s="19"/>
    </row>
    <row r="313" spans="1:31" ht="13.15" x14ac:dyDescent="0.4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  <c r="AC313" s="19"/>
      <c r="AD313" s="19"/>
      <c r="AE313" s="19"/>
    </row>
    <row r="314" spans="1:31" ht="13.15" x14ac:dyDescent="0.4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  <c r="AC314" s="19"/>
      <c r="AD314" s="19"/>
      <c r="AE314" s="19"/>
    </row>
    <row r="315" spans="1:31" ht="13.15" x14ac:dyDescent="0.4">
      <c r="A315" s="19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  <c r="AD315" s="19"/>
      <c r="AE315" s="19"/>
    </row>
    <row r="316" spans="1:31" ht="13.15" x14ac:dyDescent="0.4">
      <c r="A316" s="19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  <c r="AC316" s="19"/>
      <c r="AD316" s="19"/>
      <c r="AE316" s="19"/>
    </row>
    <row r="317" spans="1:31" ht="13.15" x14ac:dyDescent="0.4">
      <c r="A317" s="19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</row>
    <row r="318" spans="1:31" ht="13.15" x14ac:dyDescent="0.4">
      <c r="A318" s="19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  <c r="AC318" s="19"/>
      <c r="AD318" s="19"/>
      <c r="AE318" s="19"/>
    </row>
    <row r="319" spans="1:31" ht="13.15" x14ac:dyDescent="0.4">
      <c r="A319" s="19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  <c r="AC319" s="19"/>
      <c r="AD319" s="19"/>
      <c r="AE319" s="19"/>
    </row>
    <row r="320" spans="1:31" ht="13.15" x14ac:dyDescent="0.4">
      <c r="A320" s="19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  <c r="AC320" s="19"/>
      <c r="AD320" s="19"/>
      <c r="AE320" s="19"/>
    </row>
    <row r="321" spans="1:31" ht="13.15" x14ac:dyDescent="0.4">
      <c r="A321" s="19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  <c r="AC321" s="19"/>
      <c r="AD321" s="19"/>
      <c r="AE321" s="19"/>
    </row>
    <row r="322" spans="1:31" ht="13.15" x14ac:dyDescent="0.4">
      <c r="A322" s="19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  <c r="AC322" s="19"/>
      <c r="AD322" s="19"/>
      <c r="AE322" s="19"/>
    </row>
    <row r="323" spans="1:31" ht="13.15" x14ac:dyDescent="0.4">
      <c r="A323" s="19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  <c r="AC323" s="19"/>
      <c r="AD323" s="19"/>
      <c r="AE323" s="19"/>
    </row>
    <row r="324" spans="1:31" ht="13.15" x14ac:dyDescent="0.4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  <c r="AC324" s="19"/>
      <c r="AD324" s="19"/>
      <c r="AE324" s="19"/>
    </row>
    <row r="325" spans="1:31" ht="13.15" x14ac:dyDescent="0.4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  <c r="AC325" s="19"/>
      <c r="AD325" s="19"/>
      <c r="AE325" s="19"/>
    </row>
    <row r="326" spans="1:31" ht="13.15" x14ac:dyDescent="0.4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  <c r="AD326" s="19"/>
      <c r="AE326" s="19"/>
    </row>
    <row r="327" spans="1:31" ht="13.15" x14ac:dyDescent="0.4">
      <c r="A327" s="19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  <c r="AC327" s="19"/>
      <c r="AD327" s="19"/>
      <c r="AE327" s="19"/>
    </row>
    <row r="328" spans="1:31" ht="13.15" x14ac:dyDescent="0.4">
      <c r="A328" s="19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  <c r="AC328" s="19"/>
      <c r="AD328" s="19"/>
      <c r="AE328" s="19"/>
    </row>
    <row r="329" spans="1:31" ht="13.15" x14ac:dyDescent="0.4">
      <c r="A329" s="19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  <c r="AC329" s="19"/>
      <c r="AD329" s="19"/>
      <c r="AE329" s="19"/>
    </row>
    <row r="330" spans="1:31" ht="13.15" x14ac:dyDescent="0.4">
      <c r="A330" s="19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  <c r="AC330" s="19"/>
      <c r="AD330" s="19"/>
      <c r="AE330" s="19"/>
    </row>
    <row r="331" spans="1:31" ht="13.15" x14ac:dyDescent="0.4">
      <c r="A331" s="19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  <c r="AC331" s="19"/>
      <c r="AD331" s="19"/>
      <c r="AE331" s="19"/>
    </row>
    <row r="332" spans="1:31" ht="13.15" x14ac:dyDescent="0.4">
      <c r="A332" s="19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  <c r="AC332" s="19"/>
      <c r="AD332" s="19"/>
      <c r="AE332" s="19"/>
    </row>
    <row r="333" spans="1:31" ht="13.15" x14ac:dyDescent="0.4">
      <c r="A333" s="19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  <c r="AC333" s="19"/>
      <c r="AD333" s="19"/>
      <c r="AE333" s="19"/>
    </row>
    <row r="334" spans="1:31" ht="13.15" x14ac:dyDescent="0.4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  <c r="AC334" s="19"/>
      <c r="AD334" s="19"/>
      <c r="AE334" s="19"/>
    </row>
    <row r="335" spans="1:31" ht="13.15" x14ac:dyDescent="0.4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  <c r="AC335" s="19"/>
      <c r="AD335" s="19"/>
      <c r="AE335" s="19"/>
    </row>
    <row r="336" spans="1:31" ht="13.15" x14ac:dyDescent="0.4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  <c r="AC336" s="19"/>
      <c r="AD336" s="19"/>
      <c r="AE336" s="19"/>
    </row>
    <row r="337" spans="1:31" ht="13.15" x14ac:dyDescent="0.4">
      <c r="A337" s="19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  <c r="AC337" s="19"/>
      <c r="AD337" s="19"/>
      <c r="AE337" s="19"/>
    </row>
    <row r="338" spans="1:31" ht="13.15" x14ac:dyDescent="0.4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  <c r="AC338" s="19"/>
      <c r="AD338" s="19"/>
      <c r="AE338" s="19"/>
    </row>
    <row r="339" spans="1:31" ht="13.15" x14ac:dyDescent="0.4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  <c r="AC339" s="19"/>
      <c r="AD339" s="19"/>
      <c r="AE339" s="19"/>
    </row>
    <row r="340" spans="1:31" ht="13.15" x14ac:dyDescent="0.4">
      <c r="A340" s="19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  <c r="AC340" s="19"/>
      <c r="AD340" s="19"/>
      <c r="AE340" s="19"/>
    </row>
    <row r="341" spans="1:31" ht="13.15" x14ac:dyDescent="0.4">
      <c r="A341" s="19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  <c r="AC341" s="19"/>
      <c r="AD341" s="19"/>
      <c r="AE341" s="19"/>
    </row>
    <row r="342" spans="1:31" ht="13.15" x14ac:dyDescent="0.4">
      <c r="A342" s="19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  <c r="AC342" s="19"/>
      <c r="AD342" s="19"/>
      <c r="AE342" s="19"/>
    </row>
    <row r="343" spans="1:31" ht="13.15" x14ac:dyDescent="0.4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  <c r="AC343" s="19"/>
      <c r="AD343" s="19"/>
      <c r="AE343" s="19"/>
    </row>
    <row r="344" spans="1:31" ht="13.15" x14ac:dyDescent="0.4">
      <c r="A344" s="19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  <c r="AC344" s="19"/>
      <c r="AD344" s="19"/>
      <c r="AE344" s="19"/>
    </row>
    <row r="345" spans="1:31" ht="13.15" x14ac:dyDescent="0.4">
      <c r="A345" s="19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  <c r="AC345" s="19"/>
      <c r="AD345" s="19"/>
      <c r="AE345" s="19"/>
    </row>
    <row r="346" spans="1:31" ht="13.15" x14ac:dyDescent="0.4">
      <c r="A346" s="19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  <c r="AC346" s="19"/>
      <c r="AD346" s="19"/>
      <c r="AE346" s="19"/>
    </row>
    <row r="347" spans="1:31" ht="13.15" x14ac:dyDescent="0.4">
      <c r="A347" s="19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  <c r="AC347" s="19"/>
      <c r="AD347" s="19"/>
      <c r="AE347" s="19"/>
    </row>
    <row r="348" spans="1:31" ht="13.15" x14ac:dyDescent="0.4">
      <c r="A348" s="19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  <c r="AC348" s="19"/>
      <c r="AD348" s="19"/>
      <c r="AE348" s="19"/>
    </row>
    <row r="349" spans="1:31" ht="13.15" x14ac:dyDescent="0.4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  <c r="AC349" s="19"/>
      <c r="AD349" s="19"/>
      <c r="AE349" s="19"/>
    </row>
    <row r="350" spans="1:31" ht="13.15" x14ac:dyDescent="0.4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  <c r="AC350" s="19"/>
      <c r="AD350" s="19"/>
      <c r="AE350" s="19"/>
    </row>
    <row r="351" spans="1:31" ht="13.15" x14ac:dyDescent="0.4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  <c r="AC351" s="19"/>
      <c r="AD351" s="19"/>
      <c r="AE351" s="19"/>
    </row>
    <row r="352" spans="1:31" ht="13.15" x14ac:dyDescent="0.4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  <c r="AC352" s="19"/>
      <c r="AD352" s="19"/>
      <c r="AE352" s="19"/>
    </row>
    <row r="353" spans="1:31" ht="13.15" x14ac:dyDescent="0.4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  <c r="AC353" s="19"/>
      <c r="AD353" s="19"/>
      <c r="AE353" s="19"/>
    </row>
    <row r="354" spans="1:31" ht="13.15" x14ac:dyDescent="0.4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  <c r="AC354" s="19"/>
      <c r="AD354" s="19"/>
      <c r="AE354" s="19"/>
    </row>
    <row r="355" spans="1:31" ht="13.15" x14ac:dyDescent="0.4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  <c r="AC355" s="19"/>
      <c r="AD355" s="19"/>
      <c r="AE355" s="19"/>
    </row>
    <row r="356" spans="1:31" ht="13.15" x14ac:dyDescent="0.4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  <c r="AC356" s="19"/>
      <c r="AD356" s="19"/>
      <c r="AE356" s="19"/>
    </row>
    <row r="357" spans="1:31" ht="13.15" x14ac:dyDescent="0.4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  <c r="AC357" s="19"/>
      <c r="AD357" s="19"/>
      <c r="AE357" s="19"/>
    </row>
    <row r="358" spans="1:31" ht="13.15" x14ac:dyDescent="0.4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</row>
    <row r="359" spans="1:31" ht="13.15" x14ac:dyDescent="0.4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</row>
    <row r="360" spans="1:31" ht="13.15" x14ac:dyDescent="0.4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</row>
    <row r="361" spans="1:31" ht="13.15" x14ac:dyDescent="0.4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  <c r="AC361" s="19"/>
      <c r="AD361" s="19"/>
      <c r="AE361" s="19"/>
    </row>
    <row r="362" spans="1:31" ht="13.15" x14ac:dyDescent="0.4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  <c r="AC362" s="19"/>
      <c r="AD362" s="19"/>
      <c r="AE362" s="19"/>
    </row>
    <row r="363" spans="1:31" ht="13.15" x14ac:dyDescent="0.4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</row>
    <row r="364" spans="1:31" ht="13.15" x14ac:dyDescent="0.4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  <c r="AC364" s="19"/>
      <c r="AD364" s="19"/>
      <c r="AE364" s="19"/>
    </row>
    <row r="365" spans="1:31" ht="13.15" x14ac:dyDescent="0.4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  <c r="AC365" s="19"/>
      <c r="AD365" s="19"/>
      <c r="AE365" s="19"/>
    </row>
    <row r="366" spans="1:31" ht="13.15" x14ac:dyDescent="0.4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  <c r="AC366" s="19"/>
      <c r="AD366" s="19"/>
      <c r="AE366" s="19"/>
    </row>
    <row r="367" spans="1:31" ht="13.15" x14ac:dyDescent="0.4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  <c r="AC367" s="19"/>
      <c r="AD367" s="19"/>
      <c r="AE367" s="19"/>
    </row>
    <row r="368" spans="1:31" ht="13.15" x14ac:dyDescent="0.4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  <c r="AC368" s="19"/>
      <c r="AD368" s="19"/>
      <c r="AE368" s="19"/>
    </row>
    <row r="369" spans="1:31" ht="13.15" x14ac:dyDescent="0.4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  <c r="AC369" s="19"/>
      <c r="AD369" s="19"/>
      <c r="AE369" s="19"/>
    </row>
    <row r="370" spans="1:31" ht="13.15" x14ac:dyDescent="0.4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  <c r="AC370" s="19"/>
      <c r="AD370" s="19"/>
      <c r="AE370" s="19"/>
    </row>
    <row r="371" spans="1:31" ht="13.15" x14ac:dyDescent="0.4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</row>
    <row r="372" spans="1:31" ht="13.15" x14ac:dyDescent="0.4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  <c r="AC372" s="19"/>
      <c r="AD372" s="19"/>
      <c r="AE372" s="19"/>
    </row>
    <row r="373" spans="1:31" ht="13.15" x14ac:dyDescent="0.4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  <c r="AC373" s="19"/>
      <c r="AD373" s="19"/>
      <c r="AE373" s="19"/>
    </row>
    <row r="374" spans="1:31" ht="13.15" x14ac:dyDescent="0.4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  <c r="AC374" s="19"/>
      <c r="AD374" s="19"/>
      <c r="AE374" s="19"/>
    </row>
    <row r="375" spans="1:31" ht="13.15" x14ac:dyDescent="0.4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  <c r="AC375" s="19"/>
      <c r="AD375" s="19"/>
      <c r="AE375" s="19"/>
    </row>
    <row r="376" spans="1:31" ht="13.15" x14ac:dyDescent="0.4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  <c r="AC376" s="19"/>
      <c r="AD376" s="19"/>
      <c r="AE376" s="19"/>
    </row>
    <row r="377" spans="1:31" ht="13.15" x14ac:dyDescent="0.4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  <c r="AC377" s="19"/>
      <c r="AD377" s="19"/>
      <c r="AE377" s="19"/>
    </row>
    <row r="378" spans="1:31" ht="13.15" x14ac:dyDescent="0.4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  <c r="AC378" s="19"/>
      <c r="AD378" s="19"/>
      <c r="AE378" s="19"/>
    </row>
    <row r="379" spans="1:31" ht="13.15" x14ac:dyDescent="0.4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  <c r="AC379" s="19"/>
      <c r="AD379" s="19"/>
      <c r="AE379" s="19"/>
    </row>
    <row r="380" spans="1:31" ht="13.15" x14ac:dyDescent="0.4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  <c r="AC380" s="19"/>
      <c r="AD380" s="19"/>
      <c r="AE380" s="19"/>
    </row>
    <row r="381" spans="1:31" ht="13.15" x14ac:dyDescent="0.4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E381" s="19"/>
    </row>
    <row r="382" spans="1:31" ht="13.15" x14ac:dyDescent="0.4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  <c r="AC382" s="19"/>
      <c r="AD382" s="19"/>
      <c r="AE382" s="19"/>
    </row>
    <row r="383" spans="1:31" ht="13.15" x14ac:dyDescent="0.4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  <c r="AC383" s="19"/>
      <c r="AD383" s="19"/>
      <c r="AE383" s="19"/>
    </row>
    <row r="384" spans="1:31" ht="13.15" x14ac:dyDescent="0.4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  <c r="AC384" s="19"/>
      <c r="AD384" s="19"/>
      <c r="AE384" s="19"/>
    </row>
    <row r="385" spans="1:31" ht="13.15" x14ac:dyDescent="0.4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  <c r="AE385" s="19"/>
    </row>
    <row r="386" spans="1:31" ht="13.15" x14ac:dyDescent="0.4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9"/>
      <c r="AE386" s="19"/>
    </row>
    <row r="387" spans="1:31" ht="13.15" x14ac:dyDescent="0.4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  <c r="AE387" s="19"/>
    </row>
    <row r="388" spans="1:31" ht="13.15" x14ac:dyDescent="0.4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  <c r="AC388" s="19"/>
      <c r="AD388" s="19"/>
      <c r="AE388" s="19"/>
    </row>
    <row r="389" spans="1:31" ht="13.15" x14ac:dyDescent="0.4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  <c r="AC389" s="19"/>
      <c r="AD389" s="19"/>
      <c r="AE389" s="19"/>
    </row>
    <row r="390" spans="1:31" ht="13.15" x14ac:dyDescent="0.4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  <c r="AC390" s="19"/>
      <c r="AD390" s="19"/>
      <c r="AE390" s="19"/>
    </row>
    <row r="391" spans="1:31" ht="13.15" x14ac:dyDescent="0.4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  <c r="AC391" s="19"/>
      <c r="AD391" s="19"/>
      <c r="AE391" s="19"/>
    </row>
    <row r="392" spans="1:31" ht="13.15" x14ac:dyDescent="0.4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E392" s="19"/>
    </row>
    <row r="393" spans="1:31" ht="13.15" x14ac:dyDescent="0.4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/>
      <c r="AE393" s="19"/>
    </row>
    <row r="394" spans="1:31" ht="13.15" x14ac:dyDescent="0.4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</row>
    <row r="395" spans="1:31" ht="13.15" x14ac:dyDescent="0.4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19"/>
      <c r="AD395" s="19"/>
      <c r="AE395" s="19"/>
    </row>
    <row r="396" spans="1:31" ht="13.15" x14ac:dyDescent="0.4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/>
      <c r="AD396" s="19"/>
      <c r="AE396" s="19"/>
    </row>
    <row r="397" spans="1:31" ht="13.15" x14ac:dyDescent="0.4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  <c r="AC397" s="19"/>
      <c r="AD397" s="19"/>
      <c r="AE397" s="19"/>
    </row>
    <row r="398" spans="1:31" ht="13.15" x14ac:dyDescent="0.4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  <c r="AC398" s="19"/>
      <c r="AD398" s="19"/>
      <c r="AE398" s="19"/>
    </row>
    <row r="399" spans="1:31" ht="13.15" x14ac:dyDescent="0.4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  <c r="AC399" s="19"/>
      <c r="AD399" s="19"/>
      <c r="AE399" s="19"/>
    </row>
    <row r="400" spans="1:31" ht="13.15" x14ac:dyDescent="0.4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  <c r="AC400" s="19"/>
      <c r="AD400" s="19"/>
      <c r="AE400" s="19"/>
    </row>
    <row r="401" spans="1:31" ht="13.15" x14ac:dyDescent="0.4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  <c r="AC401" s="19"/>
      <c r="AD401" s="19"/>
      <c r="AE401" s="19"/>
    </row>
    <row r="402" spans="1:31" ht="13.15" x14ac:dyDescent="0.4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  <c r="AC402" s="19"/>
      <c r="AD402" s="19"/>
      <c r="AE402" s="19"/>
    </row>
    <row r="403" spans="1:31" ht="13.15" x14ac:dyDescent="0.4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/>
      <c r="AD403" s="19"/>
      <c r="AE403" s="19"/>
    </row>
    <row r="404" spans="1:31" ht="13.15" x14ac:dyDescent="0.4">
      <c r="A404" s="19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  <c r="AC404" s="19"/>
      <c r="AD404" s="19"/>
      <c r="AE404" s="19"/>
    </row>
    <row r="405" spans="1:31" ht="13.15" x14ac:dyDescent="0.4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  <c r="AC405" s="19"/>
      <c r="AD405" s="19"/>
      <c r="AE405" s="19"/>
    </row>
    <row r="406" spans="1:31" ht="13.15" x14ac:dyDescent="0.4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  <c r="AC406" s="19"/>
      <c r="AD406" s="19"/>
      <c r="AE406" s="19"/>
    </row>
    <row r="407" spans="1:31" ht="13.15" x14ac:dyDescent="0.4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  <c r="AC407" s="19"/>
      <c r="AD407" s="19"/>
      <c r="AE407" s="19"/>
    </row>
    <row r="408" spans="1:31" ht="13.15" x14ac:dyDescent="0.4">
      <c r="A408" s="19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  <c r="AC408" s="19"/>
      <c r="AD408" s="19"/>
      <c r="AE408" s="19"/>
    </row>
    <row r="409" spans="1:31" ht="13.15" x14ac:dyDescent="0.4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  <c r="AC409" s="19"/>
      <c r="AD409" s="19"/>
      <c r="AE409" s="19"/>
    </row>
    <row r="410" spans="1:31" ht="13.15" x14ac:dyDescent="0.4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  <c r="AC410" s="19"/>
      <c r="AD410" s="19"/>
      <c r="AE410" s="19"/>
    </row>
    <row r="411" spans="1:31" ht="13.15" x14ac:dyDescent="0.4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  <c r="AC411" s="19"/>
      <c r="AD411" s="19"/>
      <c r="AE411" s="19"/>
    </row>
    <row r="412" spans="1:31" ht="13.15" x14ac:dyDescent="0.4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  <c r="AC412" s="19"/>
      <c r="AD412" s="19"/>
      <c r="AE412" s="19"/>
    </row>
    <row r="413" spans="1:31" ht="13.15" x14ac:dyDescent="0.4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  <c r="AC413" s="19"/>
      <c r="AD413" s="19"/>
      <c r="AE413" s="19"/>
    </row>
    <row r="414" spans="1:31" ht="13.15" x14ac:dyDescent="0.4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  <c r="AC414" s="19"/>
      <c r="AD414" s="19"/>
      <c r="AE414" s="19"/>
    </row>
    <row r="415" spans="1:31" ht="13.15" x14ac:dyDescent="0.4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  <c r="AC415" s="19"/>
      <c r="AD415" s="19"/>
      <c r="AE415" s="19"/>
    </row>
    <row r="416" spans="1:31" ht="13.15" x14ac:dyDescent="0.4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  <c r="AC416" s="19"/>
      <c r="AD416" s="19"/>
      <c r="AE416" s="19"/>
    </row>
    <row r="417" spans="1:31" ht="13.15" x14ac:dyDescent="0.4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  <c r="AC417" s="19"/>
      <c r="AD417" s="19"/>
      <c r="AE417" s="19"/>
    </row>
    <row r="418" spans="1:31" ht="13.15" x14ac:dyDescent="0.4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  <c r="AC418" s="19"/>
      <c r="AD418" s="19"/>
      <c r="AE418" s="19"/>
    </row>
    <row r="419" spans="1:31" ht="13.15" x14ac:dyDescent="0.4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  <c r="AC419" s="19"/>
      <c r="AD419" s="19"/>
      <c r="AE419" s="19"/>
    </row>
    <row r="420" spans="1:31" ht="13.15" x14ac:dyDescent="0.4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  <c r="AC420" s="19"/>
      <c r="AD420" s="19"/>
      <c r="AE420" s="19"/>
    </row>
    <row r="421" spans="1:31" ht="13.15" x14ac:dyDescent="0.4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  <c r="AC421" s="19"/>
      <c r="AD421" s="19"/>
      <c r="AE421" s="19"/>
    </row>
    <row r="422" spans="1:31" ht="13.15" x14ac:dyDescent="0.4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  <c r="AC422" s="19"/>
      <c r="AD422" s="19"/>
      <c r="AE422" s="19"/>
    </row>
    <row r="423" spans="1:31" ht="13.15" x14ac:dyDescent="0.4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  <c r="AC423" s="19"/>
      <c r="AD423" s="19"/>
      <c r="AE423" s="19"/>
    </row>
    <row r="424" spans="1:31" ht="13.15" x14ac:dyDescent="0.4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  <c r="AC424" s="19"/>
      <c r="AD424" s="19"/>
      <c r="AE424" s="19"/>
    </row>
    <row r="425" spans="1:31" ht="13.15" x14ac:dyDescent="0.4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  <c r="AB425" s="19"/>
      <c r="AC425" s="19"/>
      <c r="AD425" s="19"/>
      <c r="AE425" s="19"/>
    </row>
    <row r="426" spans="1:31" ht="13.15" x14ac:dyDescent="0.4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  <c r="AB426" s="19"/>
      <c r="AC426" s="19"/>
      <c r="AD426" s="19"/>
      <c r="AE426" s="19"/>
    </row>
    <row r="427" spans="1:31" ht="13.15" x14ac:dyDescent="0.4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/>
      <c r="AC427" s="19"/>
      <c r="AD427" s="19"/>
      <c r="AE427" s="19"/>
    </row>
    <row r="428" spans="1:31" ht="13.15" x14ac:dyDescent="0.4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  <c r="AC428" s="19"/>
      <c r="AD428" s="19"/>
      <c r="AE428" s="19"/>
    </row>
    <row r="429" spans="1:31" ht="13.15" x14ac:dyDescent="0.4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  <c r="AC429" s="19"/>
      <c r="AD429" s="19"/>
      <c r="AE429" s="19"/>
    </row>
    <row r="430" spans="1:31" ht="13.15" x14ac:dyDescent="0.4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  <c r="AC430" s="19"/>
      <c r="AD430" s="19"/>
      <c r="AE430" s="19"/>
    </row>
    <row r="431" spans="1:31" ht="13.15" x14ac:dyDescent="0.4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  <c r="AC431" s="19"/>
      <c r="AD431" s="19"/>
      <c r="AE431" s="19"/>
    </row>
    <row r="432" spans="1:31" ht="13.15" x14ac:dyDescent="0.4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  <c r="AB432" s="19"/>
      <c r="AC432" s="19"/>
      <c r="AD432" s="19"/>
      <c r="AE432" s="19"/>
    </row>
    <row r="433" spans="1:31" ht="13.15" x14ac:dyDescent="0.4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  <c r="AC433" s="19"/>
      <c r="AD433" s="19"/>
      <c r="AE433" s="19"/>
    </row>
    <row r="434" spans="1:31" ht="13.15" x14ac:dyDescent="0.4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/>
      <c r="AC434" s="19"/>
      <c r="AD434" s="19"/>
      <c r="AE434" s="19"/>
    </row>
    <row r="435" spans="1:31" ht="13.15" x14ac:dyDescent="0.4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  <c r="AC435" s="19"/>
      <c r="AD435" s="19"/>
      <c r="AE435" s="19"/>
    </row>
    <row r="436" spans="1:31" ht="13.15" x14ac:dyDescent="0.4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  <c r="AC436" s="19"/>
      <c r="AD436" s="19"/>
      <c r="AE436" s="19"/>
    </row>
    <row r="437" spans="1:31" ht="13.15" x14ac:dyDescent="0.4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  <c r="AC437" s="19"/>
      <c r="AD437" s="19"/>
      <c r="AE437" s="19"/>
    </row>
    <row r="438" spans="1:31" ht="13.15" x14ac:dyDescent="0.4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  <c r="AC438" s="19"/>
      <c r="AD438" s="19"/>
      <c r="AE438" s="19"/>
    </row>
    <row r="439" spans="1:31" ht="13.15" x14ac:dyDescent="0.4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  <c r="AC439" s="19"/>
      <c r="AD439" s="19"/>
      <c r="AE439" s="19"/>
    </row>
    <row r="440" spans="1:31" ht="13.15" x14ac:dyDescent="0.4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  <c r="AC440" s="19"/>
      <c r="AD440" s="19"/>
      <c r="AE440" s="19"/>
    </row>
    <row r="441" spans="1:31" ht="13.15" x14ac:dyDescent="0.4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  <c r="AC441" s="19"/>
      <c r="AD441" s="19"/>
      <c r="AE441" s="19"/>
    </row>
    <row r="442" spans="1:31" ht="13.15" x14ac:dyDescent="0.4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  <c r="AC442" s="19"/>
      <c r="AD442" s="19"/>
      <c r="AE442" s="19"/>
    </row>
    <row r="443" spans="1:31" ht="13.15" x14ac:dyDescent="0.4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  <c r="AC443" s="19"/>
      <c r="AD443" s="19"/>
      <c r="AE443" s="19"/>
    </row>
    <row r="444" spans="1:31" ht="13.15" x14ac:dyDescent="0.4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  <c r="AC444" s="19"/>
      <c r="AD444" s="19"/>
      <c r="AE444" s="19"/>
    </row>
    <row r="445" spans="1:31" ht="13.15" x14ac:dyDescent="0.4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  <c r="AC445" s="19"/>
      <c r="AD445" s="19"/>
      <c r="AE445" s="19"/>
    </row>
    <row r="446" spans="1:31" ht="13.15" x14ac:dyDescent="0.4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  <c r="AB446" s="19"/>
      <c r="AC446" s="19"/>
      <c r="AD446" s="19"/>
      <c r="AE446" s="19"/>
    </row>
    <row r="447" spans="1:31" ht="13.15" x14ac:dyDescent="0.4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  <c r="AC447" s="19"/>
      <c r="AD447" s="19"/>
      <c r="AE447" s="19"/>
    </row>
    <row r="448" spans="1:31" ht="13.15" x14ac:dyDescent="0.4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  <c r="AC448" s="19"/>
      <c r="AD448" s="19"/>
      <c r="AE448" s="19"/>
    </row>
    <row r="449" spans="1:31" ht="13.15" x14ac:dyDescent="0.4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  <c r="AC449" s="19"/>
      <c r="AD449" s="19"/>
      <c r="AE449" s="19"/>
    </row>
    <row r="450" spans="1:31" ht="13.15" x14ac:dyDescent="0.4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/>
      <c r="AC450" s="19"/>
      <c r="AD450" s="19"/>
      <c r="AE450" s="19"/>
    </row>
    <row r="451" spans="1:31" ht="13.15" x14ac:dyDescent="0.4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  <c r="AB451" s="19"/>
      <c r="AC451" s="19"/>
      <c r="AD451" s="19"/>
      <c r="AE451" s="19"/>
    </row>
    <row r="452" spans="1:31" ht="13.15" x14ac:dyDescent="0.4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  <c r="AB452" s="19"/>
      <c r="AC452" s="19"/>
      <c r="AD452" s="19"/>
      <c r="AE452" s="19"/>
    </row>
    <row r="453" spans="1:31" ht="13.15" x14ac:dyDescent="0.4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  <c r="AB453" s="19"/>
      <c r="AC453" s="19"/>
      <c r="AD453" s="19"/>
      <c r="AE453" s="19"/>
    </row>
    <row r="454" spans="1:31" ht="13.15" x14ac:dyDescent="0.4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  <c r="AB454" s="19"/>
      <c r="AC454" s="19"/>
      <c r="AD454" s="19"/>
      <c r="AE454" s="19"/>
    </row>
    <row r="455" spans="1:31" ht="13.15" x14ac:dyDescent="0.4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  <c r="AB455" s="19"/>
      <c r="AC455" s="19"/>
      <c r="AD455" s="19"/>
      <c r="AE455" s="19"/>
    </row>
    <row r="456" spans="1:31" ht="13.15" x14ac:dyDescent="0.4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  <c r="AC456" s="19"/>
      <c r="AD456" s="19"/>
      <c r="AE456" s="19"/>
    </row>
    <row r="457" spans="1:31" ht="13.15" x14ac:dyDescent="0.4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  <c r="AA457" s="19"/>
      <c r="AB457" s="19"/>
      <c r="AC457" s="19"/>
      <c r="AD457" s="19"/>
      <c r="AE457" s="19"/>
    </row>
    <row r="458" spans="1:31" ht="13.15" x14ac:dyDescent="0.4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  <c r="AA458" s="19"/>
      <c r="AB458" s="19"/>
      <c r="AC458" s="19"/>
      <c r="AD458" s="19"/>
      <c r="AE458" s="19"/>
    </row>
    <row r="459" spans="1:31" ht="13.15" x14ac:dyDescent="0.4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  <c r="AB459" s="19"/>
      <c r="AC459" s="19"/>
      <c r="AD459" s="19"/>
      <c r="AE459" s="19"/>
    </row>
    <row r="460" spans="1:31" ht="13.15" x14ac:dyDescent="0.4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  <c r="AB460" s="19"/>
      <c r="AC460" s="19"/>
      <c r="AD460" s="19"/>
      <c r="AE460" s="19"/>
    </row>
    <row r="461" spans="1:31" ht="13.15" x14ac:dyDescent="0.4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  <c r="AB461" s="19"/>
      <c r="AC461" s="19"/>
      <c r="AD461" s="19"/>
      <c r="AE461" s="19"/>
    </row>
    <row r="462" spans="1:31" ht="13.15" x14ac:dyDescent="0.4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  <c r="AC462" s="19"/>
      <c r="AD462" s="19"/>
      <c r="AE462" s="19"/>
    </row>
    <row r="463" spans="1:31" ht="13.15" x14ac:dyDescent="0.4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  <c r="AB463" s="19"/>
      <c r="AC463" s="19"/>
      <c r="AD463" s="19"/>
      <c r="AE463" s="19"/>
    </row>
    <row r="464" spans="1:31" ht="13.15" x14ac:dyDescent="0.4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  <c r="AC464" s="19"/>
      <c r="AD464" s="19"/>
      <c r="AE464" s="19"/>
    </row>
    <row r="465" spans="1:31" ht="13.15" x14ac:dyDescent="0.4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/>
      <c r="AC465" s="19"/>
      <c r="AD465" s="19"/>
      <c r="AE465" s="19"/>
    </row>
    <row r="466" spans="1:31" ht="13.15" x14ac:dyDescent="0.4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  <c r="AB466" s="19"/>
      <c r="AC466" s="19"/>
      <c r="AD466" s="19"/>
      <c r="AE466" s="19"/>
    </row>
    <row r="467" spans="1:31" ht="13.15" x14ac:dyDescent="0.4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  <c r="AC467" s="19"/>
      <c r="AD467" s="19"/>
      <c r="AE467" s="19"/>
    </row>
    <row r="468" spans="1:31" ht="13.15" x14ac:dyDescent="0.4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  <c r="AB468" s="19"/>
      <c r="AC468" s="19"/>
      <c r="AD468" s="19"/>
      <c r="AE468" s="19"/>
    </row>
    <row r="469" spans="1:31" ht="13.15" x14ac:dyDescent="0.4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  <c r="AB469" s="19"/>
      <c r="AC469" s="19"/>
      <c r="AD469" s="19"/>
      <c r="AE469" s="19"/>
    </row>
    <row r="470" spans="1:31" ht="13.15" x14ac:dyDescent="0.4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  <c r="AB470" s="19"/>
      <c r="AC470" s="19"/>
      <c r="AD470" s="19"/>
      <c r="AE470" s="19"/>
    </row>
    <row r="471" spans="1:31" ht="13.15" x14ac:dyDescent="0.4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  <c r="AC471" s="19"/>
      <c r="AD471" s="19"/>
      <c r="AE471" s="19"/>
    </row>
    <row r="472" spans="1:31" ht="13.15" x14ac:dyDescent="0.4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  <c r="AB472" s="19"/>
      <c r="AC472" s="19"/>
      <c r="AD472" s="19"/>
      <c r="AE472" s="19"/>
    </row>
    <row r="473" spans="1:31" ht="13.15" x14ac:dyDescent="0.4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  <c r="AC473" s="19"/>
      <c r="AD473" s="19"/>
      <c r="AE473" s="19"/>
    </row>
    <row r="474" spans="1:31" ht="13.15" x14ac:dyDescent="0.4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/>
      <c r="AC474" s="19"/>
      <c r="AD474" s="19"/>
      <c r="AE474" s="19"/>
    </row>
    <row r="475" spans="1:31" ht="13.15" x14ac:dyDescent="0.4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  <c r="AC475" s="19"/>
      <c r="AD475" s="19"/>
      <c r="AE475" s="19"/>
    </row>
    <row r="476" spans="1:31" ht="13.15" x14ac:dyDescent="0.4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/>
      <c r="AC476" s="19"/>
      <c r="AD476" s="19"/>
      <c r="AE476" s="19"/>
    </row>
    <row r="477" spans="1:31" ht="13.15" x14ac:dyDescent="0.4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  <c r="AC477" s="19"/>
      <c r="AD477" s="19"/>
      <c r="AE477" s="19"/>
    </row>
    <row r="478" spans="1:31" ht="13.15" x14ac:dyDescent="0.4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  <c r="AC478" s="19"/>
      <c r="AD478" s="19"/>
      <c r="AE478" s="19"/>
    </row>
    <row r="479" spans="1:31" ht="13.15" x14ac:dyDescent="0.4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  <c r="AC479" s="19"/>
      <c r="AD479" s="19"/>
      <c r="AE479" s="19"/>
    </row>
    <row r="480" spans="1:31" ht="13.15" x14ac:dyDescent="0.4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  <c r="AC480" s="19"/>
      <c r="AD480" s="19"/>
      <c r="AE480" s="19"/>
    </row>
    <row r="481" spans="1:31" ht="13.15" x14ac:dyDescent="0.4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  <c r="AB481" s="19"/>
      <c r="AC481" s="19"/>
      <c r="AD481" s="19"/>
      <c r="AE481" s="19"/>
    </row>
    <row r="482" spans="1:31" ht="13.15" x14ac:dyDescent="0.4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  <c r="AC482" s="19"/>
      <c r="AD482" s="19"/>
      <c r="AE482" s="19"/>
    </row>
    <row r="483" spans="1:31" ht="13.15" x14ac:dyDescent="0.4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19"/>
      <c r="AC483" s="19"/>
      <c r="AD483" s="19"/>
      <c r="AE483" s="19"/>
    </row>
    <row r="484" spans="1:31" ht="13.15" x14ac:dyDescent="0.4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  <c r="AB484" s="19"/>
      <c r="AC484" s="19"/>
      <c r="AD484" s="19"/>
      <c r="AE484" s="19"/>
    </row>
    <row r="485" spans="1:31" ht="13.15" x14ac:dyDescent="0.4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  <c r="AA485" s="19"/>
      <c r="AB485" s="19"/>
      <c r="AC485" s="19"/>
      <c r="AD485" s="19"/>
      <c r="AE485" s="19"/>
    </row>
    <row r="486" spans="1:31" ht="13.15" x14ac:dyDescent="0.4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  <c r="AB486" s="19"/>
      <c r="AC486" s="19"/>
      <c r="AD486" s="19"/>
      <c r="AE486" s="19"/>
    </row>
    <row r="487" spans="1:31" ht="13.15" x14ac:dyDescent="0.4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  <c r="AA487" s="19"/>
      <c r="AB487" s="19"/>
      <c r="AC487" s="19"/>
      <c r="AD487" s="19"/>
      <c r="AE487" s="19"/>
    </row>
    <row r="488" spans="1:31" ht="13.15" x14ac:dyDescent="0.4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  <c r="AC488" s="19"/>
      <c r="AD488" s="19"/>
      <c r="AE488" s="19"/>
    </row>
    <row r="489" spans="1:31" ht="13.15" x14ac:dyDescent="0.4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  <c r="AB489" s="19"/>
      <c r="AC489" s="19"/>
      <c r="AD489" s="19"/>
      <c r="AE489" s="19"/>
    </row>
    <row r="490" spans="1:31" ht="13.15" x14ac:dyDescent="0.4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  <c r="AC490" s="19"/>
      <c r="AD490" s="19"/>
      <c r="AE490" s="19"/>
    </row>
    <row r="491" spans="1:31" ht="13.15" x14ac:dyDescent="0.4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  <c r="AB491" s="19"/>
      <c r="AC491" s="19"/>
      <c r="AD491" s="19"/>
      <c r="AE491" s="19"/>
    </row>
    <row r="492" spans="1:31" ht="13.15" x14ac:dyDescent="0.4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  <c r="AB492" s="19"/>
      <c r="AC492" s="19"/>
      <c r="AD492" s="19"/>
      <c r="AE492" s="19"/>
    </row>
    <row r="493" spans="1:31" ht="13.15" x14ac:dyDescent="0.4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  <c r="AB493" s="19"/>
      <c r="AC493" s="19"/>
      <c r="AD493" s="19"/>
      <c r="AE493" s="19"/>
    </row>
    <row r="494" spans="1:31" ht="13.15" x14ac:dyDescent="0.4">
      <c r="A494" s="19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  <c r="AA494" s="19"/>
      <c r="AB494" s="19"/>
      <c r="AC494" s="19"/>
      <c r="AD494" s="19"/>
      <c r="AE494" s="19"/>
    </row>
    <row r="495" spans="1:31" ht="13.15" x14ac:dyDescent="0.4">
      <c r="A495" s="19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  <c r="AA495" s="19"/>
      <c r="AB495" s="19"/>
      <c r="AC495" s="19"/>
      <c r="AD495" s="19"/>
      <c r="AE495" s="19"/>
    </row>
    <row r="496" spans="1:31" ht="13.15" x14ac:dyDescent="0.4">
      <c r="A496" s="19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  <c r="AA496" s="19"/>
      <c r="AB496" s="19"/>
      <c r="AC496" s="19"/>
      <c r="AD496" s="19"/>
      <c r="AE496" s="19"/>
    </row>
    <row r="497" spans="1:31" ht="13.15" x14ac:dyDescent="0.4">
      <c r="A497" s="19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  <c r="AA497" s="19"/>
      <c r="AB497" s="19"/>
      <c r="AC497" s="19"/>
      <c r="AD497" s="19"/>
      <c r="AE497" s="19"/>
    </row>
    <row r="498" spans="1:31" ht="13.15" x14ac:dyDescent="0.4">
      <c r="A498" s="19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  <c r="AA498" s="19"/>
      <c r="AB498" s="19"/>
      <c r="AC498" s="19"/>
      <c r="AD498" s="19"/>
      <c r="AE498" s="19"/>
    </row>
    <row r="499" spans="1:31" ht="13.15" x14ac:dyDescent="0.4">
      <c r="A499" s="19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  <c r="AB499" s="19"/>
      <c r="AC499" s="19"/>
      <c r="AD499" s="19"/>
      <c r="AE499" s="19"/>
    </row>
    <row r="500" spans="1:31" ht="13.15" x14ac:dyDescent="0.4">
      <c r="A500" s="19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  <c r="AA500" s="19"/>
      <c r="AB500" s="19"/>
      <c r="AC500" s="19"/>
      <c r="AD500" s="19"/>
      <c r="AE500" s="19"/>
    </row>
    <row r="501" spans="1:31" ht="13.15" x14ac:dyDescent="0.4">
      <c r="A501" s="19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  <c r="AA501" s="19"/>
      <c r="AB501" s="19"/>
      <c r="AC501" s="19"/>
      <c r="AD501" s="19"/>
      <c r="AE501" s="19"/>
    </row>
    <row r="502" spans="1:31" ht="13.15" x14ac:dyDescent="0.4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  <c r="AA502" s="19"/>
      <c r="AB502" s="19"/>
      <c r="AC502" s="19"/>
      <c r="AD502" s="19"/>
      <c r="AE502" s="19"/>
    </row>
    <row r="503" spans="1:31" ht="13.15" x14ac:dyDescent="0.4">
      <c r="A503" s="19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  <c r="AB503" s="19"/>
      <c r="AC503" s="19"/>
      <c r="AD503" s="19"/>
      <c r="AE503" s="19"/>
    </row>
    <row r="504" spans="1:31" ht="13.15" x14ac:dyDescent="0.4">
      <c r="A504" s="19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  <c r="AB504" s="19"/>
      <c r="AC504" s="19"/>
      <c r="AD504" s="19"/>
      <c r="AE504" s="19"/>
    </row>
    <row r="505" spans="1:31" ht="13.15" x14ac:dyDescent="0.4">
      <c r="A505" s="19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  <c r="AB505" s="19"/>
      <c r="AC505" s="19"/>
      <c r="AD505" s="19"/>
      <c r="AE505" s="19"/>
    </row>
    <row r="506" spans="1:31" ht="13.15" x14ac:dyDescent="0.4">
      <c r="A506" s="19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  <c r="AB506" s="19"/>
      <c r="AC506" s="19"/>
      <c r="AD506" s="19"/>
      <c r="AE506" s="19"/>
    </row>
    <row r="507" spans="1:31" ht="13.15" x14ac:dyDescent="0.4">
      <c r="A507" s="19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  <c r="AB507" s="19"/>
      <c r="AC507" s="19"/>
      <c r="AD507" s="19"/>
      <c r="AE507" s="19"/>
    </row>
    <row r="508" spans="1:31" ht="13.15" x14ac:dyDescent="0.4">
      <c r="A508" s="19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  <c r="AC508" s="19"/>
      <c r="AD508" s="19"/>
      <c r="AE508" s="19"/>
    </row>
    <row r="509" spans="1:31" ht="13.15" x14ac:dyDescent="0.4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AB509" s="19"/>
      <c r="AC509" s="19"/>
      <c r="AD509" s="19"/>
      <c r="AE509" s="19"/>
    </row>
    <row r="510" spans="1:31" ht="13.15" x14ac:dyDescent="0.4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  <c r="AC510" s="19"/>
      <c r="AD510" s="19"/>
      <c r="AE510" s="19"/>
    </row>
    <row r="511" spans="1:31" ht="13.15" x14ac:dyDescent="0.4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  <c r="AC511" s="19"/>
      <c r="AD511" s="19"/>
      <c r="AE511" s="19"/>
    </row>
    <row r="512" spans="1:31" ht="13.15" x14ac:dyDescent="0.4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  <c r="AC512" s="19"/>
      <c r="AD512" s="19"/>
      <c r="AE512" s="19"/>
    </row>
    <row r="513" spans="1:31" ht="13.15" x14ac:dyDescent="0.4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AB513" s="19"/>
      <c r="AC513" s="19"/>
      <c r="AD513" s="19"/>
      <c r="AE513" s="19"/>
    </row>
    <row r="514" spans="1:31" ht="13.15" x14ac:dyDescent="0.4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  <c r="AB514" s="19"/>
      <c r="AC514" s="19"/>
      <c r="AD514" s="19"/>
      <c r="AE514" s="19"/>
    </row>
    <row r="515" spans="1:31" ht="13.15" x14ac:dyDescent="0.4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/>
      <c r="AC515" s="19"/>
      <c r="AD515" s="19"/>
      <c r="AE515" s="19"/>
    </row>
    <row r="516" spans="1:31" ht="13.15" x14ac:dyDescent="0.4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  <c r="AC516" s="19"/>
      <c r="AD516" s="19"/>
      <c r="AE516" s="19"/>
    </row>
    <row r="517" spans="1:31" ht="13.15" x14ac:dyDescent="0.4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  <c r="AB517" s="19"/>
      <c r="AC517" s="19"/>
      <c r="AD517" s="19"/>
      <c r="AE517" s="19"/>
    </row>
    <row r="518" spans="1:31" ht="13.15" x14ac:dyDescent="0.4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  <c r="AB518" s="19"/>
      <c r="AC518" s="19"/>
      <c r="AD518" s="19"/>
      <c r="AE518" s="19"/>
    </row>
    <row r="519" spans="1:31" ht="13.15" x14ac:dyDescent="0.4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  <c r="AA519" s="19"/>
      <c r="AB519" s="19"/>
      <c r="AC519" s="19"/>
      <c r="AD519" s="19"/>
      <c r="AE519" s="19"/>
    </row>
    <row r="520" spans="1:31" ht="13.15" x14ac:dyDescent="0.4">
      <c r="A520" s="19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  <c r="AB520" s="19"/>
      <c r="AC520" s="19"/>
      <c r="AD520" s="19"/>
      <c r="AE520" s="19"/>
    </row>
    <row r="521" spans="1:31" ht="13.15" x14ac:dyDescent="0.4">
      <c r="A521" s="19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  <c r="AB521" s="19"/>
      <c r="AC521" s="19"/>
      <c r="AD521" s="19"/>
      <c r="AE521" s="19"/>
    </row>
    <row r="522" spans="1:31" ht="13.15" x14ac:dyDescent="0.4">
      <c r="A522" s="19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  <c r="AA522" s="19"/>
      <c r="AB522" s="19"/>
      <c r="AC522" s="19"/>
      <c r="AD522" s="19"/>
      <c r="AE522" s="19"/>
    </row>
    <row r="523" spans="1:31" ht="13.15" x14ac:dyDescent="0.4">
      <c r="A523" s="19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  <c r="AB523" s="19"/>
      <c r="AC523" s="19"/>
      <c r="AD523" s="19"/>
      <c r="AE523" s="19"/>
    </row>
    <row r="524" spans="1:31" ht="13.15" x14ac:dyDescent="0.4">
      <c r="A524" s="19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  <c r="AA524" s="19"/>
      <c r="AB524" s="19"/>
      <c r="AC524" s="19"/>
      <c r="AD524" s="19"/>
      <c r="AE524" s="19"/>
    </row>
    <row r="525" spans="1:31" ht="13.15" x14ac:dyDescent="0.4">
      <c r="A525" s="19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  <c r="AC525" s="19"/>
      <c r="AD525" s="19"/>
      <c r="AE525" s="19"/>
    </row>
    <row r="526" spans="1:31" ht="13.15" x14ac:dyDescent="0.4">
      <c r="A526" s="19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  <c r="AC526" s="19"/>
      <c r="AD526" s="19"/>
      <c r="AE526" s="19"/>
    </row>
    <row r="527" spans="1:31" ht="13.15" x14ac:dyDescent="0.4">
      <c r="A527" s="19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  <c r="AC527" s="19"/>
      <c r="AD527" s="19"/>
      <c r="AE527" s="19"/>
    </row>
    <row r="528" spans="1:31" ht="13.15" x14ac:dyDescent="0.4">
      <c r="A528" s="19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  <c r="AC528" s="19"/>
      <c r="AD528" s="19"/>
      <c r="AE528" s="19"/>
    </row>
    <row r="529" spans="1:31" ht="13.15" x14ac:dyDescent="0.4">
      <c r="A529" s="19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  <c r="AB529" s="19"/>
      <c r="AC529" s="19"/>
      <c r="AD529" s="19"/>
      <c r="AE529" s="19"/>
    </row>
    <row r="530" spans="1:31" ht="13.15" x14ac:dyDescent="0.4">
      <c r="A530" s="19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  <c r="AC530" s="19"/>
      <c r="AD530" s="19"/>
      <c r="AE530" s="19"/>
    </row>
    <row r="531" spans="1:31" ht="13.15" x14ac:dyDescent="0.4">
      <c r="A531" s="19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  <c r="AC531" s="19"/>
      <c r="AD531" s="19"/>
      <c r="AE531" s="19"/>
    </row>
    <row r="532" spans="1:31" ht="13.15" x14ac:dyDescent="0.4">
      <c r="A532" s="19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  <c r="AC532" s="19"/>
      <c r="AD532" s="19"/>
      <c r="AE532" s="19"/>
    </row>
    <row r="533" spans="1:31" ht="13.15" x14ac:dyDescent="0.4">
      <c r="A533" s="19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  <c r="AC533" s="19"/>
      <c r="AD533" s="19"/>
      <c r="AE533" s="19"/>
    </row>
    <row r="534" spans="1:31" ht="13.15" x14ac:dyDescent="0.4">
      <c r="A534" s="19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  <c r="AC534" s="19"/>
      <c r="AD534" s="19"/>
      <c r="AE534" s="19"/>
    </row>
    <row r="535" spans="1:31" ht="13.15" x14ac:dyDescent="0.4">
      <c r="A535" s="19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  <c r="AB535" s="19"/>
      <c r="AC535" s="19"/>
      <c r="AD535" s="19"/>
      <c r="AE535" s="19"/>
    </row>
    <row r="536" spans="1:31" ht="13.15" x14ac:dyDescent="0.4">
      <c r="A536" s="19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  <c r="AC536" s="19"/>
      <c r="AD536" s="19"/>
      <c r="AE536" s="19"/>
    </row>
    <row r="537" spans="1:31" ht="13.15" x14ac:dyDescent="0.4">
      <c r="A537" s="19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  <c r="AC537" s="19"/>
      <c r="AD537" s="19"/>
      <c r="AE537" s="19"/>
    </row>
    <row r="538" spans="1:31" ht="13.15" x14ac:dyDescent="0.4">
      <c r="A538" s="19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  <c r="AC538" s="19"/>
      <c r="AD538" s="19"/>
      <c r="AE538" s="19"/>
    </row>
    <row r="539" spans="1:31" ht="13.15" x14ac:dyDescent="0.4">
      <c r="A539" s="19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  <c r="AC539" s="19"/>
      <c r="AD539" s="19"/>
      <c r="AE539" s="19"/>
    </row>
    <row r="540" spans="1:31" ht="13.15" x14ac:dyDescent="0.4">
      <c r="A540" s="19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  <c r="AA540" s="19"/>
      <c r="AB540" s="19"/>
      <c r="AC540" s="19"/>
      <c r="AD540" s="19"/>
      <c r="AE540" s="19"/>
    </row>
    <row r="541" spans="1:31" ht="13.15" x14ac:dyDescent="0.4">
      <c r="A541" s="19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  <c r="AC541" s="19"/>
      <c r="AD541" s="19"/>
      <c r="AE541" s="19"/>
    </row>
    <row r="542" spans="1:31" ht="13.15" x14ac:dyDescent="0.4">
      <c r="A542" s="19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</row>
    <row r="543" spans="1:31" ht="13.15" x14ac:dyDescent="0.4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  <c r="AB543" s="19"/>
      <c r="AC543" s="19"/>
      <c r="AD543" s="19"/>
      <c r="AE543" s="19"/>
    </row>
    <row r="544" spans="1:31" ht="13.15" x14ac:dyDescent="0.4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  <c r="AA544" s="19"/>
      <c r="AB544" s="19"/>
      <c r="AC544" s="19"/>
      <c r="AD544" s="19"/>
      <c r="AE544" s="19"/>
    </row>
    <row r="545" spans="1:31" ht="13.15" x14ac:dyDescent="0.4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  <c r="AA545" s="19"/>
      <c r="AB545" s="19"/>
      <c r="AC545" s="19"/>
      <c r="AD545" s="19"/>
      <c r="AE545" s="19"/>
    </row>
    <row r="546" spans="1:31" ht="13.15" x14ac:dyDescent="0.4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  <c r="AA546" s="19"/>
      <c r="AB546" s="19"/>
      <c r="AC546" s="19"/>
      <c r="AD546" s="19"/>
      <c r="AE546" s="19"/>
    </row>
    <row r="547" spans="1:31" ht="13.15" x14ac:dyDescent="0.4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  <c r="AC547" s="19"/>
      <c r="AD547" s="19"/>
      <c r="AE547" s="19"/>
    </row>
    <row r="548" spans="1:31" ht="13.15" x14ac:dyDescent="0.4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  <c r="AA548" s="19"/>
      <c r="AB548" s="19"/>
      <c r="AC548" s="19"/>
      <c r="AD548" s="19"/>
      <c r="AE548" s="19"/>
    </row>
    <row r="549" spans="1:31" ht="13.15" x14ac:dyDescent="0.4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  <c r="AA549" s="19"/>
      <c r="AB549" s="19"/>
      <c r="AC549" s="19"/>
      <c r="AD549" s="19"/>
      <c r="AE549" s="19"/>
    </row>
    <row r="550" spans="1:31" ht="13.15" x14ac:dyDescent="0.4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  <c r="AA550" s="19"/>
      <c r="AB550" s="19"/>
      <c r="AC550" s="19"/>
      <c r="AD550" s="19"/>
      <c r="AE550" s="19"/>
    </row>
    <row r="551" spans="1:31" ht="13.15" x14ac:dyDescent="0.4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  <c r="AA551" s="19"/>
      <c r="AB551" s="19"/>
      <c r="AC551" s="19"/>
      <c r="AD551" s="19"/>
      <c r="AE551" s="19"/>
    </row>
    <row r="552" spans="1:31" ht="13.15" x14ac:dyDescent="0.4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  <c r="AA552" s="19"/>
      <c r="AB552" s="19"/>
      <c r="AC552" s="19"/>
      <c r="AD552" s="19"/>
      <c r="AE552" s="19"/>
    </row>
    <row r="553" spans="1:31" ht="13.15" x14ac:dyDescent="0.4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  <c r="AA553" s="19"/>
      <c r="AB553" s="19"/>
      <c r="AC553" s="19"/>
      <c r="AD553" s="19"/>
      <c r="AE553" s="19"/>
    </row>
    <row r="554" spans="1:31" ht="13.15" x14ac:dyDescent="0.4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  <c r="AA554" s="19"/>
      <c r="AB554" s="19"/>
      <c r="AC554" s="19"/>
      <c r="AD554" s="19"/>
      <c r="AE554" s="19"/>
    </row>
    <row r="555" spans="1:31" ht="13.15" x14ac:dyDescent="0.4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  <c r="AA555" s="19"/>
      <c r="AB555" s="19"/>
      <c r="AC555" s="19"/>
      <c r="AD555" s="19"/>
      <c r="AE555" s="19"/>
    </row>
    <row r="556" spans="1:31" ht="13.15" x14ac:dyDescent="0.4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  <c r="AB556" s="19"/>
      <c r="AC556" s="19"/>
      <c r="AD556" s="19"/>
      <c r="AE556" s="19"/>
    </row>
    <row r="557" spans="1:31" ht="13.15" x14ac:dyDescent="0.4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  <c r="AA557" s="19"/>
      <c r="AB557" s="19"/>
      <c r="AC557" s="19"/>
      <c r="AD557" s="19"/>
      <c r="AE557" s="19"/>
    </row>
    <row r="558" spans="1:31" ht="13.15" x14ac:dyDescent="0.4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  <c r="AA558" s="19"/>
      <c r="AB558" s="19"/>
      <c r="AC558" s="19"/>
      <c r="AD558" s="19"/>
      <c r="AE558" s="19"/>
    </row>
    <row r="559" spans="1:31" ht="13.15" x14ac:dyDescent="0.4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  <c r="AA559" s="19"/>
      <c r="AB559" s="19"/>
      <c r="AC559" s="19"/>
      <c r="AD559" s="19"/>
      <c r="AE559" s="19"/>
    </row>
    <row r="560" spans="1:31" ht="13.15" x14ac:dyDescent="0.4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  <c r="AA560" s="19"/>
      <c r="AB560" s="19"/>
      <c r="AC560" s="19"/>
      <c r="AD560" s="19"/>
      <c r="AE560" s="19"/>
    </row>
    <row r="561" spans="1:31" ht="13.15" x14ac:dyDescent="0.4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  <c r="AA561" s="19"/>
      <c r="AB561" s="19"/>
      <c r="AC561" s="19"/>
      <c r="AD561" s="19"/>
      <c r="AE561" s="19"/>
    </row>
    <row r="562" spans="1:31" ht="13.15" x14ac:dyDescent="0.4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  <c r="AA562" s="19"/>
      <c r="AB562" s="19"/>
      <c r="AC562" s="19"/>
      <c r="AD562" s="19"/>
      <c r="AE562" s="19"/>
    </row>
    <row r="563" spans="1:31" ht="13.15" x14ac:dyDescent="0.4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  <c r="AB563" s="19"/>
      <c r="AC563" s="19"/>
      <c r="AD563" s="19"/>
      <c r="AE563" s="19"/>
    </row>
    <row r="564" spans="1:31" ht="13.15" x14ac:dyDescent="0.4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  <c r="AA564" s="19"/>
      <c r="AB564" s="19"/>
      <c r="AC564" s="19"/>
      <c r="AD564" s="19"/>
      <c r="AE564" s="19"/>
    </row>
    <row r="565" spans="1:31" ht="13.15" x14ac:dyDescent="0.4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  <c r="AA565" s="19"/>
      <c r="AB565" s="19"/>
      <c r="AC565" s="19"/>
      <c r="AD565" s="19"/>
      <c r="AE565" s="19"/>
    </row>
    <row r="566" spans="1:31" ht="13.15" x14ac:dyDescent="0.4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  <c r="AA566" s="19"/>
      <c r="AB566" s="19"/>
      <c r="AC566" s="19"/>
      <c r="AD566" s="19"/>
      <c r="AE566" s="19"/>
    </row>
    <row r="567" spans="1:31" ht="13.15" x14ac:dyDescent="0.4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  <c r="AA567" s="19"/>
      <c r="AB567" s="19"/>
      <c r="AC567" s="19"/>
      <c r="AD567" s="19"/>
      <c r="AE567" s="19"/>
    </row>
    <row r="568" spans="1:31" ht="13.15" x14ac:dyDescent="0.4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  <c r="AA568" s="19"/>
      <c r="AB568" s="19"/>
      <c r="AC568" s="19"/>
      <c r="AD568" s="19"/>
      <c r="AE568" s="19"/>
    </row>
    <row r="569" spans="1:31" ht="13.15" x14ac:dyDescent="0.4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  <c r="AC569" s="19"/>
      <c r="AD569" s="19"/>
      <c r="AE569" s="19"/>
    </row>
    <row r="570" spans="1:31" ht="13.15" x14ac:dyDescent="0.4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  <c r="AA570" s="19"/>
      <c r="AB570" s="19"/>
      <c r="AC570" s="19"/>
      <c r="AD570" s="19"/>
      <c r="AE570" s="19"/>
    </row>
    <row r="571" spans="1:31" ht="13.15" x14ac:dyDescent="0.4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  <c r="AA571" s="19"/>
      <c r="AB571" s="19"/>
      <c r="AC571" s="19"/>
      <c r="AD571" s="19"/>
      <c r="AE571" s="19"/>
    </row>
    <row r="572" spans="1:31" ht="13.15" x14ac:dyDescent="0.4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  <c r="AA572" s="19"/>
      <c r="AB572" s="19"/>
      <c r="AC572" s="19"/>
      <c r="AD572" s="19"/>
      <c r="AE572" s="19"/>
    </row>
    <row r="573" spans="1:31" ht="13.15" x14ac:dyDescent="0.4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  <c r="AA573" s="19"/>
      <c r="AB573" s="19"/>
      <c r="AC573" s="19"/>
      <c r="AD573" s="19"/>
      <c r="AE573" s="19"/>
    </row>
    <row r="574" spans="1:31" ht="13.15" x14ac:dyDescent="0.4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  <c r="AC574" s="19"/>
      <c r="AD574" s="19"/>
      <c r="AE574" s="19"/>
    </row>
    <row r="575" spans="1:31" ht="13.15" x14ac:dyDescent="0.4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  <c r="AA575" s="19"/>
      <c r="AB575" s="19"/>
      <c r="AC575" s="19"/>
      <c r="AD575" s="19"/>
      <c r="AE575" s="19"/>
    </row>
    <row r="576" spans="1:31" ht="13.15" x14ac:dyDescent="0.4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  <c r="AA576" s="19"/>
      <c r="AB576" s="19"/>
      <c r="AC576" s="19"/>
      <c r="AD576" s="19"/>
      <c r="AE576" s="19"/>
    </row>
    <row r="577" spans="1:31" ht="13.15" x14ac:dyDescent="0.4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  <c r="AA577" s="19"/>
      <c r="AB577" s="19"/>
      <c r="AC577" s="19"/>
      <c r="AD577" s="19"/>
      <c r="AE577" s="19"/>
    </row>
    <row r="578" spans="1:31" ht="13.15" x14ac:dyDescent="0.4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  <c r="AA578" s="19"/>
      <c r="AB578" s="19"/>
      <c r="AC578" s="19"/>
      <c r="AD578" s="19"/>
      <c r="AE578" s="19"/>
    </row>
    <row r="579" spans="1:31" ht="13.15" x14ac:dyDescent="0.4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  <c r="AA579" s="19"/>
      <c r="AB579" s="19"/>
      <c r="AC579" s="19"/>
      <c r="AD579" s="19"/>
      <c r="AE579" s="19"/>
    </row>
    <row r="580" spans="1:31" ht="13.15" x14ac:dyDescent="0.4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  <c r="AA580" s="19"/>
      <c r="AB580" s="19"/>
      <c r="AC580" s="19"/>
      <c r="AD580" s="19"/>
      <c r="AE580" s="19"/>
    </row>
    <row r="581" spans="1:31" ht="13.15" x14ac:dyDescent="0.4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  <c r="AA581" s="19"/>
      <c r="AB581" s="19"/>
      <c r="AC581" s="19"/>
      <c r="AD581" s="19"/>
      <c r="AE581" s="19"/>
    </row>
    <row r="582" spans="1:31" ht="13.15" x14ac:dyDescent="0.4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  <c r="AA582" s="19"/>
      <c r="AB582" s="19"/>
      <c r="AC582" s="19"/>
      <c r="AD582" s="19"/>
      <c r="AE582" s="19"/>
    </row>
    <row r="583" spans="1:31" ht="13.15" x14ac:dyDescent="0.4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  <c r="AB583" s="19"/>
      <c r="AC583" s="19"/>
      <c r="AD583" s="19"/>
      <c r="AE583" s="19"/>
    </row>
    <row r="584" spans="1:31" ht="13.15" x14ac:dyDescent="0.4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  <c r="AA584" s="19"/>
      <c r="AB584" s="19"/>
      <c r="AC584" s="19"/>
      <c r="AD584" s="19"/>
      <c r="AE584" s="19"/>
    </row>
    <row r="585" spans="1:31" ht="13.15" x14ac:dyDescent="0.4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  <c r="AA585" s="19"/>
      <c r="AB585" s="19"/>
      <c r="AC585" s="19"/>
      <c r="AD585" s="19"/>
      <c r="AE585" s="19"/>
    </row>
    <row r="586" spans="1:31" ht="13.15" x14ac:dyDescent="0.4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  <c r="AA586" s="19"/>
      <c r="AB586" s="19"/>
      <c r="AC586" s="19"/>
      <c r="AD586" s="19"/>
      <c r="AE586" s="19"/>
    </row>
    <row r="587" spans="1:31" ht="13.15" x14ac:dyDescent="0.4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  <c r="AA587" s="19"/>
      <c r="AB587" s="19"/>
      <c r="AC587" s="19"/>
      <c r="AD587" s="19"/>
      <c r="AE587" s="19"/>
    </row>
    <row r="588" spans="1:31" ht="13.15" x14ac:dyDescent="0.4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  <c r="AA588" s="19"/>
      <c r="AB588" s="19"/>
      <c r="AC588" s="19"/>
      <c r="AD588" s="19"/>
      <c r="AE588" s="19"/>
    </row>
    <row r="589" spans="1:31" ht="13.15" x14ac:dyDescent="0.4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  <c r="AA589" s="19"/>
      <c r="AB589" s="19"/>
      <c r="AC589" s="19"/>
      <c r="AD589" s="19"/>
      <c r="AE589" s="19"/>
    </row>
    <row r="590" spans="1:31" ht="13.15" x14ac:dyDescent="0.4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  <c r="AA590" s="19"/>
      <c r="AB590" s="19"/>
      <c r="AC590" s="19"/>
      <c r="AD590" s="19"/>
      <c r="AE590" s="19"/>
    </row>
    <row r="591" spans="1:31" ht="13.15" x14ac:dyDescent="0.4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  <c r="AA591" s="19"/>
      <c r="AB591" s="19"/>
      <c r="AC591" s="19"/>
      <c r="AD591" s="19"/>
      <c r="AE591" s="19"/>
    </row>
    <row r="592" spans="1:31" ht="13.15" x14ac:dyDescent="0.4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  <c r="AA592" s="19"/>
      <c r="AB592" s="19"/>
      <c r="AC592" s="19"/>
      <c r="AD592" s="19"/>
      <c r="AE592" s="19"/>
    </row>
    <row r="593" spans="1:31" ht="13.15" x14ac:dyDescent="0.4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  <c r="AA593" s="19"/>
      <c r="AB593" s="19"/>
      <c r="AC593" s="19"/>
      <c r="AD593" s="19"/>
      <c r="AE593" s="19"/>
    </row>
    <row r="594" spans="1:31" ht="13.15" x14ac:dyDescent="0.4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  <c r="AA594" s="19"/>
      <c r="AB594" s="19"/>
      <c r="AC594" s="19"/>
      <c r="AD594" s="19"/>
      <c r="AE594" s="19"/>
    </row>
    <row r="595" spans="1:31" ht="13.15" x14ac:dyDescent="0.4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  <c r="AA595" s="19"/>
      <c r="AB595" s="19"/>
      <c r="AC595" s="19"/>
      <c r="AD595" s="19"/>
      <c r="AE595" s="19"/>
    </row>
    <row r="596" spans="1:31" ht="13.15" x14ac:dyDescent="0.4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  <c r="AA596" s="19"/>
      <c r="AB596" s="19"/>
      <c r="AC596" s="19"/>
      <c r="AD596" s="19"/>
      <c r="AE596" s="19"/>
    </row>
    <row r="597" spans="1:31" ht="13.15" x14ac:dyDescent="0.4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  <c r="AA597" s="19"/>
      <c r="AB597" s="19"/>
      <c r="AC597" s="19"/>
      <c r="AD597" s="19"/>
      <c r="AE597" s="19"/>
    </row>
    <row r="598" spans="1:31" ht="13.15" x14ac:dyDescent="0.4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  <c r="AA598" s="19"/>
      <c r="AB598" s="19"/>
      <c r="AC598" s="19"/>
      <c r="AD598" s="19"/>
      <c r="AE598" s="19"/>
    </row>
    <row r="599" spans="1:31" ht="13.15" x14ac:dyDescent="0.4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  <c r="AA599" s="19"/>
      <c r="AB599" s="19"/>
      <c r="AC599" s="19"/>
      <c r="AD599" s="19"/>
      <c r="AE599" s="19"/>
    </row>
    <row r="600" spans="1:31" ht="13.15" x14ac:dyDescent="0.4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  <c r="AA600" s="19"/>
      <c r="AB600" s="19"/>
      <c r="AC600" s="19"/>
      <c r="AD600" s="19"/>
      <c r="AE600" s="19"/>
    </row>
    <row r="601" spans="1:31" ht="13.15" x14ac:dyDescent="0.4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  <c r="AB601" s="19"/>
      <c r="AC601" s="19"/>
      <c r="AD601" s="19"/>
      <c r="AE601" s="19"/>
    </row>
    <row r="602" spans="1:31" ht="13.15" x14ac:dyDescent="0.4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  <c r="AA602" s="19"/>
      <c r="AB602" s="19"/>
      <c r="AC602" s="19"/>
      <c r="AD602" s="19"/>
      <c r="AE602" s="19"/>
    </row>
    <row r="603" spans="1:31" ht="13.15" x14ac:dyDescent="0.4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  <c r="AA603" s="19"/>
      <c r="AB603" s="19"/>
      <c r="AC603" s="19"/>
      <c r="AD603" s="19"/>
      <c r="AE603" s="19"/>
    </row>
    <row r="604" spans="1:31" ht="13.15" x14ac:dyDescent="0.4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  <c r="AA604" s="19"/>
      <c r="AB604" s="19"/>
      <c r="AC604" s="19"/>
      <c r="AD604" s="19"/>
      <c r="AE604" s="19"/>
    </row>
    <row r="605" spans="1:31" ht="13.15" x14ac:dyDescent="0.4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  <c r="AA605" s="19"/>
      <c r="AB605" s="19"/>
      <c r="AC605" s="19"/>
      <c r="AD605" s="19"/>
      <c r="AE605" s="19"/>
    </row>
    <row r="606" spans="1:31" ht="13.15" x14ac:dyDescent="0.4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  <c r="AA606" s="19"/>
      <c r="AB606" s="19"/>
      <c r="AC606" s="19"/>
      <c r="AD606" s="19"/>
      <c r="AE606" s="19"/>
    </row>
    <row r="607" spans="1:31" ht="13.15" x14ac:dyDescent="0.4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  <c r="AA607" s="19"/>
      <c r="AB607" s="19"/>
      <c r="AC607" s="19"/>
      <c r="AD607" s="19"/>
      <c r="AE607" s="19"/>
    </row>
    <row r="608" spans="1:31" ht="13.15" x14ac:dyDescent="0.4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  <c r="AB608" s="19"/>
      <c r="AC608" s="19"/>
      <c r="AD608" s="19"/>
      <c r="AE608" s="19"/>
    </row>
    <row r="609" spans="1:31" ht="13.15" x14ac:dyDescent="0.4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  <c r="AA609" s="19"/>
      <c r="AB609" s="19"/>
      <c r="AC609" s="19"/>
      <c r="AD609" s="19"/>
      <c r="AE609" s="19"/>
    </row>
    <row r="610" spans="1:31" ht="13.15" x14ac:dyDescent="0.4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  <c r="AA610" s="19"/>
      <c r="AB610" s="19"/>
      <c r="AC610" s="19"/>
      <c r="AD610" s="19"/>
      <c r="AE610" s="19"/>
    </row>
    <row r="611" spans="1:31" ht="13.15" x14ac:dyDescent="0.4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  <c r="AA611" s="19"/>
      <c r="AB611" s="19"/>
      <c r="AC611" s="19"/>
      <c r="AD611" s="19"/>
      <c r="AE611" s="19"/>
    </row>
    <row r="612" spans="1:31" ht="13.15" x14ac:dyDescent="0.4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  <c r="AA612" s="19"/>
      <c r="AB612" s="19"/>
      <c r="AC612" s="19"/>
      <c r="AD612" s="19"/>
      <c r="AE612" s="19"/>
    </row>
    <row r="613" spans="1:31" ht="13.15" x14ac:dyDescent="0.4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  <c r="AC613" s="19"/>
      <c r="AD613" s="19"/>
      <c r="AE613" s="19"/>
    </row>
    <row r="614" spans="1:31" ht="13.15" x14ac:dyDescent="0.4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  <c r="AC614" s="19"/>
      <c r="AD614" s="19"/>
      <c r="AE614" s="19"/>
    </row>
    <row r="615" spans="1:31" ht="13.15" x14ac:dyDescent="0.4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  <c r="AC615" s="19"/>
      <c r="AD615" s="19"/>
      <c r="AE615" s="19"/>
    </row>
    <row r="616" spans="1:31" ht="13.15" x14ac:dyDescent="0.4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  <c r="AC616" s="19"/>
      <c r="AD616" s="19"/>
      <c r="AE616" s="19"/>
    </row>
    <row r="617" spans="1:31" ht="13.15" x14ac:dyDescent="0.4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  <c r="AA617" s="19"/>
      <c r="AB617" s="19"/>
      <c r="AC617" s="19"/>
      <c r="AD617" s="19"/>
      <c r="AE617" s="19"/>
    </row>
    <row r="618" spans="1:31" ht="13.15" x14ac:dyDescent="0.4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  <c r="AA618" s="19"/>
      <c r="AB618" s="19"/>
      <c r="AC618" s="19"/>
      <c r="AD618" s="19"/>
      <c r="AE618" s="19"/>
    </row>
    <row r="619" spans="1:31" ht="13.15" x14ac:dyDescent="0.4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  <c r="AA619" s="19"/>
      <c r="AB619" s="19"/>
      <c r="AC619" s="19"/>
      <c r="AD619" s="19"/>
      <c r="AE619" s="19"/>
    </row>
    <row r="620" spans="1:31" ht="13.15" x14ac:dyDescent="0.4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  <c r="AB620" s="19"/>
      <c r="AC620" s="19"/>
      <c r="AD620" s="19"/>
      <c r="AE620" s="19"/>
    </row>
    <row r="621" spans="1:31" ht="13.15" x14ac:dyDescent="0.4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  <c r="AA621" s="19"/>
      <c r="AB621" s="19"/>
      <c r="AC621" s="19"/>
      <c r="AD621" s="19"/>
      <c r="AE621" s="19"/>
    </row>
    <row r="622" spans="1:31" ht="13.15" x14ac:dyDescent="0.4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  <c r="AA622" s="19"/>
      <c r="AB622" s="19"/>
      <c r="AC622" s="19"/>
      <c r="AD622" s="19"/>
      <c r="AE622" s="19"/>
    </row>
    <row r="623" spans="1:31" ht="13.15" x14ac:dyDescent="0.4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  <c r="AA623" s="19"/>
      <c r="AB623" s="19"/>
      <c r="AC623" s="19"/>
      <c r="AD623" s="19"/>
      <c r="AE623" s="19"/>
    </row>
    <row r="624" spans="1:31" ht="13.15" x14ac:dyDescent="0.4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  <c r="AA624" s="19"/>
      <c r="AB624" s="19"/>
      <c r="AC624" s="19"/>
      <c r="AD624" s="19"/>
      <c r="AE624" s="19"/>
    </row>
    <row r="625" spans="1:31" ht="13.15" x14ac:dyDescent="0.4">
      <c r="A625" s="19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  <c r="AA625" s="19"/>
      <c r="AB625" s="19"/>
      <c r="AC625" s="19"/>
      <c r="AD625" s="19"/>
      <c r="AE625" s="19"/>
    </row>
    <row r="626" spans="1:31" ht="13.15" x14ac:dyDescent="0.4">
      <c r="A626" s="19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  <c r="AA626" s="19"/>
      <c r="AB626" s="19"/>
      <c r="AC626" s="19"/>
      <c r="AD626" s="19"/>
      <c r="AE626" s="19"/>
    </row>
    <row r="627" spans="1:31" ht="13.15" x14ac:dyDescent="0.4">
      <c r="A627" s="19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  <c r="AA627" s="19"/>
      <c r="AB627" s="19"/>
      <c r="AC627" s="19"/>
      <c r="AD627" s="19"/>
      <c r="AE627" s="19"/>
    </row>
    <row r="628" spans="1:31" ht="13.15" x14ac:dyDescent="0.4">
      <c r="A628" s="19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  <c r="AA628" s="19"/>
      <c r="AB628" s="19"/>
      <c r="AC628" s="19"/>
      <c r="AD628" s="19"/>
      <c r="AE628" s="19"/>
    </row>
    <row r="629" spans="1:31" ht="13.15" x14ac:dyDescent="0.4">
      <c r="A629" s="19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  <c r="AA629" s="19"/>
      <c r="AB629" s="19"/>
      <c r="AC629" s="19"/>
      <c r="AD629" s="19"/>
      <c r="AE629" s="19"/>
    </row>
    <row r="630" spans="1:31" ht="13.15" x14ac:dyDescent="0.4">
      <c r="A630" s="19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  <c r="AA630" s="19"/>
      <c r="AB630" s="19"/>
      <c r="AC630" s="19"/>
      <c r="AD630" s="19"/>
      <c r="AE630" s="19"/>
    </row>
    <row r="631" spans="1:31" ht="13.15" x14ac:dyDescent="0.4">
      <c r="A631" s="19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  <c r="AC631" s="19"/>
      <c r="AD631" s="19"/>
      <c r="AE631" s="19"/>
    </row>
    <row r="632" spans="1:31" ht="13.15" x14ac:dyDescent="0.4">
      <c r="A632" s="19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  <c r="AA632" s="19"/>
      <c r="AB632" s="19"/>
      <c r="AC632" s="19"/>
      <c r="AD632" s="19"/>
      <c r="AE632" s="19"/>
    </row>
    <row r="633" spans="1:31" ht="13.15" x14ac:dyDescent="0.4">
      <c r="A633" s="19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  <c r="AA633" s="19"/>
      <c r="AB633" s="19"/>
      <c r="AC633" s="19"/>
      <c r="AD633" s="19"/>
      <c r="AE633" s="19"/>
    </row>
    <row r="634" spans="1:31" ht="13.15" x14ac:dyDescent="0.4">
      <c r="A634" s="19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  <c r="AA634" s="19"/>
      <c r="AB634" s="19"/>
      <c r="AC634" s="19"/>
      <c r="AD634" s="19"/>
      <c r="AE634" s="19"/>
    </row>
    <row r="635" spans="1:31" ht="13.15" x14ac:dyDescent="0.4">
      <c r="A635" s="19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  <c r="AA635" s="19"/>
      <c r="AB635" s="19"/>
      <c r="AC635" s="19"/>
      <c r="AD635" s="19"/>
      <c r="AE635" s="19"/>
    </row>
    <row r="636" spans="1:31" ht="13.15" x14ac:dyDescent="0.4">
      <c r="A636" s="19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  <c r="AA636" s="19"/>
      <c r="AB636" s="19"/>
      <c r="AC636" s="19"/>
      <c r="AD636" s="19"/>
      <c r="AE636" s="19"/>
    </row>
    <row r="637" spans="1:31" ht="13.15" x14ac:dyDescent="0.4">
      <c r="A637" s="19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  <c r="AA637" s="19"/>
      <c r="AB637" s="19"/>
      <c r="AC637" s="19"/>
      <c r="AD637" s="19"/>
      <c r="AE637" s="19"/>
    </row>
    <row r="638" spans="1:31" ht="13.15" x14ac:dyDescent="0.4">
      <c r="A638" s="19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  <c r="AA638" s="19"/>
      <c r="AB638" s="19"/>
      <c r="AC638" s="19"/>
      <c r="AD638" s="19"/>
      <c r="AE638" s="19"/>
    </row>
    <row r="639" spans="1:31" ht="13.15" x14ac:dyDescent="0.4">
      <c r="A639" s="19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  <c r="AA639" s="19"/>
      <c r="AB639" s="19"/>
      <c r="AC639" s="19"/>
      <c r="AD639" s="19"/>
      <c r="AE639" s="19"/>
    </row>
    <row r="640" spans="1:31" ht="13.15" x14ac:dyDescent="0.4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  <c r="AA640" s="19"/>
      <c r="AB640" s="19"/>
      <c r="AC640" s="19"/>
      <c r="AD640" s="19"/>
      <c r="AE640" s="19"/>
    </row>
    <row r="641" spans="1:31" ht="13.15" x14ac:dyDescent="0.4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  <c r="AA641" s="19"/>
      <c r="AB641" s="19"/>
      <c r="AC641" s="19"/>
      <c r="AD641" s="19"/>
      <c r="AE641" s="19"/>
    </row>
    <row r="642" spans="1:31" ht="13.15" x14ac:dyDescent="0.4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  <c r="AA642" s="19"/>
      <c r="AB642" s="19"/>
      <c r="AC642" s="19"/>
      <c r="AD642" s="19"/>
      <c r="AE642" s="19"/>
    </row>
    <row r="643" spans="1:31" ht="13.15" x14ac:dyDescent="0.4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  <c r="AA643" s="19"/>
      <c r="AB643" s="19"/>
      <c r="AC643" s="19"/>
      <c r="AD643" s="19"/>
      <c r="AE643" s="19"/>
    </row>
    <row r="644" spans="1:31" ht="13.15" x14ac:dyDescent="0.4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  <c r="AA644" s="19"/>
      <c r="AB644" s="19"/>
      <c r="AC644" s="19"/>
      <c r="AD644" s="19"/>
      <c r="AE644" s="19"/>
    </row>
    <row r="645" spans="1:31" ht="13.15" x14ac:dyDescent="0.4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  <c r="AA645" s="19"/>
      <c r="AB645" s="19"/>
      <c r="AC645" s="19"/>
      <c r="AD645" s="19"/>
      <c r="AE645" s="19"/>
    </row>
    <row r="646" spans="1:31" ht="13.15" x14ac:dyDescent="0.4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  <c r="AB646" s="19"/>
      <c r="AC646" s="19"/>
      <c r="AD646" s="19"/>
      <c r="AE646" s="19"/>
    </row>
    <row r="647" spans="1:31" ht="13.15" x14ac:dyDescent="0.4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  <c r="AA647" s="19"/>
      <c r="AB647" s="19"/>
      <c r="AC647" s="19"/>
      <c r="AD647" s="19"/>
      <c r="AE647" s="19"/>
    </row>
    <row r="648" spans="1:31" ht="13.15" x14ac:dyDescent="0.4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  <c r="AA648" s="19"/>
      <c r="AB648" s="19"/>
      <c r="AC648" s="19"/>
      <c r="AD648" s="19"/>
      <c r="AE648" s="19"/>
    </row>
    <row r="649" spans="1:31" ht="13.15" x14ac:dyDescent="0.4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  <c r="AA649" s="19"/>
      <c r="AB649" s="19"/>
      <c r="AC649" s="19"/>
      <c r="AD649" s="19"/>
      <c r="AE649" s="19"/>
    </row>
    <row r="650" spans="1:31" ht="13.15" x14ac:dyDescent="0.4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  <c r="AA650" s="19"/>
      <c r="AB650" s="19"/>
      <c r="AC650" s="19"/>
      <c r="AD650" s="19"/>
      <c r="AE650" s="19"/>
    </row>
    <row r="651" spans="1:31" ht="13.15" x14ac:dyDescent="0.4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  <c r="AA651" s="19"/>
      <c r="AB651" s="19"/>
      <c r="AC651" s="19"/>
      <c r="AD651" s="19"/>
      <c r="AE651" s="19"/>
    </row>
    <row r="652" spans="1:31" ht="13.15" x14ac:dyDescent="0.4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  <c r="AA652" s="19"/>
      <c r="AB652" s="19"/>
      <c r="AC652" s="19"/>
      <c r="AD652" s="19"/>
      <c r="AE652" s="19"/>
    </row>
    <row r="653" spans="1:31" ht="13.15" x14ac:dyDescent="0.4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  <c r="AA653" s="19"/>
      <c r="AB653" s="19"/>
      <c r="AC653" s="19"/>
      <c r="AD653" s="19"/>
      <c r="AE653" s="19"/>
    </row>
    <row r="654" spans="1:31" ht="13.15" x14ac:dyDescent="0.4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  <c r="AA654" s="19"/>
      <c r="AB654" s="19"/>
      <c r="AC654" s="19"/>
      <c r="AD654" s="19"/>
      <c r="AE654" s="19"/>
    </row>
    <row r="655" spans="1:31" ht="13.15" x14ac:dyDescent="0.4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  <c r="AA655" s="19"/>
      <c r="AB655" s="19"/>
      <c r="AC655" s="19"/>
      <c r="AD655" s="19"/>
      <c r="AE655" s="19"/>
    </row>
    <row r="656" spans="1:31" ht="13.15" x14ac:dyDescent="0.4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  <c r="AA656" s="19"/>
      <c r="AB656" s="19"/>
      <c r="AC656" s="19"/>
      <c r="AD656" s="19"/>
      <c r="AE656" s="19"/>
    </row>
    <row r="657" spans="1:31" ht="13.15" x14ac:dyDescent="0.4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  <c r="AA657" s="19"/>
      <c r="AB657" s="19"/>
      <c r="AC657" s="19"/>
      <c r="AD657" s="19"/>
      <c r="AE657" s="19"/>
    </row>
    <row r="658" spans="1:31" ht="13.15" x14ac:dyDescent="0.4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  <c r="AA658" s="19"/>
      <c r="AB658" s="19"/>
      <c r="AC658" s="19"/>
      <c r="AD658" s="19"/>
      <c r="AE658" s="19"/>
    </row>
    <row r="659" spans="1:31" ht="13.15" x14ac:dyDescent="0.4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  <c r="AA659" s="19"/>
      <c r="AB659" s="19"/>
      <c r="AC659" s="19"/>
      <c r="AD659" s="19"/>
      <c r="AE659" s="19"/>
    </row>
    <row r="660" spans="1:31" ht="13.15" x14ac:dyDescent="0.4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  <c r="AA660" s="19"/>
      <c r="AB660" s="19"/>
      <c r="AC660" s="19"/>
      <c r="AD660" s="19"/>
      <c r="AE660" s="19"/>
    </row>
    <row r="661" spans="1:31" ht="13.15" x14ac:dyDescent="0.4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  <c r="AA661" s="19"/>
      <c r="AB661" s="19"/>
      <c r="AC661" s="19"/>
      <c r="AD661" s="19"/>
      <c r="AE661" s="19"/>
    </row>
    <row r="662" spans="1:31" ht="13.15" x14ac:dyDescent="0.4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  <c r="AA662" s="19"/>
      <c r="AB662" s="19"/>
      <c r="AC662" s="19"/>
      <c r="AD662" s="19"/>
      <c r="AE662" s="19"/>
    </row>
    <row r="663" spans="1:31" ht="13.15" x14ac:dyDescent="0.4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  <c r="AA663" s="19"/>
      <c r="AB663" s="19"/>
      <c r="AC663" s="19"/>
      <c r="AD663" s="19"/>
      <c r="AE663" s="19"/>
    </row>
    <row r="664" spans="1:31" ht="13.15" x14ac:dyDescent="0.4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  <c r="AA664" s="19"/>
      <c r="AB664" s="19"/>
      <c r="AC664" s="19"/>
      <c r="AD664" s="19"/>
      <c r="AE664" s="19"/>
    </row>
    <row r="665" spans="1:31" ht="13.15" x14ac:dyDescent="0.4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  <c r="AA665" s="19"/>
      <c r="AB665" s="19"/>
      <c r="AC665" s="19"/>
      <c r="AD665" s="19"/>
      <c r="AE665" s="19"/>
    </row>
    <row r="666" spans="1:31" ht="13.15" x14ac:dyDescent="0.4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  <c r="AA666" s="19"/>
      <c r="AB666" s="19"/>
      <c r="AC666" s="19"/>
      <c r="AD666" s="19"/>
      <c r="AE666" s="19"/>
    </row>
    <row r="667" spans="1:31" ht="13.15" x14ac:dyDescent="0.4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  <c r="AA667" s="19"/>
      <c r="AB667" s="19"/>
      <c r="AC667" s="19"/>
      <c r="AD667" s="19"/>
      <c r="AE667" s="19"/>
    </row>
    <row r="668" spans="1:31" ht="13.15" x14ac:dyDescent="0.4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  <c r="AA668" s="19"/>
      <c r="AB668" s="19"/>
      <c r="AC668" s="19"/>
      <c r="AD668" s="19"/>
      <c r="AE668" s="19"/>
    </row>
    <row r="669" spans="1:31" ht="13.15" x14ac:dyDescent="0.4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  <c r="AA669" s="19"/>
      <c r="AB669" s="19"/>
      <c r="AC669" s="19"/>
      <c r="AD669" s="19"/>
      <c r="AE669" s="19"/>
    </row>
    <row r="670" spans="1:31" ht="13.15" x14ac:dyDescent="0.4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  <c r="AA670" s="19"/>
      <c r="AB670" s="19"/>
      <c r="AC670" s="19"/>
      <c r="AD670" s="19"/>
      <c r="AE670" s="19"/>
    </row>
    <row r="671" spans="1:31" ht="13.15" x14ac:dyDescent="0.4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  <c r="AA671" s="19"/>
      <c r="AB671" s="19"/>
      <c r="AC671" s="19"/>
      <c r="AD671" s="19"/>
      <c r="AE671" s="19"/>
    </row>
    <row r="672" spans="1:31" ht="13.15" x14ac:dyDescent="0.4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  <c r="AA672" s="19"/>
      <c r="AB672" s="19"/>
      <c r="AC672" s="19"/>
      <c r="AD672" s="19"/>
      <c r="AE672" s="19"/>
    </row>
    <row r="673" spans="1:31" ht="13.15" x14ac:dyDescent="0.4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  <c r="AA673" s="19"/>
      <c r="AB673" s="19"/>
      <c r="AC673" s="19"/>
      <c r="AD673" s="19"/>
      <c r="AE673" s="19"/>
    </row>
    <row r="674" spans="1:31" ht="13.15" x14ac:dyDescent="0.4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  <c r="AA674" s="19"/>
      <c r="AB674" s="19"/>
      <c r="AC674" s="19"/>
      <c r="AD674" s="19"/>
      <c r="AE674" s="19"/>
    </row>
    <row r="675" spans="1:31" ht="13.15" x14ac:dyDescent="0.4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  <c r="AA675" s="19"/>
      <c r="AB675" s="19"/>
      <c r="AC675" s="19"/>
      <c r="AD675" s="19"/>
      <c r="AE675" s="19"/>
    </row>
    <row r="676" spans="1:31" ht="13.15" x14ac:dyDescent="0.4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  <c r="AA676" s="19"/>
      <c r="AB676" s="19"/>
      <c r="AC676" s="19"/>
      <c r="AD676" s="19"/>
      <c r="AE676" s="19"/>
    </row>
    <row r="677" spans="1:31" ht="13.15" x14ac:dyDescent="0.4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  <c r="AA677" s="19"/>
      <c r="AB677" s="19"/>
      <c r="AC677" s="19"/>
      <c r="AD677" s="19"/>
      <c r="AE677" s="19"/>
    </row>
    <row r="678" spans="1:31" ht="13.15" x14ac:dyDescent="0.4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  <c r="AA678" s="19"/>
      <c r="AB678" s="19"/>
      <c r="AC678" s="19"/>
      <c r="AD678" s="19"/>
      <c r="AE678" s="19"/>
    </row>
    <row r="679" spans="1:31" ht="13.15" x14ac:dyDescent="0.4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A679" s="19"/>
      <c r="AB679" s="19"/>
      <c r="AC679" s="19"/>
      <c r="AD679" s="19"/>
      <c r="AE679" s="19"/>
    </row>
    <row r="680" spans="1:31" ht="13.15" x14ac:dyDescent="0.4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  <c r="AA680" s="19"/>
      <c r="AB680" s="19"/>
      <c r="AC680" s="19"/>
      <c r="AD680" s="19"/>
      <c r="AE680" s="19"/>
    </row>
    <row r="681" spans="1:31" ht="13.15" x14ac:dyDescent="0.4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  <c r="AA681" s="19"/>
      <c r="AB681" s="19"/>
      <c r="AC681" s="19"/>
      <c r="AD681" s="19"/>
      <c r="AE681" s="19"/>
    </row>
    <row r="682" spans="1:31" ht="13.15" x14ac:dyDescent="0.4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  <c r="AA682" s="19"/>
      <c r="AB682" s="19"/>
      <c r="AC682" s="19"/>
      <c r="AD682" s="19"/>
      <c r="AE682" s="19"/>
    </row>
    <row r="683" spans="1:31" ht="13.15" x14ac:dyDescent="0.4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  <c r="AA683" s="19"/>
      <c r="AB683" s="19"/>
      <c r="AC683" s="19"/>
      <c r="AD683" s="19"/>
      <c r="AE683" s="19"/>
    </row>
    <row r="684" spans="1:31" ht="13.15" x14ac:dyDescent="0.4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  <c r="AA684" s="19"/>
      <c r="AB684" s="19"/>
      <c r="AC684" s="19"/>
      <c r="AD684" s="19"/>
      <c r="AE684" s="19"/>
    </row>
    <row r="685" spans="1:31" ht="13.15" x14ac:dyDescent="0.4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  <c r="AA685" s="19"/>
      <c r="AB685" s="19"/>
      <c r="AC685" s="19"/>
      <c r="AD685" s="19"/>
      <c r="AE685" s="19"/>
    </row>
    <row r="686" spans="1:31" ht="13.15" x14ac:dyDescent="0.4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  <c r="AA686" s="19"/>
      <c r="AB686" s="19"/>
      <c r="AC686" s="19"/>
      <c r="AD686" s="19"/>
      <c r="AE686" s="19"/>
    </row>
    <row r="687" spans="1:31" ht="13.15" x14ac:dyDescent="0.4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  <c r="AA687" s="19"/>
      <c r="AB687" s="19"/>
      <c r="AC687" s="19"/>
      <c r="AD687" s="19"/>
      <c r="AE687" s="19"/>
    </row>
    <row r="688" spans="1:31" ht="13.15" x14ac:dyDescent="0.4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  <c r="AA688" s="19"/>
      <c r="AB688" s="19"/>
      <c r="AC688" s="19"/>
      <c r="AD688" s="19"/>
      <c r="AE688" s="19"/>
    </row>
    <row r="689" spans="1:31" ht="13.15" x14ac:dyDescent="0.4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  <c r="AA689" s="19"/>
      <c r="AB689" s="19"/>
      <c r="AC689" s="19"/>
      <c r="AD689" s="19"/>
      <c r="AE689" s="19"/>
    </row>
    <row r="690" spans="1:31" ht="13.15" x14ac:dyDescent="0.4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  <c r="AA690" s="19"/>
      <c r="AB690" s="19"/>
      <c r="AC690" s="19"/>
      <c r="AD690" s="19"/>
      <c r="AE690" s="19"/>
    </row>
    <row r="691" spans="1:31" ht="13.15" x14ac:dyDescent="0.4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  <c r="AA691" s="19"/>
      <c r="AB691" s="19"/>
      <c r="AC691" s="19"/>
      <c r="AD691" s="19"/>
      <c r="AE691" s="19"/>
    </row>
    <row r="692" spans="1:31" ht="13.15" x14ac:dyDescent="0.4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  <c r="AA692" s="19"/>
      <c r="AB692" s="19"/>
      <c r="AC692" s="19"/>
      <c r="AD692" s="19"/>
      <c r="AE692" s="19"/>
    </row>
    <row r="693" spans="1:31" ht="13.15" x14ac:dyDescent="0.4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  <c r="AA693" s="19"/>
      <c r="AB693" s="19"/>
      <c r="AC693" s="19"/>
      <c r="AD693" s="19"/>
      <c r="AE693" s="19"/>
    </row>
    <row r="694" spans="1:31" ht="13.15" x14ac:dyDescent="0.4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  <c r="AA694" s="19"/>
      <c r="AB694" s="19"/>
      <c r="AC694" s="19"/>
      <c r="AD694" s="19"/>
      <c r="AE694" s="19"/>
    </row>
    <row r="695" spans="1:31" ht="13.15" x14ac:dyDescent="0.4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  <c r="AA695" s="19"/>
      <c r="AB695" s="19"/>
      <c r="AC695" s="19"/>
      <c r="AD695" s="19"/>
      <c r="AE695" s="19"/>
    </row>
    <row r="696" spans="1:31" ht="13.15" x14ac:dyDescent="0.4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  <c r="AA696" s="19"/>
      <c r="AB696" s="19"/>
      <c r="AC696" s="19"/>
      <c r="AD696" s="19"/>
      <c r="AE696" s="19"/>
    </row>
    <row r="697" spans="1:31" ht="13.15" x14ac:dyDescent="0.4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  <c r="AA697" s="19"/>
      <c r="AB697" s="19"/>
      <c r="AC697" s="19"/>
      <c r="AD697" s="19"/>
      <c r="AE697" s="19"/>
    </row>
    <row r="698" spans="1:31" ht="13.15" x14ac:dyDescent="0.4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  <c r="AA698" s="19"/>
      <c r="AB698" s="19"/>
      <c r="AC698" s="19"/>
      <c r="AD698" s="19"/>
      <c r="AE698" s="19"/>
    </row>
    <row r="699" spans="1:31" ht="13.15" x14ac:dyDescent="0.4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  <c r="AA699" s="19"/>
      <c r="AB699" s="19"/>
      <c r="AC699" s="19"/>
      <c r="AD699" s="19"/>
      <c r="AE699" s="19"/>
    </row>
    <row r="700" spans="1:31" ht="13.15" x14ac:dyDescent="0.4">
      <c r="A700" s="19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  <c r="AA700" s="19"/>
      <c r="AB700" s="19"/>
      <c r="AC700" s="19"/>
      <c r="AD700" s="19"/>
      <c r="AE700" s="19"/>
    </row>
    <row r="701" spans="1:31" ht="13.15" x14ac:dyDescent="0.4">
      <c r="A701" s="19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  <c r="AA701" s="19"/>
      <c r="AB701" s="19"/>
      <c r="AC701" s="19"/>
      <c r="AD701" s="19"/>
      <c r="AE701" s="19"/>
    </row>
    <row r="702" spans="1:31" ht="13.15" x14ac:dyDescent="0.4">
      <c r="A702" s="19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  <c r="AA702" s="19"/>
      <c r="AB702" s="19"/>
      <c r="AC702" s="19"/>
      <c r="AD702" s="19"/>
      <c r="AE702" s="19"/>
    </row>
    <row r="703" spans="1:31" ht="13.15" x14ac:dyDescent="0.4">
      <c r="A703" s="19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  <c r="AA703" s="19"/>
      <c r="AB703" s="19"/>
      <c r="AC703" s="19"/>
      <c r="AD703" s="19"/>
      <c r="AE703" s="19"/>
    </row>
    <row r="704" spans="1:31" ht="13.15" x14ac:dyDescent="0.4">
      <c r="A704" s="19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  <c r="AA704" s="19"/>
      <c r="AB704" s="19"/>
      <c r="AC704" s="19"/>
      <c r="AD704" s="19"/>
      <c r="AE704" s="19"/>
    </row>
    <row r="705" spans="1:31" ht="13.15" x14ac:dyDescent="0.4">
      <c r="A705" s="19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  <c r="AA705" s="19"/>
      <c r="AB705" s="19"/>
      <c r="AC705" s="19"/>
      <c r="AD705" s="19"/>
      <c r="AE705" s="19"/>
    </row>
    <row r="706" spans="1:31" ht="13.15" x14ac:dyDescent="0.4">
      <c r="A706" s="19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A706" s="19"/>
      <c r="AB706" s="19"/>
      <c r="AC706" s="19"/>
      <c r="AD706" s="19"/>
      <c r="AE706" s="19"/>
    </row>
    <row r="707" spans="1:31" ht="13.15" x14ac:dyDescent="0.4">
      <c r="A707" s="19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  <c r="AA707" s="19"/>
      <c r="AB707" s="19"/>
      <c r="AC707" s="19"/>
      <c r="AD707" s="19"/>
      <c r="AE707" s="19"/>
    </row>
    <row r="708" spans="1:31" ht="13.15" x14ac:dyDescent="0.4">
      <c r="A708" s="19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  <c r="AA708" s="19"/>
      <c r="AB708" s="19"/>
      <c r="AC708" s="19"/>
      <c r="AD708" s="19"/>
      <c r="AE708" s="19"/>
    </row>
    <row r="709" spans="1:31" ht="13.15" x14ac:dyDescent="0.4">
      <c r="A709" s="19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  <c r="AA709" s="19"/>
      <c r="AB709" s="19"/>
      <c r="AC709" s="19"/>
      <c r="AD709" s="19"/>
      <c r="AE709" s="19"/>
    </row>
    <row r="710" spans="1:31" ht="13.15" x14ac:dyDescent="0.4">
      <c r="A710" s="19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  <c r="AA710" s="19"/>
      <c r="AB710" s="19"/>
      <c r="AC710" s="19"/>
      <c r="AD710" s="19"/>
      <c r="AE710" s="19"/>
    </row>
    <row r="711" spans="1:31" ht="13.15" x14ac:dyDescent="0.4">
      <c r="A711" s="19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  <c r="AB711" s="19"/>
      <c r="AC711" s="19"/>
      <c r="AD711" s="19"/>
      <c r="AE711" s="19"/>
    </row>
    <row r="712" spans="1:31" ht="13.15" x14ac:dyDescent="0.4">
      <c r="A712" s="19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  <c r="AA712" s="19"/>
      <c r="AB712" s="19"/>
      <c r="AC712" s="19"/>
      <c r="AD712" s="19"/>
      <c r="AE712" s="19"/>
    </row>
    <row r="713" spans="1:31" ht="13.15" x14ac:dyDescent="0.4">
      <c r="A713" s="19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  <c r="AA713" s="19"/>
      <c r="AB713" s="19"/>
      <c r="AC713" s="19"/>
      <c r="AD713" s="19"/>
      <c r="AE713" s="19"/>
    </row>
    <row r="714" spans="1:31" ht="13.15" x14ac:dyDescent="0.4">
      <c r="A714" s="19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  <c r="AA714" s="19"/>
      <c r="AB714" s="19"/>
      <c r="AC714" s="19"/>
      <c r="AD714" s="19"/>
      <c r="AE714" s="19"/>
    </row>
    <row r="715" spans="1:31" ht="13.15" x14ac:dyDescent="0.4">
      <c r="A715" s="19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  <c r="AA715" s="19"/>
      <c r="AB715" s="19"/>
      <c r="AC715" s="19"/>
      <c r="AD715" s="19"/>
      <c r="AE715" s="19"/>
    </row>
    <row r="716" spans="1:31" ht="13.15" x14ac:dyDescent="0.4">
      <c r="A716" s="19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  <c r="AA716" s="19"/>
      <c r="AB716" s="19"/>
      <c r="AC716" s="19"/>
      <c r="AD716" s="19"/>
      <c r="AE716" s="19"/>
    </row>
    <row r="717" spans="1:31" ht="13.15" x14ac:dyDescent="0.4">
      <c r="A717" s="19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  <c r="AA717" s="19"/>
      <c r="AB717" s="19"/>
      <c r="AC717" s="19"/>
      <c r="AD717" s="19"/>
      <c r="AE717" s="19"/>
    </row>
    <row r="718" spans="1:31" ht="13.15" x14ac:dyDescent="0.4">
      <c r="A718" s="19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  <c r="AA718" s="19"/>
      <c r="AB718" s="19"/>
      <c r="AC718" s="19"/>
      <c r="AD718" s="19"/>
      <c r="AE718" s="19"/>
    </row>
    <row r="719" spans="1:31" ht="13.15" x14ac:dyDescent="0.4">
      <c r="A719" s="19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  <c r="AA719" s="19"/>
      <c r="AB719" s="19"/>
      <c r="AC719" s="19"/>
      <c r="AD719" s="19"/>
      <c r="AE719" s="19"/>
    </row>
    <row r="720" spans="1:31" ht="13.15" x14ac:dyDescent="0.4">
      <c r="A720" s="19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  <c r="AA720" s="19"/>
      <c r="AB720" s="19"/>
      <c r="AC720" s="19"/>
      <c r="AD720" s="19"/>
      <c r="AE720" s="19"/>
    </row>
    <row r="721" spans="1:31" ht="13.15" x14ac:dyDescent="0.4">
      <c r="A721" s="19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  <c r="AA721" s="19"/>
      <c r="AB721" s="19"/>
      <c r="AC721" s="19"/>
      <c r="AD721" s="19"/>
      <c r="AE721" s="19"/>
    </row>
    <row r="722" spans="1:31" ht="13.15" x14ac:dyDescent="0.4">
      <c r="A722" s="19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  <c r="AA722" s="19"/>
      <c r="AB722" s="19"/>
      <c r="AC722" s="19"/>
      <c r="AD722" s="19"/>
      <c r="AE722" s="19"/>
    </row>
    <row r="723" spans="1:31" ht="13.15" x14ac:dyDescent="0.4">
      <c r="A723" s="19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  <c r="AA723" s="19"/>
      <c r="AB723" s="19"/>
      <c r="AC723" s="19"/>
      <c r="AD723" s="19"/>
      <c r="AE723" s="19"/>
    </row>
    <row r="724" spans="1:31" ht="13.15" x14ac:dyDescent="0.4">
      <c r="A724" s="19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  <c r="AA724" s="19"/>
      <c r="AB724" s="19"/>
      <c r="AC724" s="19"/>
      <c r="AD724" s="19"/>
      <c r="AE724" s="19"/>
    </row>
    <row r="725" spans="1:31" ht="13.15" x14ac:dyDescent="0.4">
      <c r="A725" s="19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  <c r="AA725" s="19"/>
      <c r="AB725" s="19"/>
      <c r="AC725" s="19"/>
      <c r="AD725" s="19"/>
      <c r="AE725" s="19"/>
    </row>
    <row r="726" spans="1:31" ht="13.15" x14ac:dyDescent="0.4">
      <c r="A726" s="19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  <c r="AA726" s="19"/>
      <c r="AB726" s="19"/>
      <c r="AC726" s="19"/>
      <c r="AD726" s="19"/>
      <c r="AE726" s="19"/>
    </row>
    <row r="727" spans="1:31" ht="13.15" x14ac:dyDescent="0.4">
      <c r="A727" s="19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  <c r="AA727" s="19"/>
      <c r="AB727" s="19"/>
      <c r="AC727" s="19"/>
      <c r="AD727" s="19"/>
      <c r="AE727" s="19"/>
    </row>
    <row r="728" spans="1:31" ht="13.15" x14ac:dyDescent="0.4">
      <c r="A728" s="19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  <c r="AB728" s="19"/>
      <c r="AC728" s="19"/>
      <c r="AD728" s="19"/>
      <c r="AE728" s="19"/>
    </row>
    <row r="729" spans="1:31" ht="13.15" x14ac:dyDescent="0.4">
      <c r="A729" s="19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A729" s="19"/>
      <c r="AB729" s="19"/>
      <c r="AC729" s="19"/>
      <c r="AD729" s="19"/>
      <c r="AE729" s="19"/>
    </row>
    <row r="730" spans="1:31" ht="13.15" x14ac:dyDescent="0.4">
      <c r="A730" s="19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  <c r="AA730" s="19"/>
      <c r="AB730" s="19"/>
      <c r="AC730" s="19"/>
      <c r="AD730" s="19"/>
      <c r="AE730" s="19"/>
    </row>
    <row r="731" spans="1:31" ht="13.15" x14ac:dyDescent="0.4">
      <c r="A731" s="19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  <c r="AA731" s="19"/>
      <c r="AB731" s="19"/>
      <c r="AC731" s="19"/>
      <c r="AD731" s="19"/>
      <c r="AE731" s="19"/>
    </row>
    <row r="732" spans="1:31" ht="13.15" x14ac:dyDescent="0.4">
      <c r="A732" s="19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  <c r="AA732" s="19"/>
      <c r="AB732" s="19"/>
      <c r="AC732" s="19"/>
      <c r="AD732" s="19"/>
      <c r="AE732" s="19"/>
    </row>
    <row r="733" spans="1:31" ht="13.15" x14ac:dyDescent="0.4">
      <c r="A733" s="19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  <c r="AA733" s="19"/>
      <c r="AB733" s="19"/>
      <c r="AC733" s="19"/>
      <c r="AD733" s="19"/>
      <c r="AE733" s="19"/>
    </row>
    <row r="734" spans="1:31" ht="13.15" x14ac:dyDescent="0.4">
      <c r="A734" s="19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  <c r="AA734" s="19"/>
      <c r="AB734" s="19"/>
      <c r="AC734" s="19"/>
      <c r="AD734" s="19"/>
      <c r="AE734" s="19"/>
    </row>
    <row r="735" spans="1:31" ht="13.15" x14ac:dyDescent="0.4">
      <c r="A735" s="19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  <c r="AA735" s="19"/>
      <c r="AB735" s="19"/>
      <c r="AC735" s="19"/>
      <c r="AD735" s="19"/>
      <c r="AE735" s="19"/>
    </row>
    <row r="736" spans="1:31" ht="13.15" x14ac:dyDescent="0.4">
      <c r="A736" s="19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  <c r="AA736" s="19"/>
      <c r="AB736" s="19"/>
      <c r="AC736" s="19"/>
      <c r="AD736" s="19"/>
      <c r="AE736" s="19"/>
    </row>
    <row r="737" spans="1:31" ht="13.15" x14ac:dyDescent="0.4">
      <c r="A737" s="19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  <c r="AA737" s="19"/>
      <c r="AB737" s="19"/>
      <c r="AC737" s="19"/>
      <c r="AD737" s="19"/>
      <c r="AE737" s="19"/>
    </row>
    <row r="738" spans="1:31" ht="13.15" x14ac:dyDescent="0.4">
      <c r="A738" s="19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  <c r="AA738" s="19"/>
      <c r="AB738" s="19"/>
      <c r="AC738" s="19"/>
      <c r="AD738" s="19"/>
      <c r="AE738" s="19"/>
    </row>
    <row r="739" spans="1:31" ht="13.15" x14ac:dyDescent="0.4">
      <c r="A739" s="19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  <c r="AA739" s="19"/>
      <c r="AB739" s="19"/>
      <c r="AC739" s="19"/>
      <c r="AD739" s="19"/>
      <c r="AE739" s="19"/>
    </row>
    <row r="740" spans="1:31" ht="13.15" x14ac:dyDescent="0.4">
      <c r="A740" s="19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  <c r="AA740" s="19"/>
      <c r="AB740" s="19"/>
      <c r="AC740" s="19"/>
      <c r="AD740" s="19"/>
      <c r="AE740" s="19"/>
    </row>
    <row r="741" spans="1:31" ht="13.15" x14ac:dyDescent="0.4">
      <c r="A741" s="19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  <c r="AA741" s="19"/>
      <c r="AB741" s="19"/>
      <c r="AC741" s="19"/>
      <c r="AD741" s="19"/>
      <c r="AE741" s="19"/>
    </row>
    <row r="742" spans="1:31" ht="13.15" x14ac:dyDescent="0.4">
      <c r="A742" s="19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  <c r="AA742" s="19"/>
      <c r="AB742" s="19"/>
      <c r="AC742" s="19"/>
      <c r="AD742" s="19"/>
      <c r="AE742" s="19"/>
    </row>
    <row r="743" spans="1:31" ht="13.15" x14ac:dyDescent="0.4">
      <c r="A743" s="19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  <c r="AA743" s="19"/>
      <c r="AB743" s="19"/>
      <c r="AC743" s="19"/>
      <c r="AD743" s="19"/>
      <c r="AE743" s="19"/>
    </row>
    <row r="744" spans="1:31" ht="13.15" x14ac:dyDescent="0.4">
      <c r="A744" s="19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  <c r="AA744" s="19"/>
      <c r="AB744" s="19"/>
      <c r="AC744" s="19"/>
      <c r="AD744" s="19"/>
      <c r="AE744" s="19"/>
    </row>
    <row r="745" spans="1:31" ht="13.15" x14ac:dyDescent="0.4">
      <c r="A745" s="19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  <c r="AA745" s="19"/>
      <c r="AB745" s="19"/>
      <c r="AC745" s="19"/>
      <c r="AD745" s="19"/>
      <c r="AE745" s="19"/>
    </row>
    <row r="746" spans="1:31" ht="13.15" x14ac:dyDescent="0.4">
      <c r="A746" s="19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  <c r="AA746" s="19"/>
      <c r="AB746" s="19"/>
      <c r="AC746" s="19"/>
      <c r="AD746" s="19"/>
      <c r="AE746" s="19"/>
    </row>
    <row r="747" spans="1:31" ht="13.15" x14ac:dyDescent="0.4">
      <c r="A747" s="19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  <c r="AA747" s="19"/>
      <c r="AB747" s="19"/>
      <c r="AC747" s="19"/>
      <c r="AD747" s="19"/>
      <c r="AE747" s="19"/>
    </row>
    <row r="748" spans="1:31" ht="13.15" x14ac:dyDescent="0.4">
      <c r="A748" s="19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  <c r="AA748" s="19"/>
      <c r="AB748" s="19"/>
      <c r="AC748" s="19"/>
      <c r="AD748" s="19"/>
      <c r="AE748" s="19"/>
    </row>
    <row r="749" spans="1:31" ht="13.15" x14ac:dyDescent="0.4">
      <c r="A749" s="19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  <c r="AA749" s="19"/>
      <c r="AB749" s="19"/>
      <c r="AC749" s="19"/>
      <c r="AD749" s="19"/>
      <c r="AE749" s="19"/>
    </row>
    <row r="750" spans="1:31" ht="13.15" x14ac:dyDescent="0.4">
      <c r="A750" s="19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  <c r="AA750" s="19"/>
      <c r="AB750" s="19"/>
      <c r="AC750" s="19"/>
      <c r="AD750" s="19"/>
      <c r="AE750" s="19"/>
    </row>
    <row r="751" spans="1:31" ht="13.15" x14ac:dyDescent="0.4">
      <c r="A751" s="19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  <c r="AA751" s="19"/>
      <c r="AB751" s="19"/>
      <c r="AC751" s="19"/>
      <c r="AD751" s="19"/>
      <c r="AE751" s="19"/>
    </row>
    <row r="752" spans="1:31" ht="13.15" x14ac:dyDescent="0.4">
      <c r="A752" s="19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  <c r="AA752" s="19"/>
      <c r="AB752" s="19"/>
      <c r="AC752" s="19"/>
      <c r="AD752" s="19"/>
      <c r="AE752" s="19"/>
    </row>
    <row r="753" spans="1:31" ht="13.15" x14ac:dyDescent="0.4">
      <c r="A753" s="19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  <c r="AA753" s="19"/>
      <c r="AB753" s="19"/>
      <c r="AC753" s="19"/>
      <c r="AD753" s="19"/>
      <c r="AE753" s="19"/>
    </row>
    <row r="754" spans="1:31" ht="13.15" x14ac:dyDescent="0.4">
      <c r="A754" s="19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  <c r="AA754" s="19"/>
      <c r="AB754" s="19"/>
      <c r="AC754" s="19"/>
      <c r="AD754" s="19"/>
      <c r="AE754" s="19"/>
    </row>
    <row r="755" spans="1:31" ht="13.15" x14ac:dyDescent="0.4">
      <c r="A755" s="19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  <c r="AA755" s="19"/>
      <c r="AB755" s="19"/>
      <c r="AC755" s="19"/>
      <c r="AD755" s="19"/>
      <c r="AE755" s="19"/>
    </row>
    <row r="756" spans="1:31" ht="13.15" x14ac:dyDescent="0.4">
      <c r="A756" s="19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  <c r="AA756" s="19"/>
      <c r="AB756" s="19"/>
      <c r="AC756" s="19"/>
      <c r="AD756" s="19"/>
      <c r="AE756" s="19"/>
    </row>
    <row r="757" spans="1:31" ht="13.15" x14ac:dyDescent="0.4">
      <c r="A757" s="19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  <c r="AA757" s="19"/>
      <c r="AB757" s="19"/>
      <c r="AC757" s="19"/>
      <c r="AD757" s="19"/>
      <c r="AE757" s="19"/>
    </row>
    <row r="758" spans="1:31" ht="13.15" x14ac:dyDescent="0.4">
      <c r="A758" s="19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  <c r="AA758" s="19"/>
      <c r="AB758" s="19"/>
      <c r="AC758" s="19"/>
      <c r="AD758" s="19"/>
      <c r="AE758" s="19"/>
    </row>
    <row r="759" spans="1:31" ht="13.15" x14ac:dyDescent="0.4">
      <c r="A759" s="19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  <c r="AA759" s="19"/>
      <c r="AB759" s="19"/>
      <c r="AC759" s="19"/>
      <c r="AD759" s="19"/>
      <c r="AE759" s="19"/>
    </row>
    <row r="760" spans="1:31" ht="13.15" x14ac:dyDescent="0.4">
      <c r="A760" s="19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  <c r="AA760" s="19"/>
      <c r="AB760" s="19"/>
      <c r="AC760" s="19"/>
      <c r="AD760" s="19"/>
      <c r="AE760" s="19"/>
    </row>
    <row r="761" spans="1:31" ht="13.15" x14ac:dyDescent="0.4">
      <c r="A761" s="19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  <c r="AA761" s="19"/>
      <c r="AB761" s="19"/>
      <c r="AC761" s="19"/>
      <c r="AD761" s="19"/>
      <c r="AE761" s="19"/>
    </row>
    <row r="762" spans="1:31" ht="13.15" x14ac:dyDescent="0.4">
      <c r="A762" s="19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  <c r="AB762" s="19"/>
      <c r="AC762" s="19"/>
      <c r="AD762" s="19"/>
      <c r="AE762" s="19"/>
    </row>
    <row r="763" spans="1:31" ht="13.15" x14ac:dyDescent="0.4">
      <c r="A763" s="19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  <c r="AA763" s="19"/>
      <c r="AB763" s="19"/>
      <c r="AC763" s="19"/>
      <c r="AD763" s="19"/>
      <c r="AE763" s="19"/>
    </row>
    <row r="764" spans="1:31" ht="13.15" x14ac:dyDescent="0.4">
      <c r="A764" s="19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  <c r="AA764" s="19"/>
      <c r="AB764" s="19"/>
      <c r="AC764" s="19"/>
      <c r="AD764" s="19"/>
      <c r="AE764" s="19"/>
    </row>
    <row r="765" spans="1:31" ht="13.15" x14ac:dyDescent="0.4">
      <c r="A765" s="19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  <c r="AA765" s="19"/>
      <c r="AB765" s="19"/>
      <c r="AC765" s="19"/>
      <c r="AD765" s="19"/>
      <c r="AE765" s="19"/>
    </row>
    <row r="766" spans="1:31" ht="13.15" x14ac:dyDescent="0.4">
      <c r="A766" s="19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  <c r="AA766" s="19"/>
      <c r="AB766" s="19"/>
      <c r="AC766" s="19"/>
      <c r="AD766" s="19"/>
      <c r="AE766" s="19"/>
    </row>
    <row r="767" spans="1:31" ht="13.15" x14ac:dyDescent="0.4">
      <c r="A767" s="19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  <c r="AA767" s="19"/>
      <c r="AB767" s="19"/>
      <c r="AC767" s="19"/>
      <c r="AD767" s="19"/>
      <c r="AE767" s="19"/>
    </row>
    <row r="768" spans="1:31" ht="13.15" x14ac:dyDescent="0.4">
      <c r="A768" s="19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  <c r="AA768" s="19"/>
      <c r="AB768" s="19"/>
      <c r="AC768" s="19"/>
      <c r="AD768" s="19"/>
      <c r="AE768" s="19"/>
    </row>
    <row r="769" spans="1:31" ht="13.15" x14ac:dyDescent="0.4">
      <c r="A769" s="19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  <c r="AA769" s="19"/>
      <c r="AB769" s="19"/>
      <c r="AC769" s="19"/>
      <c r="AD769" s="19"/>
      <c r="AE769" s="19"/>
    </row>
    <row r="770" spans="1:31" ht="13.15" x14ac:dyDescent="0.4">
      <c r="A770" s="19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  <c r="AA770" s="19"/>
      <c r="AB770" s="19"/>
      <c r="AC770" s="19"/>
      <c r="AD770" s="19"/>
      <c r="AE770" s="19"/>
    </row>
    <row r="771" spans="1:31" ht="13.15" x14ac:dyDescent="0.4">
      <c r="A771" s="19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  <c r="AA771" s="19"/>
      <c r="AB771" s="19"/>
      <c r="AC771" s="19"/>
      <c r="AD771" s="19"/>
      <c r="AE771" s="19"/>
    </row>
    <row r="772" spans="1:31" ht="13.15" x14ac:dyDescent="0.4">
      <c r="A772" s="19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  <c r="AA772" s="19"/>
      <c r="AB772" s="19"/>
      <c r="AC772" s="19"/>
      <c r="AD772" s="19"/>
      <c r="AE772" s="19"/>
    </row>
    <row r="773" spans="1:31" ht="13.15" x14ac:dyDescent="0.4">
      <c r="A773" s="19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  <c r="AA773" s="19"/>
      <c r="AB773" s="19"/>
      <c r="AC773" s="19"/>
      <c r="AD773" s="19"/>
      <c r="AE773" s="19"/>
    </row>
    <row r="774" spans="1:31" ht="13.15" x14ac:dyDescent="0.4">
      <c r="A774" s="19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  <c r="AA774" s="19"/>
      <c r="AB774" s="19"/>
      <c r="AC774" s="19"/>
      <c r="AD774" s="19"/>
      <c r="AE774" s="19"/>
    </row>
    <row r="775" spans="1:31" ht="13.15" x14ac:dyDescent="0.4">
      <c r="A775" s="19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  <c r="AA775" s="19"/>
      <c r="AB775" s="19"/>
      <c r="AC775" s="19"/>
      <c r="AD775" s="19"/>
      <c r="AE775" s="19"/>
    </row>
    <row r="776" spans="1:31" ht="13.15" x14ac:dyDescent="0.4">
      <c r="A776" s="19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  <c r="AA776" s="19"/>
      <c r="AB776" s="19"/>
      <c r="AC776" s="19"/>
      <c r="AD776" s="19"/>
      <c r="AE776" s="19"/>
    </row>
    <row r="777" spans="1:31" ht="13.15" x14ac:dyDescent="0.4">
      <c r="A777" s="19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  <c r="AA777" s="19"/>
      <c r="AB777" s="19"/>
      <c r="AC777" s="19"/>
      <c r="AD777" s="19"/>
      <c r="AE777" s="19"/>
    </row>
    <row r="778" spans="1:31" ht="13.15" x14ac:dyDescent="0.4">
      <c r="A778" s="19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  <c r="AA778" s="19"/>
      <c r="AB778" s="19"/>
      <c r="AC778" s="19"/>
      <c r="AD778" s="19"/>
      <c r="AE778" s="19"/>
    </row>
    <row r="779" spans="1:31" ht="13.15" x14ac:dyDescent="0.4">
      <c r="A779" s="19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  <c r="AA779" s="19"/>
      <c r="AB779" s="19"/>
      <c r="AC779" s="19"/>
      <c r="AD779" s="19"/>
      <c r="AE779" s="19"/>
    </row>
    <row r="780" spans="1:31" ht="13.15" x14ac:dyDescent="0.4">
      <c r="A780" s="19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  <c r="AA780" s="19"/>
      <c r="AB780" s="19"/>
      <c r="AC780" s="19"/>
      <c r="AD780" s="19"/>
      <c r="AE780" s="19"/>
    </row>
    <row r="781" spans="1:31" ht="13.15" x14ac:dyDescent="0.4">
      <c r="A781" s="19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  <c r="AA781" s="19"/>
      <c r="AB781" s="19"/>
      <c r="AC781" s="19"/>
      <c r="AD781" s="19"/>
      <c r="AE781" s="19"/>
    </row>
    <row r="782" spans="1:31" ht="13.15" x14ac:dyDescent="0.4">
      <c r="A782" s="19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  <c r="AA782" s="19"/>
      <c r="AB782" s="19"/>
      <c r="AC782" s="19"/>
      <c r="AD782" s="19"/>
      <c r="AE782" s="19"/>
    </row>
    <row r="783" spans="1:31" ht="13.15" x14ac:dyDescent="0.4">
      <c r="A783" s="19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  <c r="AA783" s="19"/>
      <c r="AB783" s="19"/>
      <c r="AC783" s="19"/>
      <c r="AD783" s="19"/>
      <c r="AE783" s="19"/>
    </row>
    <row r="784" spans="1:31" ht="13.15" x14ac:dyDescent="0.4">
      <c r="A784" s="19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  <c r="AA784" s="19"/>
      <c r="AB784" s="19"/>
      <c r="AC784" s="19"/>
      <c r="AD784" s="19"/>
      <c r="AE784" s="19"/>
    </row>
    <row r="785" spans="1:31" ht="13.15" x14ac:dyDescent="0.4">
      <c r="A785" s="19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  <c r="AA785" s="19"/>
      <c r="AB785" s="19"/>
      <c r="AC785" s="19"/>
      <c r="AD785" s="19"/>
      <c r="AE785" s="19"/>
    </row>
    <row r="786" spans="1:31" ht="13.15" x14ac:dyDescent="0.4">
      <c r="A786" s="19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  <c r="AA786" s="19"/>
      <c r="AB786" s="19"/>
      <c r="AC786" s="19"/>
      <c r="AD786" s="19"/>
      <c r="AE786" s="19"/>
    </row>
    <row r="787" spans="1:31" ht="13.15" x14ac:dyDescent="0.4">
      <c r="A787" s="19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  <c r="AA787" s="19"/>
      <c r="AB787" s="19"/>
      <c r="AC787" s="19"/>
      <c r="AD787" s="19"/>
      <c r="AE787" s="19"/>
    </row>
    <row r="788" spans="1:31" ht="13.15" x14ac:dyDescent="0.4">
      <c r="A788" s="19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  <c r="AA788" s="19"/>
      <c r="AB788" s="19"/>
      <c r="AC788" s="19"/>
      <c r="AD788" s="19"/>
      <c r="AE788" s="19"/>
    </row>
    <row r="789" spans="1:31" ht="13.15" x14ac:dyDescent="0.4">
      <c r="A789" s="19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  <c r="AA789" s="19"/>
      <c r="AB789" s="19"/>
      <c r="AC789" s="19"/>
      <c r="AD789" s="19"/>
      <c r="AE789" s="19"/>
    </row>
    <row r="790" spans="1:31" ht="13.15" x14ac:dyDescent="0.4">
      <c r="A790" s="19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  <c r="AA790" s="19"/>
      <c r="AB790" s="19"/>
      <c r="AC790" s="19"/>
      <c r="AD790" s="19"/>
      <c r="AE790" s="19"/>
    </row>
    <row r="791" spans="1:31" ht="13.15" x14ac:dyDescent="0.4">
      <c r="A791" s="19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  <c r="AA791" s="19"/>
      <c r="AB791" s="19"/>
      <c r="AC791" s="19"/>
      <c r="AD791" s="19"/>
      <c r="AE791" s="19"/>
    </row>
    <row r="792" spans="1:31" ht="13.15" x14ac:dyDescent="0.4">
      <c r="A792" s="19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  <c r="AA792" s="19"/>
      <c r="AB792" s="19"/>
      <c r="AC792" s="19"/>
      <c r="AD792" s="19"/>
      <c r="AE792" s="19"/>
    </row>
    <row r="793" spans="1:31" ht="13.15" x14ac:dyDescent="0.4">
      <c r="A793" s="19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  <c r="AA793" s="19"/>
      <c r="AB793" s="19"/>
      <c r="AC793" s="19"/>
      <c r="AD793" s="19"/>
      <c r="AE793" s="19"/>
    </row>
    <row r="794" spans="1:31" ht="13.15" x14ac:dyDescent="0.4">
      <c r="A794" s="19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  <c r="AA794" s="19"/>
      <c r="AB794" s="19"/>
      <c r="AC794" s="19"/>
      <c r="AD794" s="19"/>
      <c r="AE794" s="19"/>
    </row>
    <row r="795" spans="1:31" ht="13.15" x14ac:dyDescent="0.4">
      <c r="A795" s="19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  <c r="AA795" s="19"/>
      <c r="AB795" s="19"/>
      <c r="AC795" s="19"/>
      <c r="AD795" s="19"/>
      <c r="AE795" s="19"/>
    </row>
    <row r="796" spans="1:31" ht="13.15" x14ac:dyDescent="0.4">
      <c r="A796" s="19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  <c r="AA796" s="19"/>
      <c r="AB796" s="19"/>
      <c r="AC796" s="19"/>
      <c r="AD796" s="19"/>
      <c r="AE796" s="19"/>
    </row>
    <row r="797" spans="1:31" ht="13.15" x14ac:dyDescent="0.4">
      <c r="A797" s="19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  <c r="AA797" s="19"/>
      <c r="AB797" s="19"/>
      <c r="AC797" s="19"/>
      <c r="AD797" s="19"/>
      <c r="AE797" s="19"/>
    </row>
    <row r="798" spans="1:31" ht="13.15" x14ac:dyDescent="0.4">
      <c r="A798" s="19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  <c r="AA798" s="19"/>
      <c r="AB798" s="19"/>
      <c r="AC798" s="19"/>
      <c r="AD798" s="19"/>
      <c r="AE798" s="19"/>
    </row>
    <row r="799" spans="1:31" ht="13.15" x14ac:dyDescent="0.4">
      <c r="A799" s="19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  <c r="AA799" s="19"/>
      <c r="AB799" s="19"/>
      <c r="AC799" s="19"/>
      <c r="AD799" s="19"/>
      <c r="AE799" s="19"/>
    </row>
    <row r="800" spans="1:31" ht="13.15" x14ac:dyDescent="0.4">
      <c r="A800" s="19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  <c r="AA800" s="19"/>
      <c r="AB800" s="19"/>
      <c r="AC800" s="19"/>
      <c r="AD800" s="19"/>
      <c r="AE800" s="19"/>
    </row>
    <row r="801" spans="1:31" ht="13.15" x14ac:dyDescent="0.4">
      <c r="A801" s="19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  <c r="AA801" s="19"/>
      <c r="AB801" s="19"/>
      <c r="AC801" s="19"/>
      <c r="AD801" s="19"/>
      <c r="AE801" s="19"/>
    </row>
    <row r="802" spans="1:31" ht="13.15" x14ac:dyDescent="0.4">
      <c r="A802" s="19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  <c r="AA802" s="19"/>
      <c r="AB802" s="19"/>
      <c r="AC802" s="19"/>
      <c r="AD802" s="19"/>
      <c r="AE802" s="19"/>
    </row>
    <row r="803" spans="1:31" ht="13.15" x14ac:dyDescent="0.4">
      <c r="A803" s="19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  <c r="AA803" s="19"/>
      <c r="AB803" s="19"/>
      <c r="AC803" s="19"/>
      <c r="AD803" s="19"/>
      <c r="AE803" s="19"/>
    </row>
    <row r="804" spans="1:31" ht="13.15" x14ac:dyDescent="0.4">
      <c r="A804" s="19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  <c r="AA804" s="19"/>
      <c r="AB804" s="19"/>
      <c r="AC804" s="19"/>
      <c r="AD804" s="19"/>
      <c r="AE804" s="19"/>
    </row>
    <row r="805" spans="1:31" ht="13.15" x14ac:dyDescent="0.4">
      <c r="A805" s="19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  <c r="AA805" s="19"/>
      <c r="AB805" s="19"/>
      <c r="AC805" s="19"/>
      <c r="AD805" s="19"/>
      <c r="AE805" s="19"/>
    </row>
    <row r="806" spans="1:31" ht="13.15" x14ac:dyDescent="0.4">
      <c r="A806" s="19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  <c r="AA806" s="19"/>
      <c r="AB806" s="19"/>
      <c r="AC806" s="19"/>
      <c r="AD806" s="19"/>
      <c r="AE806" s="19"/>
    </row>
    <row r="807" spans="1:31" ht="13.15" x14ac:dyDescent="0.4">
      <c r="A807" s="19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  <c r="AA807" s="19"/>
      <c r="AB807" s="19"/>
      <c r="AC807" s="19"/>
      <c r="AD807" s="19"/>
      <c r="AE807" s="19"/>
    </row>
    <row r="808" spans="1:31" ht="13.15" x14ac:dyDescent="0.4">
      <c r="A808" s="19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  <c r="AA808" s="19"/>
      <c r="AB808" s="19"/>
      <c r="AC808" s="19"/>
      <c r="AD808" s="19"/>
      <c r="AE808" s="19"/>
    </row>
    <row r="809" spans="1:31" ht="13.15" x14ac:dyDescent="0.4">
      <c r="A809" s="19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  <c r="AA809" s="19"/>
      <c r="AB809" s="19"/>
      <c r="AC809" s="19"/>
      <c r="AD809" s="19"/>
      <c r="AE809" s="19"/>
    </row>
    <row r="810" spans="1:31" ht="13.15" x14ac:dyDescent="0.4">
      <c r="A810" s="19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  <c r="AA810" s="19"/>
      <c r="AB810" s="19"/>
      <c r="AC810" s="19"/>
      <c r="AD810" s="19"/>
      <c r="AE810" s="19"/>
    </row>
    <row r="811" spans="1:31" ht="13.15" x14ac:dyDescent="0.4">
      <c r="A811" s="19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  <c r="AA811" s="19"/>
      <c r="AB811" s="19"/>
      <c r="AC811" s="19"/>
      <c r="AD811" s="19"/>
      <c r="AE811" s="19"/>
    </row>
    <row r="812" spans="1:31" ht="13.15" x14ac:dyDescent="0.4">
      <c r="A812" s="19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  <c r="AA812" s="19"/>
      <c r="AB812" s="19"/>
      <c r="AC812" s="19"/>
      <c r="AD812" s="19"/>
      <c r="AE812" s="19"/>
    </row>
    <row r="813" spans="1:31" ht="13.15" x14ac:dyDescent="0.4">
      <c r="A813" s="19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  <c r="AA813" s="19"/>
      <c r="AB813" s="19"/>
      <c r="AC813" s="19"/>
      <c r="AD813" s="19"/>
      <c r="AE813" s="19"/>
    </row>
    <row r="814" spans="1:31" ht="13.15" x14ac:dyDescent="0.4">
      <c r="A814" s="19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  <c r="AA814" s="19"/>
      <c r="AB814" s="19"/>
      <c r="AC814" s="19"/>
      <c r="AD814" s="19"/>
      <c r="AE814" s="19"/>
    </row>
    <row r="815" spans="1:31" ht="13.15" x14ac:dyDescent="0.4">
      <c r="A815" s="19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  <c r="AA815" s="19"/>
      <c r="AB815" s="19"/>
      <c r="AC815" s="19"/>
      <c r="AD815" s="19"/>
      <c r="AE815" s="19"/>
    </row>
    <row r="816" spans="1:31" ht="13.15" x14ac:dyDescent="0.4">
      <c r="A816" s="19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  <c r="AA816" s="19"/>
      <c r="AB816" s="19"/>
      <c r="AC816" s="19"/>
      <c r="AD816" s="19"/>
      <c r="AE816" s="19"/>
    </row>
    <row r="817" spans="1:31" ht="13.15" x14ac:dyDescent="0.4">
      <c r="A817" s="19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  <c r="AA817" s="19"/>
      <c r="AB817" s="19"/>
      <c r="AC817" s="19"/>
      <c r="AD817" s="19"/>
      <c r="AE817" s="19"/>
    </row>
    <row r="818" spans="1:31" ht="13.15" x14ac:dyDescent="0.4">
      <c r="A818" s="19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  <c r="AA818" s="19"/>
      <c r="AB818" s="19"/>
      <c r="AC818" s="19"/>
      <c r="AD818" s="19"/>
      <c r="AE818" s="19"/>
    </row>
    <row r="819" spans="1:31" ht="13.15" x14ac:dyDescent="0.4">
      <c r="A819" s="19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  <c r="AA819" s="19"/>
      <c r="AB819" s="19"/>
      <c r="AC819" s="19"/>
      <c r="AD819" s="19"/>
      <c r="AE819" s="19"/>
    </row>
    <row r="820" spans="1:31" ht="13.15" x14ac:dyDescent="0.4">
      <c r="A820" s="19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  <c r="AA820" s="19"/>
      <c r="AB820" s="19"/>
      <c r="AC820" s="19"/>
      <c r="AD820" s="19"/>
      <c r="AE820" s="19"/>
    </row>
    <row r="821" spans="1:31" ht="13.15" x14ac:dyDescent="0.4">
      <c r="A821" s="19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  <c r="AA821" s="19"/>
      <c r="AB821" s="19"/>
      <c r="AC821" s="19"/>
      <c r="AD821" s="19"/>
      <c r="AE821" s="19"/>
    </row>
    <row r="822" spans="1:31" ht="13.15" x14ac:dyDescent="0.4">
      <c r="A822" s="19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  <c r="AA822" s="19"/>
      <c r="AB822" s="19"/>
      <c r="AC822" s="19"/>
      <c r="AD822" s="19"/>
      <c r="AE822" s="19"/>
    </row>
    <row r="823" spans="1:31" ht="13.15" x14ac:dyDescent="0.4">
      <c r="A823" s="19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  <c r="AA823" s="19"/>
      <c r="AB823" s="19"/>
      <c r="AC823" s="19"/>
      <c r="AD823" s="19"/>
      <c r="AE823" s="19"/>
    </row>
    <row r="824" spans="1:31" ht="13.15" x14ac:dyDescent="0.4">
      <c r="A824" s="19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  <c r="AA824" s="19"/>
      <c r="AB824" s="19"/>
      <c r="AC824" s="19"/>
      <c r="AD824" s="19"/>
      <c r="AE824" s="19"/>
    </row>
    <row r="825" spans="1:31" ht="13.15" x14ac:dyDescent="0.4">
      <c r="A825" s="19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  <c r="AA825" s="19"/>
      <c r="AB825" s="19"/>
      <c r="AC825" s="19"/>
      <c r="AD825" s="19"/>
      <c r="AE825" s="19"/>
    </row>
    <row r="826" spans="1:31" ht="13.15" x14ac:dyDescent="0.4">
      <c r="A826" s="19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  <c r="AA826" s="19"/>
      <c r="AB826" s="19"/>
      <c r="AC826" s="19"/>
      <c r="AD826" s="19"/>
      <c r="AE826" s="19"/>
    </row>
    <row r="827" spans="1:31" ht="13.15" x14ac:dyDescent="0.4">
      <c r="A827" s="19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  <c r="AA827" s="19"/>
      <c r="AB827" s="19"/>
      <c r="AC827" s="19"/>
      <c r="AD827" s="19"/>
      <c r="AE827" s="19"/>
    </row>
    <row r="828" spans="1:31" ht="13.15" x14ac:dyDescent="0.4">
      <c r="A828" s="19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  <c r="AA828" s="19"/>
      <c r="AB828" s="19"/>
      <c r="AC828" s="19"/>
      <c r="AD828" s="19"/>
      <c r="AE828" s="19"/>
    </row>
    <row r="829" spans="1:31" ht="13.15" x14ac:dyDescent="0.4">
      <c r="A829" s="19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  <c r="AA829" s="19"/>
      <c r="AB829" s="19"/>
      <c r="AC829" s="19"/>
      <c r="AD829" s="19"/>
      <c r="AE829" s="19"/>
    </row>
    <row r="830" spans="1:31" ht="13.15" x14ac:dyDescent="0.4">
      <c r="A830" s="19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  <c r="AA830" s="19"/>
      <c r="AB830" s="19"/>
      <c r="AC830" s="19"/>
      <c r="AD830" s="19"/>
      <c r="AE830" s="19"/>
    </row>
    <row r="831" spans="1:31" ht="13.15" x14ac:dyDescent="0.4">
      <c r="A831" s="19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  <c r="AA831" s="19"/>
      <c r="AB831" s="19"/>
      <c r="AC831" s="19"/>
      <c r="AD831" s="19"/>
      <c r="AE831" s="19"/>
    </row>
    <row r="832" spans="1:31" ht="13.15" x14ac:dyDescent="0.4">
      <c r="A832" s="19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  <c r="AA832" s="19"/>
      <c r="AB832" s="19"/>
      <c r="AC832" s="19"/>
      <c r="AD832" s="19"/>
      <c r="AE832" s="19"/>
    </row>
    <row r="833" spans="1:31" ht="13.15" x14ac:dyDescent="0.4">
      <c r="A833" s="19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  <c r="AA833" s="19"/>
      <c r="AB833" s="19"/>
      <c r="AC833" s="19"/>
      <c r="AD833" s="19"/>
      <c r="AE833" s="19"/>
    </row>
    <row r="834" spans="1:31" ht="13.15" x14ac:dyDescent="0.4">
      <c r="A834" s="19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  <c r="AA834" s="19"/>
      <c r="AB834" s="19"/>
      <c r="AC834" s="19"/>
      <c r="AD834" s="19"/>
      <c r="AE834" s="19"/>
    </row>
    <row r="835" spans="1:31" ht="13.15" x14ac:dyDescent="0.4">
      <c r="A835" s="19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  <c r="AA835" s="19"/>
      <c r="AB835" s="19"/>
      <c r="AC835" s="19"/>
      <c r="AD835" s="19"/>
      <c r="AE835" s="19"/>
    </row>
    <row r="836" spans="1:31" ht="13.15" x14ac:dyDescent="0.4">
      <c r="A836" s="19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  <c r="AA836" s="19"/>
      <c r="AB836" s="19"/>
      <c r="AC836" s="19"/>
      <c r="AD836" s="19"/>
      <c r="AE836" s="19"/>
    </row>
    <row r="837" spans="1:31" ht="13.15" x14ac:dyDescent="0.4">
      <c r="A837" s="19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  <c r="AA837" s="19"/>
      <c r="AB837" s="19"/>
      <c r="AC837" s="19"/>
      <c r="AD837" s="19"/>
      <c r="AE837" s="19"/>
    </row>
    <row r="838" spans="1:31" ht="13.15" x14ac:dyDescent="0.4">
      <c r="A838" s="19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  <c r="AA838" s="19"/>
      <c r="AB838" s="19"/>
      <c r="AC838" s="19"/>
      <c r="AD838" s="19"/>
      <c r="AE838" s="19"/>
    </row>
    <row r="839" spans="1:31" ht="13.15" x14ac:dyDescent="0.4">
      <c r="A839" s="19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  <c r="AA839" s="19"/>
      <c r="AB839" s="19"/>
      <c r="AC839" s="19"/>
      <c r="AD839" s="19"/>
      <c r="AE839" s="19"/>
    </row>
    <row r="840" spans="1:31" ht="13.15" x14ac:dyDescent="0.4">
      <c r="A840" s="19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  <c r="AA840" s="19"/>
      <c r="AB840" s="19"/>
      <c r="AC840" s="19"/>
      <c r="AD840" s="19"/>
      <c r="AE840" s="19"/>
    </row>
    <row r="841" spans="1:31" ht="13.15" x14ac:dyDescent="0.4">
      <c r="A841" s="19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  <c r="AA841" s="19"/>
      <c r="AB841" s="19"/>
      <c r="AC841" s="19"/>
      <c r="AD841" s="19"/>
      <c r="AE841" s="19"/>
    </row>
    <row r="842" spans="1:31" ht="13.15" x14ac:dyDescent="0.4">
      <c r="A842" s="19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  <c r="AA842" s="19"/>
      <c r="AB842" s="19"/>
      <c r="AC842" s="19"/>
      <c r="AD842" s="19"/>
      <c r="AE842" s="19"/>
    </row>
    <row r="843" spans="1:31" ht="13.15" x14ac:dyDescent="0.4">
      <c r="A843" s="19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  <c r="AA843" s="19"/>
      <c r="AB843" s="19"/>
      <c r="AC843" s="19"/>
      <c r="AD843" s="19"/>
      <c r="AE843" s="19"/>
    </row>
    <row r="844" spans="1:31" ht="13.15" x14ac:dyDescent="0.4">
      <c r="A844" s="19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  <c r="AA844" s="19"/>
      <c r="AB844" s="19"/>
      <c r="AC844" s="19"/>
      <c r="AD844" s="19"/>
      <c r="AE844" s="19"/>
    </row>
    <row r="845" spans="1:31" ht="13.15" x14ac:dyDescent="0.4">
      <c r="A845" s="19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  <c r="AA845" s="19"/>
      <c r="AB845" s="19"/>
      <c r="AC845" s="19"/>
      <c r="AD845" s="19"/>
      <c r="AE845" s="19"/>
    </row>
    <row r="846" spans="1:31" ht="13.15" x14ac:dyDescent="0.4">
      <c r="A846" s="19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  <c r="AA846" s="19"/>
      <c r="AB846" s="19"/>
      <c r="AC846" s="19"/>
      <c r="AD846" s="19"/>
      <c r="AE846" s="19"/>
    </row>
    <row r="847" spans="1:31" ht="13.15" x14ac:dyDescent="0.4">
      <c r="A847" s="19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  <c r="AA847" s="19"/>
      <c r="AB847" s="19"/>
      <c r="AC847" s="19"/>
      <c r="AD847" s="19"/>
      <c r="AE847" s="19"/>
    </row>
    <row r="848" spans="1:31" ht="13.15" x14ac:dyDescent="0.4">
      <c r="A848" s="19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  <c r="AA848" s="19"/>
      <c r="AB848" s="19"/>
      <c r="AC848" s="19"/>
      <c r="AD848" s="19"/>
      <c r="AE848" s="19"/>
    </row>
    <row r="849" spans="1:31" ht="13.15" x14ac:dyDescent="0.4">
      <c r="A849" s="19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  <c r="AA849" s="19"/>
      <c r="AB849" s="19"/>
      <c r="AC849" s="19"/>
      <c r="AD849" s="19"/>
      <c r="AE849" s="19"/>
    </row>
    <row r="850" spans="1:31" ht="13.15" x14ac:dyDescent="0.4">
      <c r="A850" s="19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  <c r="AA850" s="19"/>
      <c r="AB850" s="19"/>
      <c r="AC850" s="19"/>
      <c r="AD850" s="19"/>
      <c r="AE850" s="19"/>
    </row>
    <row r="851" spans="1:31" ht="13.15" x14ac:dyDescent="0.4">
      <c r="A851" s="19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  <c r="AA851" s="19"/>
      <c r="AB851" s="19"/>
      <c r="AC851" s="19"/>
      <c r="AD851" s="19"/>
      <c r="AE851" s="19"/>
    </row>
    <row r="852" spans="1:31" ht="13.15" x14ac:dyDescent="0.4">
      <c r="A852" s="19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  <c r="AA852" s="19"/>
      <c r="AB852" s="19"/>
      <c r="AC852" s="19"/>
      <c r="AD852" s="19"/>
      <c r="AE852" s="19"/>
    </row>
    <row r="853" spans="1:31" ht="13.15" x14ac:dyDescent="0.4">
      <c r="A853" s="19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  <c r="AA853" s="19"/>
      <c r="AB853" s="19"/>
      <c r="AC853" s="19"/>
      <c r="AD853" s="19"/>
      <c r="AE853" s="19"/>
    </row>
    <row r="854" spans="1:31" ht="13.15" x14ac:dyDescent="0.4">
      <c r="A854" s="19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  <c r="AA854" s="19"/>
      <c r="AB854" s="19"/>
      <c r="AC854" s="19"/>
      <c r="AD854" s="19"/>
      <c r="AE854" s="19"/>
    </row>
    <row r="855" spans="1:31" ht="13.15" x14ac:dyDescent="0.4">
      <c r="A855" s="19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  <c r="AA855" s="19"/>
      <c r="AB855" s="19"/>
      <c r="AC855" s="19"/>
      <c r="AD855" s="19"/>
      <c r="AE855" s="19"/>
    </row>
    <row r="856" spans="1:31" ht="13.15" x14ac:dyDescent="0.4">
      <c r="A856" s="19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  <c r="AA856" s="19"/>
      <c r="AB856" s="19"/>
      <c r="AC856" s="19"/>
      <c r="AD856" s="19"/>
      <c r="AE856" s="19"/>
    </row>
    <row r="857" spans="1:31" ht="13.15" x14ac:dyDescent="0.4">
      <c r="A857" s="19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  <c r="AA857" s="19"/>
      <c r="AB857" s="19"/>
      <c r="AC857" s="19"/>
      <c r="AD857" s="19"/>
      <c r="AE857" s="19"/>
    </row>
    <row r="858" spans="1:31" ht="13.15" x14ac:dyDescent="0.4">
      <c r="A858" s="19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  <c r="AA858" s="19"/>
      <c r="AB858" s="19"/>
      <c r="AC858" s="19"/>
      <c r="AD858" s="19"/>
      <c r="AE858" s="19"/>
    </row>
    <row r="859" spans="1:31" ht="13.15" x14ac:dyDescent="0.4">
      <c r="A859" s="19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  <c r="AA859" s="19"/>
      <c r="AB859" s="19"/>
      <c r="AC859" s="19"/>
      <c r="AD859" s="19"/>
      <c r="AE859" s="19"/>
    </row>
    <row r="860" spans="1:31" ht="13.15" x14ac:dyDescent="0.4">
      <c r="A860" s="19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  <c r="AA860" s="19"/>
      <c r="AB860" s="19"/>
      <c r="AC860" s="19"/>
      <c r="AD860" s="19"/>
      <c r="AE860" s="19"/>
    </row>
    <row r="861" spans="1:31" ht="13.15" x14ac:dyDescent="0.4">
      <c r="A861" s="19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  <c r="AA861" s="19"/>
      <c r="AB861" s="19"/>
      <c r="AC861" s="19"/>
      <c r="AD861" s="19"/>
      <c r="AE861" s="19"/>
    </row>
    <row r="862" spans="1:31" ht="13.15" x14ac:dyDescent="0.4">
      <c r="A862" s="19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  <c r="AA862" s="19"/>
      <c r="AB862" s="19"/>
      <c r="AC862" s="19"/>
      <c r="AD862" s="19"/>
      <c r="AE862" s="19"/>
    </row>
    <row r="863" spans="1:31" ht="13.15" x14ac:dyDescent="0.4">
      <c r="A863" s="19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  <c r="AA863" s="19"/>
      <c r="AB863" s="19"/>
      <c r="AC863" s="19"/>
      <c r="AD863" s="19"/>
      <c r="AE863" s="19"/>
    </row>
    <row r="864" spans="1:31" ht="13.15" x14ac:dyDescent="0.4">
      <c r="A864" s="19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  <c r="AA864" s="19"/>
      <c r="AB864" s="19"/>
      <c r="AC864" s="19"/>
      <c r="AD864" s="19"/>
      <c r="AE864" s="19"/>
    </row>
    <row r="865" spans="1:31" ht="13.15" x14ac:dyDescent="0.4">
      <c r="A865" s="19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  <c r="AA865" s="19"/>
      <c r="AB865" s="19"/>
      <c r="AC865" s="19"/>
      <c r="AD865" s="19"/>
      <c r="AE865" s="19"/>
    </row>
    <row r="866" spans="1:31" ht="13.15" x14ac:dyDescent="0.4">
      <c r="A866" s="19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  <c r="AA866" s="19"/>
      <c r="AB866" s="19"/>
      <c r="AC866" s="19"/>
      <c r="AD866" s="19"/>
      <c r="AE866" s="19"/>
    </row>
    <row r="867" spans="1:31" ht="13.15" x14ac:dyDescent="0.4">
      <c r="A867" s="19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  <c r="AA867" s="19"/>
      <c r="AB867" s="19"/>
      <c r="AC867" s="19"/>
      <c r="AD867" s="19"/>
      <c r="AE867" s="19"/>
    </row>
    <row r="868" spans="1:31" ht="13.15" x14ac:dyDescent="0.4">
      <c r="A868" s="19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  <c r="AA868" s="19"/>
      <c r="AB868" s="19"/>
      <c r="AC868" s="19"/>
      <c r="AD868" s="19"/>
      <c r="AE868" s="19"/>
    </row>
    <row r="869" spans="1:31" ht="13.15" x14ac:dyDescent="0.4">
      <c r="A869" s="19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  <c r="AA869" s="19"/>
      <c r="AB869" s="19"/>
      <c r="AC869" s="19"/>
      <c r="AD869" s="19"/>
      <c r="AE869" s="19"/>
    </row>
    <row r="870" spans="1:31" ht="13.15" x14ac:dyDescent="0.4">
      <c r="A870" s="19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  <c r="AA870" s="19"/>
      <c r="AB870" s="19"/>
      <c r="AC870" s="19"/>
      <c r="AD870" s="19"/>
      <c r="AE870" s="19"/>
    </row>
    <row r="871" spans="1:31" ht="13.15" x14ac:dyDescent="0.4">
      <c r="A871" s="19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  <c r="AA871" s="19"/>
      <c r="AB871" s="19"/>
      <c r="AC871" s="19"/>
      <c r="AD871" s="19"/>
      <c r="AE871" s="19"/>
    </row>
    <row r="872" spans="1:31" ht="13.15" x14ac:dyDescent="0.4">
      <c r="A872" s="19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  <c r="AA872" s="19"/>
      <c r="AB872" s="19"/>
      <c r="AC872" s="19"/>
      <c r="AD872" s="19"/>
      <c r="AE872" s="19"/>
    </row>
    <row r="873" spans="1:31" ht="13.15" x14ac:dyDescent="0.4">
      <c r="A873" s="19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  <c r="AA873" s="19"/>
      <c r="AB873" s="19"/>
      <c r="AC873" s="19"/>
      <c r="AD873" s="19"/>
      <c r="AE873" s="19"/>
    </row>
    <row r="874" spans="1:31" ht="13.15" x14ac:dyDescent="0.4">
      <c r="A874" s="19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  <c r="AA874" s="19"/>
      <c r="AB874" s="19"/>
      <c r="AC874" s="19"/>
      <c r="AD874" s="19"/>
      <c r="AE874" s="19"/>
    </row>
    <row r="875" spans="1:31" ht="13.15" x14ac:dyDescent="0.4">
      <c r="A875" s="19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  <c r="AA875" s="19"/>
      <c r="AB875" s="19"/>
      <c r="AC875" s="19"/>
      <c r="AD875" s="19"/>
      <c r="AE875" s="19"/>
    </row>
    <row r="876" spans="1:31" ht="13.15" x14ac:dyDescent="0.4">
      <c r="A876" s="19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  <c r="AA876" s="19"/>
      <c r="AB876" s="19"/>
      <c r="AC876" s="19"/>
      <c r="AD876" s="19"/>
      <c r="AE876" s="19"/>
    </row>
    <row r="877" spans="1:31" ht="13.15" x14ac:dyDescent="0.4">
      <c r="A877" s="19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  <c r="AA877" s="19"/>
      <c r="AB877" s="19"/>
      <c r="AC877" s="19"/>
      <c r="AD877" s="19"/>
      <c r="AE877" s="19"/>
    </row>
    <row r="878" spans="1:31" ht="13.15" x14ac:dyDescent="0.4">
      <c r="A878" s="19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  <c r="AA878" s="19"/>
      <c r="AB878" s="19"/>
      <c r="AC878" s="19"/>
      <c r="AD878" s="19"/>
      <c r="AE878" s="19"/>
    </row>
    <row r="879" spans="1:31" ht="13.15" x14ac:dyDescent="0.4">
      <c r="A879" s="19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  <c r="AA879" s="19"/>
      <c r="AB879" s="19"/>
      <c r="AC879" s="19"/>
      <c r="AD879" s="19"/>
      <c r="AE879" s="19"/>
    </row>
    <row r="880" spans="1:31" ht="13.15" x14ac:dyDescent="0.4">
      <c r="A880" s="19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  <c r="AA880" s="19"/>
      <c r="AB880" s="19"/>
      <c r="AC880" s="19"/>
      <c r="AD880" s="19"/>
      <c r="AE880" s="19"/>
    </row>
    <row r="881" spans="1:31" ht="13.15" x14ac:dyDescent="0.4">
      <c r="A881" s="19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  <c r="AA881" s="19"/>
      <c r="AB881" s="19"/>
      <c r="AC881" s="19"/>
      <c r="AD881" s="19"/>
      <c r="AE881" s="19"/>
    </row>
    <row r="882" spans="1:31" ht="13.15" x14ac:dyDescent="0.4">
      <c r="A882" s="19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  <c r="AA882" s="19"/>
      <c r="AB882" s="19"/>
      <c r="AC882" s="19"/>
      <c r="AD882" s="19"/>
      <c r="AE882" s="19"/>
    </row>
    <row r="883" spans="1:31" ht="13.15" x14ac:dyDescent="0.4">
      <c r="A883" s="19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  <c r="AA883" s="19"/>
      <c r="AB883" s="19"/>
      <c r="AC883" s="19"/>
      <c r="AD883" s="19"/>
      <c r="AE883" s="19"/>
    </row>
    <row r="884" spans="1:31" ht="13.15" x14ac:dyDescent="0.4">
      <c r="A884" s="19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  <c r="AA884" s="19"/>
      <c r="AB884" s="19"/>
      <c r="AC884" s="19"/>
      <c r="AD884" s="19"/>
      <c r="AE884" s="19"/>
    </row>
    <row r="885" spans="1:31" ht="13.15" x14ac:dyDescent="0.4">
      <c r="A885" s="19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  <c r="AA885" s="19"/>
      <c r="AB885" s="19"/>
      <c r="AC885" s="19"/>
      <c r="AD885" s="19"/>
      <c r="AE885" s="19"/>
    </row>
    <row r="886" spans="1:31" ht="13.15" x14ac:dyDescent="0.4">
      <c r="A886" s="19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  <c r="AA886" s="19"/>
      <c r="AB886" s="19"/>
      <c r="AC886" s="19"/>
      <c r="AD886" s="19"/>
      <c r="AE886" s="19"/>
    </row>
    <row r="887" spans="1:31" ht="13.15" x14ac:dyDescent="0.4">
      <c r="A887" s="19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  <c r="AA887" s="19"/>
      <c r="AB887" s="19"/>
      <c r="AC887" s="19"/>
      <c r="AD887" s="19"/>
      <c r="AE887" s="19"/>
    </row>
    <row r="888" spans="1:31" ht="13.15" x14ac:dyDescent="0.4">
      <c r="A888" s="19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  <c r="AA888" s="19"/>
      <c r="AB888" s="19"/>
      <c r="AC888" s="19"/>
      <c r="AD888" s="19"/>
      <c r="AE888" s="19"/>
    </row>
    <row r="889" spans="1:31" ht="13.15" x14ac:dyDescent="0.4">
      <c r="A889" s="19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  <c r="AA889" s="19"/>
      <c r="AB889" s="19"/>
      <c r="AC889" s="19"/>
      <c r="AD889" s="19"/>
      <c r="AE889" s="19"/>
    </row>
    <row r="890" spans="1:31" ht="13.15" x14ac:dyDescent="0.4">
      <c r="A890" s="19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  <c r="AA890" s="19"/>
      <c r="AB890" s="19"/>
      <c r="AC890" s="19"/>
      <c r="AD890" s="19"/>
      <c r="AE890" s="19"/>
    </row>
    <row r="891" spans="1:31" ht="13.15" x14ac:dyDescent="0.4">
      <c r="A891" s="19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  <c r="AA891" s="19"/>
      <c r="AB891" s="19"/>
      <c r="AC891" s="19"/>
      <c r="AD891" s="19"/>
      <c r="AE891" s="19"/>
    </row>
    <row r="892" spans="1:31" ht="13.15" x14ac:dyDescent="0.4">
      <c r="A892" s="19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  <c r="AA892" s="19"/>
      <c r="AB892" s="19"/>
      <c r="AC892" s="19"/>
      <c r="AD892" s="19"/>
      <c r="AE892" s="19"/>
    </row>
    <row r="893" spans="1:31" ht="13.15" x14ac:dyDescent="0.4">
      <c r="A893" s="19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  <c r="AA893" s="19"/>
      <c r="AB893" s="19"/>
      <c r="AC893" s="19"/>
      <c r="AD893" s="19"/>
      <c r="AE893" s="19"/>
    </row>
    <row r="894" spans="1:31" ht="13.15" x14ac:dyDescent="0.4">
      <c r="A894" s="19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  <c r="AA894" s="19"/>
      <c r="AB894" s="19"/>
      <c r="AC894" s="19"/>
      <c r="AD894" s="19"/>
      <c r="AE894" s="19"/>
    </row>
    <row r="895" spans="1:31" ht="13.15" x14ac:dyDescent="0.4">
      <c r="A895" s="19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  <c r="AA895" s="19"/>
      <c r="AB895" s="19"/>
      <c r="AC895" s="19"/>
      <c r="AD895" s="19"/>
      <c r="AE895" s="19"/>
    </row>
    <row r="896" spans="1:31" ht="13.15" x14ac:dyDescent="0.4">
      <c r="A896" s="19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  <c r="AA896" s="19"/>
      <c r="AB896" s="19"/>
      <c r="AC896" s="19"/>
      <c r="AD896" s="19"/>
      <c r="AE896" s="19"/>
    </row>
    <row r="897" spans="1:31" ht="13.15" x14ac:dyDescent="0.4">
      <c r="A897" s="19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  <c r="AA897" s="19"/>
      <c r="AB897" s="19"/>
      <c r="AC897" s="19"/>
      <c r="AD897" s="19"/>
      <c r="AE897" s="19"/>
    </row>
    <row r="898" spans="1:31" ht="13.15" x14ac:dyDescent="0.4">
      <c r="A898" s="19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  <c r="AA898" s="19"/>
      <c r="AB898" s="19"/>
      <c r="AC898" s="19"/>
      <c r="AD898" s="19"/>
      <c r="AE898" s="19"/>
    </row>
    <row r="899" spans="1:31" ht="13.15" x14ac:dyDescent="0.4">
      <c r="A899" s="19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  <c r="AA899" s="19"/>
      <c r="AB899" s="19"/>
      <c r="AC899" s="19"/>
      <c r="AD899" s="19"/>
      <c r="AE899" s="19"/>
    </row>
    <row r="900" spans="1:31" ht="13.15" x14ac:dyDescent="0.4">
      <c r="A900" s="19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  <c r="AA900" s="19"/>
      <c r="AB900" s="19"/>
      <c r="AC900" s="19"/>
      <c r="AD900" s="19"/>
      <c r="AE900" s="19"/>
    </row>
    <row r="901" spans="1:31" ht="13.15" x14ac:dyDescent="0.4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  <c r="AA901" s="19"/>
      <c r="AB901" s="19"/>
      <c r="AC901" s="19"/>
      <c r="AD901" s="19"/>
      <c r="AE901" s="19"/>
    </row>
    <row r="902" spans="1:31" ht="13.15" x14ac:dyDescent="0.4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  <c r="AA902" s="19"/>
      <c r="AB902" s="19"/>
      <c r="AC902" s="19"/>
      <c r="AD902" s="19"/>
      <c r="AE902" s="19"/>
    </row>
    <row r="903" spans="1:31" ht="13.15" x14ac:dyDescent="0.4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  <c r="AA903" s="19"/>
      <c r="AB903" s="19"/>
      <c r="AC903" s="19"/>
      <c r="AD903" s="19"/>
      <c r="AE903" s="19"/>
    </row>
    <row r="904" spans="1:31" ht="13.15" x14ac:dyDescent="0.4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  <c r="AA904" s="19"/>
      <c r="AB904" s="19"/>
      <c r="AC904" s="19"/>
      <c r="AD904" s="19"/>
      <c r="AE904" s="19"/>
    </row>
    <row r="905" spans="1:31" ht="13.15" x14ac:dyDescent="0.4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  <c r="AA905" s="19"/>
      <c r="AB905" s="19"/>
      <c r="AC905" s="19"/>
      <c r="AD905" s="19"/>
      <c r="AE905" s="19"/>
    </row>
    <row r="906" spans="1:31" ht="13.15" x14ac:dyDescent="0.4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  <c r="AA906" s="19"/>
      <c r="AB906" s="19"/>
      <c r="AC906" s="19"/>
      <c r="AD906" s="19"/>
      <c r="AE906" s="19"/>
    </row>
    <row r="907" spans="1:31" ht="13.15" x14ac:dyDescent="0.4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  <c r="AA907" s="19"/>
      <c r="AB907" s="19"/>
      <c r="AC907" s="19"/>
      <c r="AD907" s="19"/>
      <c r="AE907" s="19"/>
    </row>
    <row r="908" spans="1:31" ht="13.15" x14ac:dyDescent="0.4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  <c r="AA908" s="19"/>
      <c r="AB908" s="19"/>
      <c r="AC908" s="19"/>
      <c r="AD908" s="19"/>
      <c r="AE908" s="19"/>
    </row>
    <row r="909" spans="1:31" ht="13.15" x14ac:dyDescent="0.4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  <c r="AA909" s="19"/>
      <c r="AB909" s="19"/>
      <c r="AC909" s="19"/>
      <c r="AD909" s="19"/>
      <c r="AE909" s="19"/>
    </row>
    <row r="910" spans="1:31" ht="13.15" x14ac:dyDescent="0.4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  <c r="AB910" s="19"/>
      <c r="AC910" s="19"/>
      <c r="AD910" s="19"/>
      <c r="AE910" s="19"/>
    </row>
    <row r="911" spans="1:31" ht="13.15" x14ac:dyDescent="0.4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  <c r="AA911" s="19"/>
      <c r="AB911" s="19"/>
      <c r="AC911" s="19"/>
      <c r="AD911" s="19"/>
      <c r="AE911" s="19"/>
    </row>
    <row r="912" spans="1:31" ht="13.15" x14ac:dyDescent="0.4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  <c r="AA912" s="19"/>
      <c r="AB912" s="19"/>
      <c r="AC912" s="19"/>
      <c r="AD912" s="19"/>
      <c r="AE912" s="19"/>
    </row>
    <row r="913" spans="1:31" ht="13.15" x14ac:dyDescent="0.4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  <c r="AA913" s="19"/>
      <c r="AB913" s="19"/>
      <c r="AC913" s="19"/>
      <c r="AD913" s="19"/>
      <c r="AE913" s="19"/>
    </row>
    <row r="914" spans="1:31" ht="13.15" x14ac:dyDescent="0.4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  <c r="AA914" s="19"/>
      <c r="AB914" s="19"/>
      <c r="AC914" s="19"/>
      <c r="AD914" s="19"/>
      <c r="AE914" s="19"/>
    </row>
    <row r="915" spans="1:31" ht="13.15" x14ac:dyDescent="0.4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  <c r="AA915" s="19"/>
      <c r="AB915" s="19"/>
      <c r="AC915" s="19"/>
      <c r="AD915" s="19"/>
      <c r="AE915" s="19"/>
    </row>
    <row r="916" spans="1:31" ht="13.15" x14ac:dyDescent="0.4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  <c r="AA916" s="19"/>
      <c r="AB916" s="19"/>
      <c r="AC916" s="19"/>
      <c r="AD916" s="19"/>
      <c r="AE916" s="19"/>
    </row>
    <row r="917" spans="1:31" ht="13.15" x14ac:dyDescent="0.4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  <c r="AA917" s="19"/>
      <c r="AB917" s="19"/>
      <c r="AC917" s="19"/>
      <c r="AD917" s="19"/>
      <c r="AE917" s="19"/>
    </row>
    <row r="918" spans="1:31" ht="13.15" x14ac:dyDescent="0.4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  <c r="AB918" s="19"/>
      <c r="AC918" s="19"/>
      <c r="AD918" s="19"/>
      <c r="AE918" s="19"/>
    </row>
    <row r="919" spans="1:31" ht="13.15" x14ac:dyDescent="0.4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  <c r="AA919" s="19"/>
      <c r="AB919" s="19"/>
      <c r="AC919" s="19"/>
      <c r="AD919" s="19"/>
      <c r="AE919" s="19"/>
    </row>
    <row r="920" spans="1:31" ht="13.15" x14ac:dyDescent="0.4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  <c r="AA920" s="19"/>
      <c r="AB920" s="19"/>
      <c r="AC920" s="19"/>
      <c r="AD920" s="19"/>
      <c r="AE920" s="19"/>
    </row>
    <row r="921" spans="1:31" ht="13.15" x14ac:dyDescent="0.4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  <c r="AA921" s="19"/>
      <c r="AB921" s="19"/>
      <c r="AC921" s="19"/>
      <c r="AD921" s="19"/>
      <c r="AE921" s="19"/>
    </row>
    <row r="922" spans="1:31" ht="13.15" x14ac:dyDescent="0.4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  <c r="AA922" s="19"/>
      <c r="AB922" s="19"/>
      <c r="AC922" s="19"/>
      <c r="AD922" s="19"/>
      <c r="AE922" s="19"/>
    </row>
    <row r="923" spans="1:31" ht="13.15" x14ac:dyDescent="0.4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  <c r="AA923" s="19"/>
      <c r="AB923" s="19"/>
      <c r="AC923" s="19"/>
      <c r="AD923" s="19"/>
      <c r="AE923" s="19"/>
    </row>
    <row r="924" spans="1:31" ht="13.15" x14ac:dyDescent="0.4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  <c r="AA924" s="19"/>
      <c r="AB924" s="19"/>
      <c r="AC924" s="19"/>
      <c r="AD924" s="19"/>
      <c r="AE924" s="19"/>
    </row>
    <row r="925" spans="1:31" ht="13.15" x14ac:dyDescent="0.4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  <c r="AA925" s="19"/>
      <c r="AB925" s="19"/>
      <c r="AC925" s="19"/>
      <c r="AD925" s="19"/>
      <c r="AE925" s="19"/>
    </row>
    <row r="926" spans="1:31" ht="13.15" x14ac:dyDescent="0.4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  <c r="AA926" s="19"/>
      <c r="AB926" s="19"/>
      <c r="AC926" s="19"/>
      <c r="AD926" s="19"/>
      <c r="AE926" s="19"/>
    </row>
    <row r="927" spans="1:31" ht="13.15" x14ac:dyDescent="0.4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  <c r="AA927" s="19"/>
      <c r="AB927" s="19"/>
      <c r="AC927" s="19"/>
      <c r="AD927" s="19"/>
      <c r="AE927" s="19"/>
    </row>
    <row r="928" spans="1:31" ht="13.15" x14ac:dyDescent="0.4">
      <c r="A928" s="19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  <c r="AA928" s="19"/>
      <c r="AB928" s="19"/>
      <c r="AC928" s="19"/>
      <c r="AD928" s="19"/>
      <c r="AE928" s="19"/>
    </row>
    <row r="929" spans="1:31" ht="13.15" x14ac:dyDescent="0.4">
      <c r="A929" s="19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  <c r="AA929" s="19"/>
      <c r="AB929" s="19"/>
      <c r="AC929" s="19"/>
      <c r="AD929" s="19"/>
      <c r="AE929" s="19"/>
    </row>
    <row r="930" spans="1:31" ht="13.15" x14ac:dyDescent="0.4">
      <c r="A930" s="19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  <c r="AA930" s="19"/>
      <c r="AB930" s="19"/>
      <c r="AC930" s="19"/>
      <c r="AD930" s="19"/>
      <c r="AE930" s="19"/>
    </row>
    <row r="931" spans="1:31" ht="13.15" x14ac:dyDescent="0.4">
      <c r="A931" s="19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  <c r="AA931" s="19"/>
      <c r="AB931" s="19"/>
      <c r="AC931" s="19"/>
      <c r="AD931" s="19"/>
      <c r="AE931" s="19"/>
    </row>
    <row r="932" spans="1:31" ht="13.15" x14ac:dyDescent="0.4">
      <c r="A932" s="19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  <c r="AA932" s="19"/>
      <c r="AB932" s="19"/>
      <c r="AC932" s="19"/>
      <c r="AD932" s="19"/>
      <c r="AE932" s="19"/>
    </row>
    <row r="933" spans="1:31" ht="13.15" x14ac:dyDescent="0.4">
      <c r="A933" s="19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  <c r="AA933" s="19"/>
      <c r="AB933" s="19"/>
      <c r="AC933" s="19"/>
      <c r="AD933" s="19"/>
      <c r="AE933" s="19"/>
    </row>
    <row r="934" spans="1:31" ht="13.15" x14ac:dyDescent="0.4">
      <c r="A934" s="19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  <c r="AA934" s="19"/>
      <c r="AB934" s="19"/>
      <c r="AC934" s="19"/>
      <c r="AD934" s="19"/>
      <c r="AE934" s="19"/>
    </row>
    <row r="935" spans="1:31" ht="13.15" x14ac:dyDescent="0.4">
      <c r="A935" s="19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  <c r="AA935" s="19"/>
      <c r="AB935" s="19"/>
      <c r="AC935" s="19"/>
      <c r="AD935" s="19"/>
      <c r="AE935" s="19"/>
    </row>
    <row r="936" spans="1:31" ht="13.15" x14ac:dyDescent="0.4">
      <c r="A936" s="19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  <c r="AA936" s="19"/>
      <c r="AB936" s="19"/>
      <c r="AC936" s="19"/>
      <c r="AD936" s="19"/>
      <c r="AE936" s="19"/>
    </row>
    <row r="937" spans="1:31" ht="13.15" x14ac:dyDescent="0.4">
      <c r="A937" s="19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  <c r="AA937" s="19"/>
      <c r="AB937" s="19"/>
      <c r="AC937" s="19"/>
      <c r="AD937" s="19"/>
      <c r="AE937" s="19"/>
    </row>
    <row r="938" spans="1:31" ht="13.15" x14ac:dyDescent="0.4">
      <c r="A938" s="19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  <c r="AA938" s="19"/>
      <c r="AB938" s="19"/>
      <c r="AC938" s="19"/>
      <c r="AD938" s="19"/>
      <c r="AE938" s="19"/>
    </row>
    <row r="939" spans="1:31" ht="13.15" x14ac:dyDescent="0.4">
      <c r="A939" s="19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  <c r="AA939" s="19"/>
      <c r="AB939" s="19"/>
      <c r="AC939" s="19"/>
      <c r="AD939" s="19"/>
      <c r="AE939" s="19"/>
    </row>
    <row r="940" spans="1:31" ht="13.15" x14ac:dyDescent="0.4">
      <c r="A940" s="19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  <c r="AB940" s="19"/>
      <c r="AC940" s="19"/>
      <c r="AD940" s="19"/>
      <c r="AE940" s="19"/>
    </row>
    <row r="941" spans="1:31" ht="13.15" x14ac:dyDescent="0.4">
      <c r="A941" s="19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  <c r="AA941" s="19"/>
      <c r="AB941" s="19"/>
      <c r="AC941" s="19"/>
      <c r="AD941" s="19"/>
      <c r="AE941" s="19"/>
    </row>
    <row r="942" spans="1:31" ht="13.15" x14ac:dyDescent="0.4">
      <c r="A942" s="19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  <c r="AA942" s="19"/>
      <c r="AB942" s="19"/>
      <c r="AC942" s="19"/>
      <c r="AD942" s="19"/>
      <c r="AE942" s="19"/>
    </row>
    <row r="943" spans="1:31" ht="13.15" x14ac:dyDescent="0.4">
      <c r="A943" s="19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  <c r="AA943" s="19"/>
      <c r="AB943" s="19"/>
      <c r="AC943" s="19"/>
      <c r="AD943" s="19"/>
      <c r="AE943" s="19"/>
    </row>
    <row r="944" spans="1:31" ht="13.15" x14ac:dyDescent="0.4">
      <c r="A944" s="19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  <c r="AA944" s="19"/>
      <c r="AB944" s="19"/>
      <c r="AC944" s="19"/>
      <c r="AD944" s="19"/>
      <c r="AE944" s="19"/>
    </row>
    <row r="945" spans="1:31" ht="13.15" x14ac:dyDescent="0.4">
      <c r="A945" s="19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  <c r="AA945" s="19"/>
      <c r="AB945" s="19"/>
      <c r="AC945" s="19"/>
      <c r="AD945" s="19"/>
      <c r="AE945" s="19"/>
    </row>
    <row r="946" spans="1:31" ht="13.15" x14ac:dyDescent="0.4">
      <c r="A946" s="19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  <c r="AA946" s="19"/>
      <c r="AB946" s="19"/>
      <c r="AC946" s="19"/>
      <c r="AD946" s="19"/>
      <c r="AE946" s="19"/>
    </row>
    <row r="947" spans="1:31" ht="13.15" x14ac:dyDescent="0.4">
      <c r="A947" s="19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  <c r="AA947" s="19"/>
      <c r="AB947" s="19"/>
      <c r="AC947" s="19"/>
      <c r="AD947" s="19"/>
      <c r="AE947" s="19"/>
    </row>
    <row r="948" spans="1:31" ht="13.15" x14ac:dyDescent="0.4">
      <c r="A948" s="19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  <c r="AA948" s="19"/>
      <c r="AB948" s="19"/>
      <c r="AC948" s="19"/>
      <c r="AD948" s="19"/>
      <c r="AE948" s="19"/>
    </row>
    <row r="949" spans="1:31" ht="13.15" x14ac:dyDescent="0.4">
      <c r="A949" s="19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  <c r="AA949" s="19"/>
      <c r="AB949" s="19"/>
      <c r="AC949" s="19"/>
      <c r="AD949" s="19"/>
      <c r="AE949" s="19"/>
    </row>
    <row r="950" spans="1:31" ht="13.15" x14ac:dyDescent="0.4">
      <c r="A950" s="19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  <c r="AA950" s="19"/>
      <c r="AB950" s="19"/>
      <c r="AC950" s="19"/>
      <c r="AD950" s="19"/>
      <c r="AE950" s="19"/>
    </row>
    <row r="951" spans="1:31" ht="13.15" x14ac:dyDescent="0.4">
      <c r="A951" s="19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  <c r="AA951" s="19"/>
      <c r="AB951" s="19"/>
      <c r="AC951" s="19"/>
      <c r="AD951" s="19"/>
      <c r="AE951" s="19"/>
    </row>
    <row r="952" spans="1:31" ht="13.15" x14ac:dyDescent="0.4">
      <c r="A952" s="19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  <c r="AA952" s="19"/>
      <c r="AB952" s="19"/>
      <c r="AC952" s="19"/>
      <c r="AD952" s="19"/>
      <c r="AE952" s="19"/>
    </row>
    <row r="953" spans="1:31" ht="13.15" x14ac:dyDescent="0.4">
      <c r="A953" s="19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  <c r="AA953" s="19"/>
      <c r="AB953" s="19"/>
      <c r="AC953" s="19"/>
      <c r="AD953" s="19"/>
      <c r="AE953" s="19"/>
    </row>
    <row r="954" spans="1:31" ht="13.15" x14ac:dyDescent="0.4">
      <c r="A954" s="19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  <c r="AA954" s="19"/>
      <c r="AB954" s="19"/>
      <c r="AC954" s="19"/>
      <c r="AD954" s="19"/>
      <c r="AE954" s="19"/>
    </row>
    <row r="955" spans="1:31" ht="13.15" x14ac:dyDescent="0.4">
      <c r="A955" s="19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  <c r="AA955" s="19"/>
      <c r="AB955" s="19"/>
      <c r="AC955" s="19"/>
      <c r="AD955" s="19"/>
      <c r="AE955" s="19"/>
    </row>
    <row r="956" spans="1:31" ht="13.15" x14ac:dyDescent="0.4">
      <c r="A956" s="19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  <c r="AA956" s="19"/>
      <c r="AB956" s="19"/>
      <c r="AC956" s="19"/>
      <c r="AD956" s="19"/>
      <c r="AE956" s="19"/>
    </row>
    <row r="957" spans="1:31" ht="13.15" x14ac:dyDescent="0.4">
      <c r="A957" s="19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  <c r="AA957" s="19"/>
      <c r="AB957" s="19"/>
      <c r="AC957" s="19"/>
      <c r="AD957" s="19"/>
      <c r="AE957" s="19"/>
    </row>
    <row r="958" spans="1:31" ht="13.15" x14ac:dyDescent="0.4">
      <c r="A958" s="19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  <c r="AA958" s="19"/>
      <c r="AB958" s="19"/>
      <c r="AC958" s="19"/>
      <c r="AD958" s="19"/>
      <c r="AE958" s="19"/>
    </row>
    <row r="959" spans="1:31" ht="13.15" x14ac:dyDescent="0.4">
      <c r="A959" s="19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  <c r="AA959" s="19"/>
      <c r="AB959" s="19"/>
      <c r="AC959" s="19"/>
      <c r="AD959" s="19"/>
      <c r="AE959" s="19"/>
    </row>
    <row r="960" spans="1:31" ht="13.15" x14ac:dyDescent="0.4">
      <c r="A960" s="19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  <c r="AA960" s="19"/>
      <c r="AB960" s="19"/>
      <c r="AC960" s="19"/>
      <c r="AD960" s="19"/>
      <c r="AE960" s="19"/>
    </row>
    <row r="961" spans="1:31" ht="13.15" x14ac:dyDescent="0.4">
      <c r="A961" s="19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  <c r="AA961" s="19"/>
      <c r="AB961" s="19"/>
      <c r="AC961" s="19"/>
      <c r="AD961" s="19"/>
      <c r="AE961" s="19"/>
    </row>
    <row r="962" spans="1:31" ht="13.15" x14ac:dyDescent="0.4">
      <c r="A962" s="19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  <c r="AA962" s="19"/>
      <c r="AB962" s="19"/>
      <c r="AC962" s="19"/>
      <c r="AD962" s="19"/>
      <c r="AE962" s="19"/>
    </row>
    <row r="963" spans="1:31" ht="13.15" x14ac:dyDescent="0.4">
      <c r="A963" s="19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  <c r="AB963" s="19"/>
      <c r="AC963" s="19"/>
      <c r="AD963" s="19"/>
      <c r="AE963" s="19"/>
    </row>
    <row r="964" spans="1:31" ht="13.15" x14ac:dyDescent="0.4">
      <c r="A964" s="19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  <c r="AA964" s="19"/>
      <c r="AB964" s="19"/>
      <c r="AC964" s="19"/>
      <c r="AD964" s="19"/>
      <c r="AE964" s="19"/>
    </row>
    <row r="965" spans="1:31" ht="13.15" x14ac:dyDescent="0.4">
      <c r="A965" s="19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  <c r="AA965" s="19"/>
      <c r="AB965" s="19"/>
      <c r="AC965" s="19"/>
      <c r="AD965" s="19"/>
      <c r="AE965" s="19"/>
    </row>
    <row r="966" spans="1:31" ht="13.15" x14ac:dyDescent="0.4">
      <c r="A966" s="19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  <c r="AA966" s="19"/>
      <c r="AB966" s="19"/>
      <c r="AC966" s="19"/>
      <c r="AD966" s="19"/>
      <c r="AE966" s="19"/>
    </row>
    <row r="967" spans="1:31" ht="13.15" x14ac:dyDescent="0.4">
      <c r="A967" s="19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  <c r="AA967" s="19"/>
      <c r="AB967" s="19"/>
      <c r="AC967" s="19"/>
      <c r="AD967" s="19"/>
      <c r="AE967" s="19"/>
    </row>
    <row r="968" spans="1:31" ht="13.15" x14ac:dyDescent="0.4">
      <c r="A968" s="19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  <c r="AA968" s="19"/>
      <c r="AB968" s="19"/>
      <c r="AC968" s="19"/>
      <c r="AD968" s="19"/>
      <c r="AE968" s="19"/>
    </row>
    <row r="969" spans="1:31" ht="13.15" x14ac:dyDescent="0.4">
      <c r="A969" s="19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  <c r="AA969" s="19"/>
      <c r="AB969" s="19"/>
      <c r="AC969" s="19"/>
      <c r="AD969" s="19"/>
      <c r="AE969" s="19"/>
    </row>
    <row r="970" spans="1:31" ht="13.15" x14ac:dyDescent="0.4">
      <c r="A970" s="19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  <c r="AA970" s="19"/>
      <c r="AB970" s="19"/>
      <c r="AC970" s="19"/>
      <c r="AD970" s="19"/>
      <c r="AE970" s="19"/>
    </row>
    <row r="971" spans="1:31" ht="13.15" x14ac:dyDescent="0.4">
      <c r="A971" s="19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  <c r="AA971" s="19"/>
      <c r="AB971" s="19"/>
      <c r="AC971" s="19"/>
      <c r="AD971" s="19"/>
      <c r="AE971" s="19"/>
    </row>
    <row r="972" spans="1:31" ht="13.15" x14ac:dyDescent="0.4">
      <c r="A972" s="19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  <c r="AA972" s="19"/>
      <c r="AB972" s="19"/>
      <c r="AC972" s="19"/>
      <c r="AD972" s="19"/>
      <c r="AE972" s="19"/>
    </row>
    <row r="973" spans="1:31" ht="13.15" x14ac:dyDescent="0.4">
      <c r="A973" s="19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  <c r="AA973" s="19"/>
      <c r="AB973" s="19"/>
      <c r="AC973" s="19"/>
      <c r="AD973" s="19"/>
      <c r="AE973" s="19"/>
    </row>
    <row r="974" spans="1:31" ht="13.15" x14ac:dyDescent="0.4">
      <c r="A974" s="19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  <c r="AA974" s="19"/>
      <c r="AB974" s="19"/>
      <c r="AC974" s="19"/>
      <c r="AD974" s="19"/>
      <c r="AE974" s="19"/>
    </row>
    <row r="975" spans="1:31" ht="13.15" x14ac:dyDescent="0.4">
      <c r="A975" s="19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  <c r="AA975" s="19"/>
      <c r="AB975" s="19"/>
      <c r="AC975" s="19"/>
      <c r="AD975" s="19"/>
      <c r="AE975" s="19"/>
    </row>
    <row r="976" spans="1:31" ht="13.15" x14ac:dyDescent="0.4">
      <c r="A976" s="19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  <c r="AA976" s="19"/>
      <c r="AB976" s="19"/>
      <c r="AC976" s="19"/>
      <c r="AD976" s="19"/>
      <c r="AE976" s="19"/>
    </row>
    <row r="977" spans="1:31" ht="13.15" x14ac:dyDescent="0.4">
      <c r="A977" s="19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  <c r="AA977" s="19"/>
      <c r="AB977" s="19"/>
      <c r="AC977" s="19"/>
      <c r="AD977" s="19"/>
      <c r="AE977" s="19"/>
    </row>
    <row r="978" spans="1:31" ht="13.15" x14ac:dyDescent="0.4">
      <c r="A978" s="19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  <c r="AA978" s="19"/>
      <c r="AB978" s="19"/>
      <c r="AC978" s="19"/>
      <c r="AD978" s="19"/>
      <c r="AE978" s="19"/>
    </row>
    <row r="979" spans="1:31" ht="13.15" x14ac:dyDescent="0.4">
      <c r="A979" s="19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  <c r="AA979" s="19"/>
      <c r="AB979" s="19"/>
      <c r="AC979" s="19"/>
      <c r="AD979" s="19"/>
      <c r="AE979" s="19"/>
    </row>
    <row r="980" spans="1:31" ht="13.15" x14ac:dyDescent="0.4">
      <c r="A980" s="19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  <c r="AA980" s="19"/>
      <c r="AB980" s="19"/>
      <c r="AC980" s="19"/>
      <c r="AD980" s="19"/>
      <c r="AE980" s="19"/>
    </row>
    <row r="981" spans="1:31" ht="13.15" x14ac:dyDescent="0.4">
      <c r="A981" s="19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  <c r="AA981" s="19"/>
      <c r="AB981" s="19"/>
      <c r="AC981" s="19"/>
      <c r="AD981" s="19"/>
      <c r="AE981" s="19"/>
    </row>
    <row r="982" spans="1:31" ht="13.15" x14ac:dyDescent="0.4">
      <c r="A982" s="19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  <c r="AA982" s="19"/>
      <c r="AB982" s="19"/>
      <c r="AC982" s="19"/>
      <c r="AD982" s="19"/>
      <c r="AE982" s="19"/>
    </row>
    <row r="983" spans="1:31" ht="13.15" x14ac:dyDescent="0.4">
      <c r="A983" s="19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  <c r="AA983" s="19"/>
      <c r="AB983" s="19"/>
      <c r="AC983" s="19"/>
      <c r="AD983" s="19"/>
      <c r="AE983" s="19"/>
    </row>
    <row r="984" spans="1:31" ht="13.15" x14ac:dyDescent="0.4">
      <c r="A984" s="19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  <c r="AA984" s="19"/>
      <c r="AB984" s="19"/>
      <c r="AC984" s="19"/>
      <c r="AD984" s="19"/>
      <c r="AE984" s="19"/>
    </row>
    <row r="985" spans="1:31" ht="13.15" x14ac:dyDescent="0.4">
      <c r="A985" s="19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  <c r="AA985" s="19"/>
      <c r="AB985" s="19"/>
      <c r="AC985" s="19"/>
      <c r="AD985" s="19"/>
      <c r="AE985" s="19"/>
    </row>
    <row r="986" spans="1:31" ht="13.15" x14ac:dyDescent="0.4">
      <c r="A986" s="19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  <c r="AA986" s="19"/>
      <c r="AB986" s="19"/>
      <c r="AC986" s="19"/>
      <c r="AD986" s="19"/>
      <c r="AE986" s="19"/>
    </row>
    <row r="987" spans="1:31" ht="13.15" x14ac:dyDescent="0.4">
      <c r="A987" s="19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  <c r="AA987" s="19"/>
      <c r="AB987" s="19"/>
      <c r="AC987" s="19"/>
      <c r="AD987" s="19"/>
      <c r="AE987" s="19"/>
    </row>
    <row r="988" spans="1:31" ht="13.15" x14ac:dyDescent="0.4">
      <c r="A988" s="19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  <c r="AA988" s="19"/>
      <c r="AB988" s="19"/>
      <c r="AC988" s="19"/>
      <c r="AD988" s="19"/>
      <c r="AE988" s="19"/>
    </row>
    <row r="989" spans="1:31" ht="13.15" x14ac:dyDescent="0.4">
      <c r="A989" s="19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  <c r="AA989" s="19"/>
      <c r="AB989" s="19"/>
      <c r="AC989" s="19"/>
      <c r="AD989" s="19"/>
      <c r="AE989" s="19"/>
    </row>
    <row r="990" spans="1:31" ht="13.15" x14ac:dyDescent="0.4">
      <c r="A990" s="19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  <c r="AA990" s="19"/>
      <c r="AB990" s="19"/>
      <c r="AC990" s="19"/>
      <c r="AD990" s="19"/>
      <c r="AE990" s="19"/>
    </row>
    <row r="991" spans="1:31" ht="13.15" x14ac:dyDescent="0.4">
      <c r="A991" s="19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  <c r="AA991" s="19"/>
      <c r="AB991" s="19"/>
      <c r="AC991" s="19"/>
      <c r="AD991" s="19"/>
      <c r="AE991" s="19"/>
    </row>
    <row r="992" spans="1:31" ht="13.15" x14ac:dyDescent="0.4">
      <c r="A992" s="19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  <c r="AA992" s="19"/>
      <c r="AB992" s="19"/>
      <c r="AC992" s="19"/>
      <c r="AD992" s="19"/>
      <c r="AE992" s="19"/>
    </row>
    <row r="993" spans="1:31" ht="13.15" x14ac:dyDescent="0.4">
      <c r="A993" s="19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  <c r="AA993" s="19"/>
      <c r="AB993" s="19"/>
      <c r="AC993" s="19"/>
      <c r="AD993" s="19"/>
      <c r="AE993" s="19"/>
    </row>
    <row r="994" spans="1:31" ht="13.15" x14ac:dyDescent="0.4">
      <c r="A994" s="19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  <c r="AA994" s="19"/>
      <c r="AB994" s="19"/>
      <c r="AC994" s="19"/>
      <c r="AD994" s="19"/>
      <c r="AE994" s="19"/>
    </row>
    <row r="995" spans="1:31" ht="13.15" x14ac:dyDescent="0.4">
      <c r="A995" s="19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  <c r="AA995" s="19"/>
      <c r="AB995" s="19"/>
      <c r="AC995" s="19"/>
      <c r="AD995" s="19"/>
      <c r="AE995" s="19"/>
    </row>
    <row r="996" spans="1:31" ht="13.15" x14ac:dyDescent="0.4">
      <c r="A996" s="19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  <c r="AA996" s="19"/>
      <c r="AB996" s="19"/>
      <c r="AC996" s="19"/>
      <c r="AD996" s="19"/>
      <c r="AE996" s="19"/>
    </row>
    <row r="997" spans="1:31" ht="13.15" x14ac:dyDescent="0.4">
      <c r="A997" s="19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  <c r="AA997" s="19"/>
      <c r="AB997" s="19"/>
      <c r="AC997" s="19"/>
      <c r="AD997" s="19"/>
      <c r="AE997" s="19"/>
    </row>
    <row r="998" spans="1:31" ht="13.15" x14ac:dyDescent="0.4">
      <c r="A998" s="19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  <c r="AA998" s="19"/>
      <c r="AB998" s="19"/>
      <c r="AC998" s="19"/>
      <c r="AD998" s="19"/>
      <c r="AE998" s="19"/>
    </row>
    <row r="999" spans="1:31" ht="13.15" x14ac:dyDescent="0.4">
      <c r="A999" s="19"/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  <c r="AA999" s="19"/>
      <c r="AB999" s="19"/>
      <c r="AC999" s="19"/>
      <c r="AD999" s="19"/>
      <c r="AE999" s="19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summary</vt:lpstr>
      <vt:lpstr>TFS</vt:lpstr>
      <vt:lpstr>AAL</vt:lpstr>
      <vt:lpstr>C3</vt:lpstr>
      <vt:lpstr>LAMAR</vt:lpstr>
      <vt:lpstr>SAM</vt:lpstr>
      <vt:lpstr>ECP</vt:lpstr>
      <vt:lpstr>MMS</vt:lpstr>
      <vt:lpstr>FEHL</vt:lpstr>
      <vt:lpstr>JONES</vt:lpstr>
      <vt:lpstr>SMITH</vt:lpstr>
      <vt:lpstr>PRESCOTT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zach craddock</dc:creator>
  <cp:lastModifiedBy>zach craddock</cp:lastModifiedBy>
  <dcterms:created xsi:type="dcterms:W3CDTF">2024-03-09T15:56:31Z</dcterms:created>
  <dcterms:modified xsi:type="dcterms:W3CDTF">2024-03-12T21:10:51Z</dcterms:modified>
</cp:coreProperties>
</file>