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d.docs.live.net/c1f0076a05a5388f/Desktop/"/>
    </mc:Choice>
  </mc:AlternateContent>
  <xr:revisionPtr revIDLastSave="0" documentId="8_{C9AB87A2-D93A-4FCF-BE62-836E92E767E6}" xr6:coauthVersionLast="47" xr6:coauthVersionMax="47" xr10:uidLastSave="{00000000-0000-0000-0000-000000000000}"/>
  <bookViews>
    <workbookView xWindow="-110" yWindow="-110" windowWidth="25180" windowHeight="16140" xr2:uid="{DCFAEDE3-A37E-46EF-B552-4F7EBD46AFC6}"/>
  </bookViews>
  <sheets>
    <sheet name="Unit Budget -- 19 Mar 2023" sheetId="11" r:id="rId1"/>
    <sheet name="Unit staffing 23-24" sheetId="8" r:id="rId2"/>
    <sheet name="23-24 Smith MS staffing" sheetId="3" r:id="rId3"/>
    <sheet name="23-24 Jones Clark staffing" sheetId="5" r:id="rId4"/>
    <sheet name="Fehl Price staffing" sheetId="12" r:id="rId5"/>
    <sheet name="23-24 Prescott staffing" sheetId="6" r:id="rId6"/>
    <sheet name="23-24 Mendez Staffing" sheetId="9" r:id="rId7"/>
  </sheets>
  <externalReferences>
    <externalReference r:id="rId8"/>
  </externalReferences>
  <definedNames>
    <definedName name="_" localSheetId="3" hidden="1">#REF!</definedName>
    <definedName name="_" localSheetId="6" hidden="1">#REF!</definedName>
    <definedName name="_" localSheetId="5" hidden="1">#REF!</definedName>
    <definedName name="_" localSheetId="2" hidden="1">#REF!</definedName>
    <definedName name="_" localSheetId="4" hidden="1">#REF!</definedName>
    <definedName name="_" hidden="1">#REF!</definedName>
    <definedName name="_bdm.17E144F561804739B0F2BCC26DA73708.edm" localSheetId="3" hidden="1">#REF!</definedName>
    <definedName name="_bdm.17E144F561804739B0F2BCC26DA73708.edm" localSheetId="5" hidden="1">#REF!</definedName>
    <definedName name="_bdm.17E144F561804739B0F2BCC26DA73708.edm" localSheetId="2" hidden="1">#REF!</definedName>
    <definedName name="_bdm.17E144F561804739B0F2BCC26DA73708.edm" localSheetId="4" hidden="1">#REF!</definedName>
    <definedName name="_bdm.17E144F561804739B0F2BCC26DA73708.edm" hidden="1">#REF!</definedName>
    <definedName name="_bdm.2D61E03D8651420480D11D8E8EBCA380.edm" hidden="1">'[1]Tiny Calendars 2007'!$1:$1048576</definedName>
    <definedName name="_bdm.6A897E6781904C8FB772B29C22D90C37.edm" hidden="1">#REF!</definedName>
    <definedName name="_bdm.71486A4CE2884B4187D0BC83436ED520.edm" hidden="1">'[1]Pie Chart-Currency'!$1:$1048576</definedName>
    <definedName name="_bdm.9B143323A3374AF491279A50135C30FA.edm" hidden="1">#REF!</definedName>
    <definedName name="_bdm.B098F9F87DB74CBEA0BB152934FA8FCF.edm" hidden="1">#REF!</definedName>
    <definedName name="_bdm.CE68A13289AB418298D6D2FFA2228F99.edm" hidden="1">#REF!</definedName>
    <definedName name="_bdm.DCB006E09F8D4BA99AD6A329E293CC92.edm" hidden="1">#REF!</definedName>
    <definedName name="_del1" localSheetId="3" hidden="1">{"Page1",#N/A,FALSE,"7979";"Page2",#N/A,FALSE,"7979";"Page3",#N/A,FALSE,"7979"}</definedName>
    <definedName name="_del1" localSheetId="6" hidden="1">{"Page1",#N/A,FALSE,"7979";"Page2",#N/A,FALSE,"7979";"Page3",#N/A,FALSE,"7979"}</definedName>
    <definedName name="_del1" localSheetId="5" hidden="1">{"Page1",#N/A,FALSE,"7979";"Page2",#N/A,FALSE,"7979";"Page3",#N/A,FALSE,"7979"}</definedName>
    <definedName name="_del1" localSheetId="2" hidden="1">{"Page1",#N/A,FALSE,"7979";"Page2",#N/A,FALSE,"7979";"Page3",#N/A,FALSE,"7979"}</definedName>
    <definedName name="_del1" localSheetId="4" hidden="1">{"Page1",#N/A,FALSE,"7979";"Page2",#N/A,FALSE,"7979";"Page3",#N/A,FALSE,"7979"}</definedName>
    <definedName name="_del1" hidden="1">{"Page1",#N/A,FALSE,"7979";"Page2",#N/A,FALSE,"7979";"Page3",#N/A,FALSE,"7979"}</definedName>
    <definedName name="_Fil1" hidden="1">'[1]Current 9-02'!$A$6:$A$166</definedName>
    <definedName name="_Fill" localSheetId="6" hidden="1">#REF!</definedName>
    <definedName name="_Fill" hidden="1">#REF!</definedName>
    <definedName name="_Fill2" localSheetId="6" hidden="1">#REF!</definedName>
    <definedName name="_Fill2" hidden="1">#REF!</definedName>
    <definedName name="_xlnm._FilterDatabase" localSheetId="3" hidden="1">#REF!</definedName>
    <definedName name="_xlnm._FilterDatabase" localSheetId="6" hidden="1">#REF!</definedName>
    <definedName name="_xlnm._FilterDatabase" localSheetId="5" hidden="1">#REF!</definedName>
    <definedName name="_xlnm._FilterDatabase" localSheetId="2" hidden="1">#REF!</definedName>
    <definedName name="_xlnm._FilterDatabase" localSheetId="4" hidden="1">#REF!</definedName>
    <definedName name="_xlnm._FilterDatabase" hidden="1">#REF!</definedName>
    <definedName name="_Key1" localSheetId="3" hidden="1">#REF!</definedName>
    <definedName name="_Key1" localSheetId="6" hidden="1">#REF!</definedName>
    <definedName name="_Key1" localSheetId="2" hidden="1">#REF!</definedName>
    <definedName name="_Key1" localSheetId="4" hidden="1">#REF!</definedName>
    <definedName name="_Key1" hidden="1">#REF!</definedName>
    <definedName name="_Key2" localSheetId="3" hidden="1">#REF!</definedName>
    <definedName name="_Key2" localSheetId="6" hidden="1">#REF!</definedName>
    <definedName name="_Key2" localSheetId="2" hidden="1">#REF!</definedName>
    <definedName name="_Key2" localSheetId="4" hidden="1">#REF!</definedName>
    <definedName name="_Key2" hidden="1">#REF!</definedName>
    <definedName name="_Key5" hidden="1">#REF!</definedName>
    <definedName name="_Key6" hidden="1">#REF!</definedName>
    <definedName name="_Key8" hidden="1">#REF!</definedName>
    <definedName name="_Key9" hidden="1">'[1]Current 9-02'!#REF!</definedName>
    <definedName name="_Order1" hidden="1">0</definedName>
    <definedName name="_Order2" hidden="1">255</definedName>
    <definedName name="_Sort" hidden="1">#REF!</definedName>
    <definedName name="_Tab2_In2" hidden="1">#REF!</definedName>
    <definedName name="_Table1_In1" hidden="1">[1]Assumptions!#REF!</definedName>
    <definedName name="_Table1_Out" localSheetId="3" hidden="1">#REF!</definedName>
    <definedName name="_Table1_Out" localSheetId="6" hidden="1">#REF!</definedName>
    <definedName name="_Table1_Out" localSheetId="5" hidden="1">#REF!</definedName>
    <definedName name="_Table1_Out" localSheetId="2" hidden="1">#REF!</definedName>
    <definedName name="_Table1_Out" localSheetId="4" hidden="1">#REF!</definedName>
    <definedName name="_Table1_Out" hidden="1">#REF!</definedName>
    <definedName name="_Table2" localSheetId="3" hidden="1">#REF!</definedName>
    <definedName name="_Table2" localSheetId="6" hidden="1">#REF!</definedName>
    <definedName name="_Table2" localSheetId="5" hidden="1">#REF!</definedName>
    <definedName name="_Table2" localSheetId="2" hidden="1">#REF!</definedName>
    <definedName name="_Table2" localSheetId="4" hidden="1">#REF!</definedName>
    <definedName name="_Table2" hidden="1">#REF!</definedName>
    <definedName name="_Table2_In1" localSheetId="3" hidden="1">#REF!</definedName>
    <definedName name="_Table2_In1" localSheetId="6" hidden="1">#REF!</definedName>
    <definedName name="_Table2_In1" localSheetId="5" hidden="1">#REF!</definedName>
    <definedName name="_Table2_In1" localSheetId="2" hidden="1">#REF!</definedName>
    <definedName name="_Table2_In1" localSheetId="4" hidden="1">#REF!</definedName>
    <definedName name="_Table2_In1" hidden="1">#REF!</definedName>
    <definedName name="_Table2_In2" hidden="1">#REF!</definedName>
    <definedName name="_Table2_Out" hidden="1">#REF!</definedName>
    <definedName name="adf" localSheetId="3" hidden="1">{#N/A,#N/A,FALSE,"SCHEDULE G"}</definedName>
    <definedName name="adf" localSheetId="6" hidden="1">{#N/A,#N/A,FALSE,"SCHEDULE G"}</definedName>
    <definedName name="adf" localSheetId="5" hidden="1">{#N/A,#N/A,FALSE,"SCHEDULE G"}</definedName>
    <definedName name="adf" localSheetId="2" hidden="1">{#N/A,#N/A,FALSE,"SCHEDULE G"}</definedName>
    <definedName name="adf" localSheetId="4" hidden="1">{#N/A,#N/A,FALSE,"SCHEDULE G"}</definedName>
    <definedName name="adf" hidden="1">{#N/A,#N/A,FALSE,"SCHEDULE G"}</definedName>
    <definedName name="ae" localSheetId="3" hidden="1">{"CF",#N/A,FALSE,"Cash Flow";"RET",#N/A,FALSE,"Returns";"NPV",#N/A,FALSE,"Values";"ASMPT",#N/A,FALSE,"Assumptions"}</definedName>
    <definedName name="ae" localSheetId="6" hidden="1">{"CF",#N/A,FALSE,"Cash Flow";"RET",#N/A,FALSE,"Returns";"NPV",#N/A,FALSE,"Values";"ASMPT",#N/A,FALSE,"Assumptions"}</definedName>
    <definedName name="ae" localSheetId="5" hidden="1">{"CF",#N/A,FALSE,"Cash Flow";"RET",#N/A,FALSE,"Returns";"NPV",#N/A,FALSE,"Values";"ASMPT",#N/A,FALSE,"Assumptions"}</definedName>
    <definedName name="ae" localSheetId="2" hidden="1">{"CF",#N/A,FALSE,"Cash Flow";"RET",#N/A,FALSE,"Returns";"NPV",#N/A,FALSE,"Values";"ASMPT",#N/A,FALSE,"Assumptions"}</definedName>
    <definedName name="ae" localSheetId="4" hidden="1">{"CF",#N/A,FALSE,"Cash Flow";"RET",#N/A,FALSE,"Returns";"NPV",#N/A,FALSE,"Values";"ASMPT",#N/A,FALSE,"Assumptions"}</definedName>
    <definedName name="ae" hidden="1">{"CF",#N/A,FALSE,"Cash Flow";"RET",#N/A,FALSE,"Returns";"NPV",#N/A,FALSE,"Values";"ASMPT",#N/A,FALSE,"Assumptions"}</definedName>
    <definedName name="agf" localSheetId="3" hidden="1">{#N/A,#N/A,FALSE,"ExecSum";#N/A,#N/A,FALSE,"total summary";#N/A,#N/A,FALSE,"Budget";#N/A,#N/A,FALSE,"CashFlow"}</definedName>
    <definedName name="agf" localSheetId="6" hidden="1">{#N/A,#N/A,FALSE,"ExecSum";#N/A,#N/A,FALSE,"total summary";#N/A,#N/A,FALSE,"Budget";#N/A,#N/A,FALSE,"CashFlow"}</definedName>
    <definedName name="agf" localSheetId="5" hidden="1">{#N/A,#N/A,FALSE,"ExecSum";#N/A,#N/A,FALSE,"total summary";#N/A,#N/A,FALSE,"Budget";#N/A,#N/A,FALSE,"CashFlow"}</definedName>
    <definedName name="agf" localSheetId="2" hidden="1">{#N/A,#N/A,FALSE,"ExecSum";#N/A,#N/A,FALSE,"total summary";#N/A,#N/A,FALSE,"Budget";#N/A,#N/A,FALSE,"CashFlow"}</definedName>
    <definedName name="agf" localSheetId="4" hidden="1">{#N/A,#N/A,FALSE,"ExecSum";#N/A,#N/A,FALSE,"total summary";#N/A,#N/A,FALSE,"Budget";#N/A,#N/A,FALSE,"CashFlow"}</definedName>
    <definedName name="agf" hidden="1">{#N/A,#N/A,FALSE,"ExecSum";#N/A,#N/A,FALSE,"total summary";#N/A,#N/A,FALSE,"Budget";#N/A,#N/A,FALSE,"CashFlow"}</definedName>
    <definedName name="AllowFundHlook">#REF!</definedName>
    <definedName name="AllowProg">#REF!</definedName>
    <definedName name="asdfsdfsdf" localSheetId="3" hidden="1">{#N/A,#N/A,FALSE,"Expense Comparison"}</definedName>
    <definedName name="asdfsdfsdf" localSheetId="6" hidden="1">{#N/A,#N/A,FALSE,"Expense Comparison"}</definedName>
    <definedName name="asdfsdfsdf" localSheetId="5" hidden="1">{#N/A,#N/A,FALSE,"Expense Comparison"}</definedName>
    <definedName name="asdfsdfsdf" localSheetId="2" hidden="1">{#N/A,#N/A,FALSE,"Expense Comparison"}</definedName>
    <definedName name="asdfsdfsdf" localSheetId="4" hidden="1">{#N/A,#N/A,FALSE,"Expense Comparison"}</definedName>
    <definedName name="asdfsdfsdf" hidden="1">{#N/A,#N/A,FALSE,"Expense Comparison"}</definedName>
    <definedName name="asfget" localSheetId="3" hidden="1">{"Page1",#N/A,FALSE,"7979";"Page2",#N/A,FALSE,"7979";"Page3",#N/A,FALSE,"7979"}</definedName>
    <definedName name="asfget" localSheetId="6" hidden="1">{"Page1",#N/A,FALSE,"7979";"Page2",#N/A,FALSE,"7979";"Page3",#N/A,FALSE,"7979"}</definedName>
    <definedName name="asfget" localSheetId="5" hidden="1">{"Page1",#N/A,FALSE,"7979";"Page2",#N/A,FALSE,"7979";"Page3",#N/A,FALSE,"7979"}</definedName>
    <definedName name="asfget" localSheetId="2" hidden="1">{"Page1",#N/A,FALSE,"7979";"Page2",#N/A,FALSE,"7979";"Page3",#N/A,FALSE,"7979"}</definedName>
    <definedName name="asfget" localSheetId="4" hidden="1">{"Page1",#N/A,FALSE,"7979";"Page2",#N/A,FALSE,"7979";"Page3",#N/A,FALSE,"7979"}</definedName>
    <definedName name="asfget" hidden="1">{"Page1",#N/A,FALSE,"7979";"Page2",#N/A,FALSE,"7979";"Page3",#N/A,FALSE,"7979"}</definedName>
    <definedName name="BadLink" hidden="1">#REF!</definedName>
    <definedName name="beattle" localSheetId="3" hidden="1">{"Full Sheet",#N/A,FALSE,"Expense Comparison"}</definedName>
    <definedName name="beattle" localSheetId="6" hidden="1">{"Full Sheet",#N/A,FALSE,"Expense Comparison"}</definedName>
    <definedName name="beattle" localSheetId="5" hidden="1">{"Full Sheet",#N/A,FALSE,"Expense Comparison"}</definedName>
    <definedName name="beattle" localSheetId="2" hidden="1">{"Full Sheet",#N/A,FALSE,"Expense Comparison"}</definedName>
    <definedName name="beattle" localSheetId="4" hidden="1">{"Full Sheet",#N/A,FALSE,"Expense Comparison"}</definedName>
    <definedName name="beattle" hidden="1">{"Full Sheet",#N/A,FALSE,"Expense Comparison"}</definedName>
    <definedName name="CAP" localSheetId="3" hidden="1">{#N/A,#N/A,FALSE,"Summation";#N/A,#N/A,FALSE,"BSA";#N/A,#N/A,FALSE,"Detail1";#N/A,#N/A,FALSE,"Detail2";#N/A,#N/A,FALSE,"Detail3";#N/A,#N/A,FALSE,"WFTE_Summary";#N/A,#N/A,FALSE,"Funded_WFTE";#N/A,#N/A,FALSE,"PYADJ96"}</definedName>
    <definedName name="CAP" localSheetId="6" hidden="1">{#N/A,#N/A,FALSE,"Summation";#N/A,#N/A,FALSE,"BSA";#N/A,#N/A,FALSE,"Detail1";#N/A,#N/A,FALSE,"Detail2";#N/A,#N/A,FALSE,"Detail3";#N/A,#N/A,FALSE,"WFTE_Summary";#N/A,#N/A,FALSE,"Funded_WFTE";#N/A,#N/A,FALSE,"PYADJ96"}</definedName>
    <definedName name="CAP" localSheetId="5" hidden="1">{#N/A,#N/A,FALSE,"Summation";#N/A,#N/A,FALSE,"BSA";#N/A,#N/A,FALSE,"Detail1";#N/A,#N/A,FALSE,"Detail2";#N/A,#N/A,FALSE,"Detail3";#N/A,#N/A,FALSE,"WFTE_Summary";#N/A,#N/A,FALSE,"Funded_WFTE";#N/A,#N/A,FALSE,"PYADJ96"}</definedName>
    <definedName name="CAP" localSheetId="2" hidden="1">{#N/A,#N/A,FALSE,"Summation";#N/A,#N/A,FALSE,"BSA";#N/A,#N/A,FALSE,"Detail1";#N/A,#N/A,FALSE,"Detail2";#N/A,#N/A,FALSE,"Detail3";#N/A,#N/A,FALSE,"WFTE_Summary";#N/A,#N/A,FALSE,"Funded_WFTE";#N/A,#N/A,FALSE,"PYADJ96"}</definedName>
    <definedName name="CAP" localSheetId="4" hidden="1">{#N/A,#N/A,FALSE,"Summation";#N/A,#N/A,FALSE,"BSA";#N/A,#N/A,FALSE,"Detail1";#N/A,#N/A,FALSE,"Detail2";#N/A,#N/A,FALSE,"Detail3";#N/A,#N/A,FALSE,"WFTE_Summary";#N/A,#N/A,FALSE,"Funded_WFTE";#N/A,#N/A,FALSE,"PYADJ96"}</definedName>
    <definedName name="CAP" hidden="1">{#N/A,#N/A,FALSE,"Summation";#N/A,#N/A,FALSE,"BSA";#N/A,#N/A,FALSE,"Detail1";#N/A,#N/A,FALSE,"Detail2";#N/A,#N/A,FALSE,"Detail3";#N/A,#N/A,FALSE,"WFTE_Summary";#N/A,#N/A,FALSE,"Funded_WFTE";#N/A,#N/A,FALSE,"PYADJ96"}</definedName>
    <definedName name="CertBen">#REF!</definedName>
    <definedName name="CertFund">#REF!</definedName>
    <definedName name="CertGrant">#REF!</definedName>
    <definedName name="CertObj">#REF!</definedName>
    <definedName name="CertProg">#REF!</definedName>
    <definedName name="CertSalary">#REF!</definedName>
    <definedName name="daf" localSheetId="3" hidden="1">{"Base Year Demand",#N/A,FALSE,"Demand-Base Year"}</definedName>
    <definedName name="daf" localSheetId="6" hidden="1">{"Base Year Demand",#N/A,FALSE,"Demand-Base Year"}</definedName>
    <definedName name="daf" localSheetId="5" hidden="1">{"Base Year Demand",#N/A,FALSE,"Demand-Base Year"}</definedName>
    <definedName name="daf" localSheetId="2" hidden="1">{"Base Year Demand",#N/A,FALSE,"Demand-Base Year"}</definedName>
    <definedName name="daf" localSheetId="4" hidden="1">{"Base Year Demand",#N/A,FALSE,"Demand-Base Year"}</definedName>
    <definedName name="daf" hidden="1">{"Base Year Demand",#N/A,FALSE,"Demand-Base Year"}</definedName>
    <definedName name="data" hidden="1">#REF!</definedName>
    <definedName name="DATA_01" hidden="1">'[1]Bond Amortization'!#REF!</definedName>
    <definedName name="DATA_08" hidden="1">'[1]Bond Amortization'!#REF!</definedName>
    <definedName name="del" localSheetId="3" hidden="1">{"Page1",#N/A,FALSE,"7979";"Page2",#N/A,FALSE,"7979";"Page3",#N/A,FALSE,"7979"}</definedName>
    <definedName name="del" localSheetId="6" hidden="1">{"Page1",#N/A,FALSE,"7979";"Page2",#N/A,FALSE,"7979";"Page3",#N/A,FALSE,"7979"}</definedName>
    <definedName name="del" localSheetId="5" hidden="1">{"Page1",#N/A,FALSE,"7979";"Page2",#N/A,FALSE,"7979";"Page3",#N/A,FALSE,"7979"}</definedName>
    <definedName name="del" localSheetId="2" hidden="1">{"Page1",#N/A,FALSE,"7979";"Page2",#N/A,FALSE,"7979";"Page3",#N/A,FALSE,"7979"}</definedName>
    <definedName name="del" localSheetId="4" hidden="1">{"Page1",#N/A,FALSE,"7979";"Page2",#N/A,FALSE,"7979";"Page3",#N/A,FALSE,"7979"}</definedName>
    <definedName name="del" hidden="1">{"Page1",#N/A,FALSE,"7979";"Page2",#N/A,FALSE,"7979";"Page3",#N/A,FALSE,"7979"}</definedName>
    <definedName name="DISTRICT">#REF!</definedName>
    <definedName name="dsaf" localSheetId="3" hidden="1">{#N/A,#N/A,FALSE,"ExecSum";#N/A,#N/A,FALSE,"total summary";#N/A,#N/A,FALSE,"Budget";#N/A,#N/A,FALSE,"CashFlow"}</definedName>
    <definedName name="dsaf" localSheetId="6" hidden="1">{#N/A,#N/A,FALSE,"ExecSum";#N/A,#N/A,FALSE,"total summary";#N/A,#N/A,FALSE,"Budget";#N/A,#N/A,FALSE,"CashFlow"}</definedName>
    <definedName name="dsaf" localSheetId="5" hidden="1">{#N/A,#N/A,FALSE,"ExecSum";#N/A,#N/A,FALSE,"total summary";#N/A,#N/A,FALSE,"Budget";#N/A,#N/A,FALSE,"CashFlow"}</definedName>
    <definedName name="dsaf" localSheetId="2" hidden="1">{#N/A,#N/A,FALSE,"ExecSum";#N/A,#N/A,FALSE,"total summary";#N/A,#N/A,FALSE,"Budget";#N/A,#N/A,FALSE,"CashFlow"}</definedName>
    <definedName name="dsaf" localSheetId="4" hidden="1">{#N/A,#N/A,FALSE,"ExecSum";#N/A,#N/A,FALSE,"total summary";#N/A,#N/A,FALSE,"Budget";#N/A,#N/A,FALSE,"CashFlow"}</definedName>
    <definedName name="dsaf" hidden="1">{#N/A,#N/A,FALSE,"ExecSum";#N/A,#N/A,FALSE,"total summary";#N/A,#N/A,FALSE,"Budget";#N/A,#N/A,FALSE,"CashFlow"}</definedName>
    <definedName name="ERRORRPT">#REF!</definedName>
    <definedName name="ev.Calculation" hidden="1">-4135</definedName>
    <definedName name="ev.Initialized" hidden="1">FALSE</definedName>
    <definedName name="ExtraCredit">#REF!</definedName>
    <definedName name="fdf" localSheetId="3" hidden="1">{"Full Sheet",#N/A,FALSE,"Expense Comparison"}</definedName>
    <definedName name="fdf" localSheetId="6" hidden="1">{"Full Sheet",#N/A,FALSE,"Expense Comparison"}</definedName>
    <definedName name="fdf" localSheetId="5" hidden="1">{"Full Sheet",#N/A,FALSE,"Expense Comparison"}</definedName>
    <definedName name="fdf" localSheetId="2" hidden="1">{"Full Sheet",#N/A,FALSE,"Expense Comparison"}</definedName>
    <definedName name="fdf" localSheetId="4" hidden="1">{"Full Sheet",#N/A,FALSE,"Expense Comparison"}</definedName>
    <definedName name="fdf" hidden="1">{"Full Sheet",#N/A,FALSE,"Expense Comparison"}</definedName>
    <definedName name="fksajf" localSheetId="3" hidden="1">{#N/A,#N/A,FALSE,"SCHEDULE A";"MINIMUM RENT",#N/A,FALSE,"SCHEDULES B &amp; C";"PERCENTAGE RENT",#N/A,FALSE,"SCHEDULES B &amp; C"}</definedName>
    <definedName name="fksajf" localSheetId="6" hidden="1">{#N/A,#N/A,FALSE,"SCHEDULE A";"MINIMUM RENT",#N/A,FALSE,"SCHEDULES B &amp; C";"PERCENTAGE RENT",#N/A,FALSE,"SCHEDULES B &amp; C"}</definedName>
    <definedName name="fksajf" localSheetId="5" hidden="1">{#N/A,#N/A,FALSE,"SCHEDULE A";"MINIMUM RENT",#N/A,FALSE,"SCHEDULES B &amp; C";"PERCENTAGE RENT",#N/A,FALSE,"SCHEDULES B &amp; C"}</definedName>
    <definedName name="fksajf" localSheetId="2" hidden="1">{#N/A,#N/A,FALSE,"SCHEDULE A";"MINIMUM RENT",#N/A,FALSE,"SCHEDULES B &amp; C";"PERCENTAGE RENT",#N/A,FALSE,"SCHEDULES B &amp; C"}</definedName>
    <definedName name="fksajf" localSheetId="4" hidden="1">{#N/A,#N/A,FALSE,"SCHEDULE A";"MINIMUM RENT",#N/A,FALSE,"SCHEDULES B &amp; C";"PERCENTAGE RENT",#N/A,FALSE,"SCHEDULES B &amp; C"}</definedName>
    <definedName name="fksajf" hidden="1">{#N/A,#N/A,FALSE,"SCHEDULE A";"MINIMUM RENT",#N/A,FALSE,"SCHEDULES B &amp; C";"PERCENTAGE RENT",#N/A,FALSE,"SCHEDULES B &amp; C"}</definedName>
    <definedName name="fmmedit" localSheetId="3">term*periods_per_year</definedName>
    <definedName name="fmmedit" localSheetId="5">term*periods_per_year</definedName>
    <definedName name="fmmedit" localSheetId="2">term*periods_per_year</definedName>
    <definedName name="fmmedit" localSheetId="4">term*periods_per_year</definedName>
    <definedName name="fmmedit">term*periods_per_year</definedName>
    <definedName name="frequency" localSheetId="3">{"Annually";"Semi-Annually";"Quarterly";"Bi-Monthly";"Monthly"}</definedName>
    <definedName name="frequency" localSheetId="6">{"Annually";"Semi-Annually";"Quarterly";"Bi-Monthly";"Monthly"}</definedName>
    <definedName name="frequency" localSheetId="5">{"Annually";"Semi-Annually";"Quarterly";"Bi-Monthly";"Monthly"}</definedName>
    <definedName name="frequency" localSheetId="2">{"Annually";"Semi-Annually";"Quarterly";"Bi-Monthly";"Monthly"}</definedName>
    <definedName name="frequency" localSheetId="4">{"Annually";"Semi-Annually";"Quarterly";"Bi-Monthly";"Monthly"}</definedName>
    <definedName name="frequency">{"Annually";"Semi-Annually";"Quarterly";"Bi-Monthly";"Monthly"}</definedName>
    <definedName name="Fruit">#REF!</definedName>
    <definedName name="GMONEY">#REF!</definedName>
    <definedName name="Header_Row">ROW(#REF!)</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otel" localSheetId="3" hidden="1">{#N/A,#N/A,FALSE,"ExecSum";#N/A,#N/A,FALSE,"total summary";#N/A,#N/A,FALSE,"Budget";#N/A,#N/A,FALSE,"CashFlow"}</definedName>
    <definedName name="Hotel" localSheetId="6" hidden="1">{#N/A,#N/A,FALSE,"ExecSum";#N/A,#N/A,FALSE,"total summary";#N/A,#N/A,FALSE,"Budget";#N/A,#N/A,FALSE,"CashFlow"}</definedName>
    <definedName name="Hotel" localSheetId="5" hidden="1">{#N/A,#N/A,FALSE,"ExecSum";#N/A,#N/A,FALSE,"total summary";#N/A,#N/A,FALSE,"Budget";#N/A,#N/A,FALSE,"CashFlow"}</definedName>
    <definedName name="Hotel" localSheetId="2" hidden="1">{#N/A,#N/A,FALSE,"ExecSum";#N/A,#N/A,FALSE,"total summary";#N/A,#N/A,FALSE,"Budget";#N/A,#N/A,FALSE,"CashFlow"}</definedName>
    <definedName name="Hotel" localSheetId="4" hidden="1">{#N/A,#N/A,FALSE,"ExecSum";#N/A,#N/A,FALSE,"total summary";#N/A,#N/A,FALSE,"Budget";#N/A,#N/A,FALSE,"CashFlow"}</definedName>
    <definedName name="Hotel" hidden="1">{#N/A,#N/A,FALSE,"ExecSum";#N/A,#N/A,FALSE,"total summary";#N/A,#N/A,FALSE,"Budget";#N/A,#N/A,FALSE,"CashFlow"}</definedName>
    <definedName name="HTML_CodePage" hidden="1">1252</definedName>
    <definedName name="HTML_Control" localSheetId="3" hidden="1">{"'Sheet1'!$A$1:$K$359"}</definedName>
    <definedName name="HTML_Control" localSheetId="6" hidden="1">{"'Sheet1'!$A$1:$K$359"}</definedName>
    <definedName name="HTML_Control" localSheetId="5" hidden="1">{"'Sheet1'!$A$1:$K$359"}</definedName>
    <definedName name="HTML_Control" localSheetId="2" hidden="1">{"'Sheet1'!$A$1:$K$359"}</definedName>
    <definedName name="HTML_Control" localSheetId="4" hidden="1">{"'Sheet1'!$A$1:$K$359"}</definedName>
    <definedName name="HTML_Control" hidden="1">{"'Sheet1'!$A$1:$K$359"}</definedName>
    <definedName name="HTML_Description" hidden="1">""</definedName>
    <definedName name="HTML_Email" hidden="1">""</definedName>
    <definedName name="HTML_Header" hidden="1">"Master List of Resources"</definedName>
    <definedName name="HTML_LastUpdate" hidden="1">"7/12/99"</definedName>
    <definedName name="HTML_LineAfter" hidden="1">FALSE</definedName>
    <definedName name="HTML_LineBefore" hidden="1">FALSE</definedName>
    <definedName name="HTML_Name" hidden="1">"Mary Eve Peek"</definedName>
    <definedName name="HTML_OBDlg2" hidden="1">TRUE</definedName>
    <definedName name="HTML_OBDlg4" hidden="1">TRUE</definedName>
    <definedName name="HTML_OS" hidden="1">0</definedName>
    <definedName name="HTML_PathFile" hidden="1">"H:\ofsma\sacs\ResourceHistory.htm"</definedName>
    <definedName name="HTML_Title" hidden="1">"Master List of Resources"</definedName>
    <definedName name="Inflation" hidden="1">#REF!</definedName>
    <definedName name="IntroPrintArea"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HIGH_EST" hidden="1">"c3524"</definedName>
    <definedName name="IQ_CAPEX_INS" hidden="1">"c113"</definedName>
    <definedName name="IQ_CAPEX_LOW_EST" hidden="1">"c3525"</definedName>
    <definedName name="IQ_CAPEX_MEDIAN_EST" hidden="1">"c3526"</definedName>
    <definedName name="IQ_CAPEX_NUM_EST" hidden="1">"c3521"</definedName>
    <definedName name="IQ_CAPEX_STDDEV_EST" hidden="1">"c3522"</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1</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39965.7988425926</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HIGH_EST" hidden="1">"c3518"</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MEDIAN_EST" hidden="1">"c3520"</definedName>
    <definedName name="IQ_NET_DEBT_NUM_EST" hidden="1">"c3515"</definedName>
    <definedName name="IQ_NET_DEBT_STDDEV_EST" hidden="1">"c3516"</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S" hidden="1">"c1116"</definedName>
    <definedName name="IQ_RETURN_ASSETS_HIGH_EST" hidden="1">"c3530"</definedName>
    <definedName name="IQ_RETURN_ASSETS_LOW_EST" hidden="1">"c3531"</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S" hidden="1">"c1121"</definedName>
    <definedName name="IQ_RETURN_EQUITY_HIGH_EST" hidden="1">"c3536"</definedName>
    <definedName name="IQ_RETURN_EQUITY_LOW_EST" hidden="1">"c3537"</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38849.5606597222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IsColHidden" hidden="1">FALSE</definedName>
    <definedName name="IsLTMColHidden" hidden="1">FALSE</definedName>
    <definedName name="Items">#REF!</definedName>
    <definedName name="Lol" hidden="1">#REF!</definedName>
    <definedName name="Meat">#REF!</definedName>
    <definedName name="MILL">#REF!</definedName>
    <definedName name="MINRESERVE">#REF!</definedName>
    <definedName name="MoreFruit">#REF!</definedName>
    <definedName name="MoreItem">#REF!</definedName>
    <definedName name="MoreItems">#REF!</definedName>
    <definedName name="MOUNTAIN">#REF!</definedName>
    <definedName name="nper" localSheetId="3">term*periods_per_year</definedName>
    <definedName name="nper" localSheetId="6">term*periods_per_year</definedName>
    <definedName name="nper" localSheetId="5">term*periods_per_year</definedName>
    <definedName name="nper" localSheetId="2">term*periods_per_year</definedName>
    <definedName name="nper" localSheetId="4">term*periods_per_year</definedName>
    <definedName name="nper">term*periods_per_year</definedName>
    <definedName name="nper1" localSheetId="3">term*periods_per_year</definedName>
    <definedName name="nper1" localSheetId="6">term*periods_per_year</definedName>
    <definedName name="nper1" localSheetId="5">term*periods_per_year</definedName>
    <definedName name="nper1" localSheetId="2">term*periods_per_year</definedName>
    <definedName name="nper1" localSheetId="4">term*periods_per_year</definedName>
    <definedName name="nper1">term*periods_per_year</definedName>
    <definedName name="Number_of_Payments" localSheetId="3">#REF!</definedName>
    <definedName name="Number_of_Payments" localSheetId="6">#REF!</definedName>
    <definedName name="Number_of_Payments" localSheetId="5">#REF!</definedName>
    <definedName name="Number_of_Payments" localSheetId="2">#REF!</definedName>
    <definedName name="Number_of_Payments" localSheetId="4">#REF!</definedName>
    <definedName name="Number_of_Payments">#REF!</definedName>
    <definedName name="OUTLAY" localSheetId="3">#REF!</definedName>
    <definedName name="OUTLAY" localSheetId="6">#REF!</definedName>
    <definedName name="OUTLAY" localSheetId="5">#REF!</definedName>
    <definedName name="OUTLAY" localSheetId="2">#REF!</definedName>
    <definedName name="OUTLAY" localSheetId="4">#REF!</definedName>
    <definedName name="OUTLAY">#REF!</definedName>
    <definedName name="PAGE01" localSheetId="3">#REF!</definedName>
    <definedName name="PAGE01" localSheetId="6">#REF!</definedName>
    <definedName name="PAGE01" localSheetId="5">#REF!</definedName>
    <definedName name="PAGE01" localSheetId="2">#REF!</definedName>
    <definedName name="PAGE01" localSheetId="4">#REF!</definedName>
    <definedName name="PAGE01">#REF!</definedName>
    <definedName name="PAGE02">#REF!</definedName>
    <definedName name="PAGE03">#REF!</definedName>
    <definedName name="PAGE04">#REF!</definedName>
    <definedName name="PAGE05">#REF!</definedName>
    <definedName name="PAGE06">#REF!</definedName>
    <definedName name="PAGE07">#REF!</definedName>
    <definedName name="PAGE08">#REF!</definedName>
    <definedName name="PAGE09">#REF!</definedName>
    <definedName name="PAGE10">#REF!</definedName>
    <definedName name="PAGE11">#REF!</definedName>
    <definedName name="PAGE12">#REF!</definedName>
    <definedName name="PAGE13">#REF!</definedName>
    <definedName name="PAGE14">#REF!</definedName>
    <definedName name="PAGE15">#REF!</definedName>
    <definedName name="PAGE16">#REF!</definedName>
    <definedName name="page17">#REF!</definedName>
    <definedName name="PAGE18">#REF!</definedName>
    <definedName name="PAGE19">#REF!</definedName>
    <definedName name="PAGE20">#REF!</definedName>
    <definedName name="PAGE21">#REF!</definedName>
    <definedName name="PAGE22">#REF!</definedName>
    <definedName name="PAGE23">#REF!</definedName>
    <definedName name="Parent_Allocation_by_school">'[1]Parent Involvement'!$F$11:$F$43</definedName>
    <definedName name="Parent_School_Name">'[1]Parent Involvement'!$A$11:$A$43</definedName>
    <definedName name="Payment_Number" localSheetId="3">ROW()-[0]!Header_Row</definedName>
    <definedName name="Payment_Number" localSheetId="6">ROW()-[0]!Header_Row</definedName>
    <definedName name="Payment_Number" localSheetId="5">ROW()-[0]!Header_Row</definedName>
    <definedName name="Payment_Number" localSheetId="2">ROW()-[0]!Header_Row</definedName>
    <definedName name="Payment_Number" localSheetId="4">ROW()-[0]!Header_Row</definedName>
    <definedName name="Payment_Number">ROW()-[0]!Header_Row</definedName>
    <definedName name="PRACTICE" localSheetId="3" hidden="1">{#N/A,#N/A,FALSE,"Summation";#N/A,#N/A,FALSE,"BSA";#N/A,#N/A,FALSE,"Detail1";#N/A,#N/A,FALSE,"Detail2";#N/A,#N/A,FALSE,"Detail3";#N/A,#N/A,FALSE,"WFTE_Summary";#N/A,#N/A,FALSE,"Funded_WFTE";#N/A,#N/A,FALSE,"PYADJ96"}</definedName>
    <definedName name="PRACTICE" localSheetId="6" hidden="1">{#N/A,#N/A,FALSE,"Summation";#N/A,#N/A,FALSE,"BSA";#N/A,#N/A,FALSE,"Detail1";#N/A,#N/A,FALSE,"Detail2";#N/A,#N/A,FALSE,"Detail3";#N/A,#N/A,FALSE,"WFTE_Summary";#N/A,#N/A,FALSE,"Funded_WFTE";#N/A,#N/A,FALSE,"PYADJ96"}</definedName>
    <definedName name="PRACTICE" localSheetId="5" hidden="1">{#N/A,#N/A,FALSE,"Summation";#N/A,#N/A,FALSE,"BSA";#N/A,#N/A,FALSE,"Detail1";#N/A,#N/A,FALSE,"Detail2";#N/A,#N/A,FALSE,"Detail3";#N/A,#N/A,FALSE,"WFTE_Summary";#N/A,#N/A,FALSE,"Funded_WFTE";#N/A,#N/A,FALSE,"PYADJ96"}</definedName>
    <definedName name="PRACTICE" localSheetId="2" hidden="1">{#N/A,#N/A,FALSE,"Summation";#N/A,#N/A,FALSE,"BSA";#N/A,#N/A,FALSE,"Detail1";#N/A,#N/A,FALSE,"Detail2";#N/A,#N/A,FALSE,"Detail3";#N/A,#N/A,FALSE,"WFTE_Summary";#N/A,#N/A,FALSE,"Funded_WFTE";#N/A,#N/A,FALSE,"PYADJ96"}</definedName>
    <definedName name="PRACTICE" localSheetId="4" hidden="1">{#N/A,#N/A,FALSE,"Summation";#N/A,#N/A,FALSE,"BSA";#N/A,#N/A,FALSE,"Detail1";#N/A,#N/A,FALSE,"Detail2";#N/A,#N/A,FALSE,"Detail3";#N/A,#N/A,FALSE,"WFTE_Summary";#N/A,#N/A,FALSE,"Funded_WFTE";#N/A,#N/A,FALSE,"PYADJ96"}</definedName>
    <definedName name="PRACTICE" hidden="1">{#N/A,#N/A,FALSE,"Summation";#N/A,#N/A,FALSE,"BSA";#N/A,#N/A,FALSE,"Detail1";#N/A,#N/A,FALSE,"Detail2";#N/A,#N/A,FALSE,"Detail3";#N/A,#N/A,FALSE,"WFTE_Summary";#N/A,#N/A,FALSE,"Funded_WFTE";#N/A,#N/A,FALSE,"PYADJ96"}</definedName>
    <definedName name="PRACTOCE" localSheetId="3" hidden="1">{#N/A,#N/A,FALSE,"Summation";#N/A,#N/A,FALSE,"BSA";#N/A,#N/A,FALSE,"Detail1";#N/A,#N/A,FALSE,"Detail2";#N/A,#N/A,FALSE,"Detail3";#N/A,#N/A,FALSE,"WFTE_Summary";#N/A,#N/A,FALSE,"Funded_WFTE";#N/A,#N/A,FALSE,"PYADJ96"}</definedName>
    <definedName name="PRACTOCE" localSheetId="6" hidden="1">{#N/A,#N/A,FALSE,"Summation";#N/A,#N/A,FALSE,"BSA";#N/A,#N/A,FALSE,"Detail1";#N/A,#N/A,FALSE,"Detail2";#N/A,#N/A,FALSE,"Detail3";#N/A,#N/A,FALSE,"WFTE_Summary";#N/A,#N/A,FALSE,"Funded_WFTE";#N/A,#N/A,FALSE,"PYADJ96"}</definedName>
    <definedName name="PRACTOCE" localSheetId="5" hidden="1">{#N/A,#N/A,FALSE,"Summation";#N/A,#N/A,FALSE,"BSA";#N/A,#N/A,FALSE,"Detail1";#N/A,#N/A,FALSE,"Detail2";#N/A,#N/A,FALSE,"Detail3";#N/A,#N/A,FALSE,"WFTE_Summary";#N/A,#N/A,FALSE,"Funded_WFTE";#N/A,#N/A,FALSE,"PYADJ96"}</definedName>
    <definedName name="PRACTOCE" localSheetId="2" hidden="1">{#N/A,#N/A,FALSE,"Summation";#N/A,#N/A,FALSE,"BSA";#N/A,#N/A,FALSE,"Detail1";#N/A,#N/A,FALSE,"Detail2";#N/A,#N/A,FALSE,"Detail3";#N/A,#N/A,FALSE,"WFTE_Summary";#N/A,#N/A,FALSE,"Funded_WFTE";#N/A,#N/A,FALSE,"PYADJ96"}</definedName>
    <definedName name="PRACTOCE" localSheetId="4" hidden="1">{#N/A,#N/A,FALSE,"Summation";#N/A,#N/A,FALSE,"BSA";#N/A,#N/A,FALSE,"Detail1";#N/A,#N/A,FALSE,"Detail2";#N/A,#N/A,FALSE,"Detail3";#N/A,#N/A,FALSE,"WFTE_Summary";#N/A,#N/A,FALSE,"Funded_WFTE";#N/A,#N/A,FALSE,"PYADJ96"}</definedName>
    <definedName name="PRACTOCE" hidden="1">{#N/A,#N/A,FALSE,"Summation";#N/A,#N/A,FALSE,"BSA";#N/A,#N/A,FALSE,"Detail1";#N/A,#N/A,FALSE,"Detail2";#N/A,#N/A,FALSE,"Detail3";#N/A,#N/A,FALSE,"WFTE_Summary";#N/A,#N/A,FALSE,"Funded_WFTE";#N/A,#N/A,FALSE,"PYADJ96"}</definedName>
    <definedName name="_xlnm.Print_Area" localSheetId="3">'23-24 Jones Clark staffing'!$A$1:$F$45</definedName>
    <definedName name="_xlnm.Print_Area" localSheetId="6">'23-24 Mendez Staffing'!$A$1:$F$47</definedName>
    <definedName name="_xlnm.Print_Area" localSheetId="2">'23-24 Smith MS staffing'!$A$1:$F$46</definedName>
    <definedName name="_xlnm.Print_Area" localSheetId="4">'Fehl Price staffing'!$A$1:$F$45</definedName>
    <definedName name="printjob1" localSheetId="3">#REF!,#REF!,#REF!,#REF!,#REF!,#REF!,#REF!,#REF!,#REF!,#REF!,#REF!</definedName>
    <definedName name="printjob1" localSheetId="6">#REF!,#REF!,#REF!,#REF!,#REF!,#REF!,#REF!,#REF!,#REF!,#REF!,#REF!</definedName>
    <definedName name="printjob1" localSheetId="5">#REF!,#REF!,#REF!,#REF!,#REF!,#REF!,#REF!,#REF!,#REF!,#REF!,#REF!</definedName>
    <definedName name="printjob1" localSheetId="2">#REF!,#REF!,#REF!,#REF!,#REF!,#REF!,#REF!,#REF!,#REF!,#REF!,#REF!</definedName>
    <definedName name="printjob1" localSheetId="4">#REF!,#REF!,#REF!,#REF!,#REF!,#REF!,#REF!,#REF!,#REF!,#REF!,#REF!</definedName>
    <definedName name="printjob1">#REF!,#REF!,#REF!,#REF!,#REF!,#REF!,#REF!,#REF!,#REF!,#REF!,#REF!</definedName>
    <definedName name="printjob2" localSheetId="3">#REF!,#REF!,#REF!,#REF!,#REF!,#REF!,#REF!,#REF!,#REF!,#REF!,#REF!</definedName>
    <definedName name="printjob2" localSheetId="6">#REF!,#REF!,#REF!,#REF!,#REF!,#REF!,#REF!,#REF!,#REF!,#REF!,#REF!</definedName>
    <definedName name="printjob2" localSheetId="5">#REF!,#REF!,#REF!,#REF!,#REF!,#REF!,#REF!,#REF!,#REF!,#REF!,#REF!</definedName>
    <definedName name="printjob2" localSheetId="2">#REF!,#REF!,#REF!,#REF!,#REF!,#REF!,#REF!,#REF!,#REF!,#REF!,#REF!</definedName>
    <definedName name="printjob2" localSheetId="4">#REF!,#REF!,#REF!,#REF!,#REF!,#REF!,#REF!,#REF!,#REF!,#REF!,#REF!</definedName>
    <definedName name="printjob2">#REF!,#REF!,#REF!,#REF!,#REF!,#REF!,#REF!,#REF!,#REF!,#REF!,#REF!</definedName>
    <definedName name="printjob3" localSheetId="3">#REF!,#REF!</definedName>
    <definedName name="printjob3" localSheetId="6">#REF!,#REF!</definedName>
    <definedName name="printjob3" localSheetId="5">#REF!,#REF!</definedName>
    <definedName name="printjob3" localSheetId="2">#REF!,#REF!</definedName>
    <definedName name="printjob3" localSheetId="4">#REF!,#REF!</definedName>
    <definedName name="printjob3">#REF!,#REF!</definedName>
    <definedName name="printsumm" localSheetId="6">#REF!,#REF!,#REF!,#REF!,#REF!</definedName>
    <definedName name="printsumm" localSheetId="5">#REF!,#REF!,#REF!,#REF!,#REF!</definedName>
    <definedName name="printsumm">#REF!,#REF!,#REF!,#REF!,#REF!</definedName>
    <definedName name="printtabor" localSheetId="6">#REF!,#REF!,#REF!</definedName>
    <definedName name="printtabor" localSheetId="5">#REF!,#REF!,#REF!</definedName>
    <definedName name="printtabor">#REF!,#REF!,#REF!</definedName>
    <definedName name="RURAL">#REF!</definedName>
    <definedName name="sa" localSheetId="3"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sa" localSheetId="6"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sa" localSheetId="5"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sa" localSheetId="2"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sa" localSheetId="4"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sa"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SAPBEXdnldView" hidden="1">"4GKQGA68BTJSRT8MI528THIA3"</definedName>
    <definedName name="SAPBEXsysID" hidden="1">"PB1"</definedName>
    <definedName name="sensitivity" localSheetId="3" hidden="1">{#N/A,#N/A,FALSE,"Page 2";#N/A,#N/A,FALSE,"Page 1A";#N/A,#N/A,FALSE,"Page 1B";#N/A,#N/A,FALSE,"ExecSum";#N/A,#N/A,FALSE,"Budget";#N/A,#N/A,FALSE,"Lease Summary";#N/A,#N/A,FALSE,"Summary1";#N/A,#N/A,FALSE,"CashFlow";#N/A,#N/A,FALSE,"Page 3";#N/A,#N/A,FALSE,"Page 4";#N/A,#N/A,FALSE,"Carry"}</definedName>
    <definedName name="sensitivity" localSheetId="6" hidden="1">{#N/A,#N/A,FALSE,"Page 2";#N/A,#N/A,FALSE,"Page 1A";#N/A,#N/A,FALSE,"Page 1B";#N/A,#N/A,FALSE,"ExecSum";#N/A,#N/A,FALSE,"Budget";#N/A,#N/A,FALSE,"Lease Summary";#N/A,#N/A,FALSE,"Summary1";#N/A,#N/A,FALSE,"CashFlow";#N/A,#N/A,FALSE,"Page 3";#N/A,#N/A,FALSE,"Page 4";#N/A,#N/A,FALSE,"Carry"}</definedName>
    <definedName name="sensitivity" localSheetId="5" hidden="1">{#N/A,#N/A,FALSE,"Page 2";#N/A,#N/A,FALSE,"Page 1A";#N/A,#N/A,FALSE,"Page 1B";#N/A,#N/A,FALSE,"ExecSum";#N/A,#N/A,FALSE,"Budget";#N/A,#N/A,FALSE,"Lease Summary";#N/A,#N/A,FALSE,"Summary1";#N/A,#N/A,FALSE,"CashFlow";#N/A,#N/A,FALSE,"Page 3";#N/A,#N/A,FALSE,"Page 4";#N/A,#N/A,FALSE,"Carry"}</definedName>
    <definedName name="sensitivity" localSheetId="2" hidden="1">{#N/A,#N/A,FALSE,"Page 2";#N/A,#N/A,FALSE,"Page 1A";#N/A,#N/A,FALSE,"Page 1B";#N/A,#N/A,FALSE,"ExecSum";#N/A,#N/A,FALSE,"Budget";#N/A,#N/A,FALSE,"Lease Summary";#N/A,#N/A,FALSE,"Summary1";#N/A,#N/A,FALSE,"CashFlow";#N/A,#N/A,FALSE,"Page 3";#N/A,#N/A,FALSE,"Page 4";#N/A,#N/A,FALSE,"Carry"}</definedName>
    <definedName name="sensitivity" localSheetId="4" hidden="1">{#N/A,#N/A,FALSE,"Page 2";#N/A,#N/A,FALSE,"Page 1A";#N/A,#N/A,FALSE,"Page 1B";#N/A,#N/A,FALSE,"ExecSum";#N/A,#N/A,FALSE,"Budget";#N/A,#N/A,FALSE,"Lease Summary";#N/A,#N/A,FALSE,"Summary1";#N/A,#N/A,FALSE,"CashFlow";#N/A,#N/A,FALSE,"Page 3";#N/A,#N/A,FALSE,"Page 4";#N/A,#N/A,FALSE,"Carry"}</definedName>
    <definedName name="sensitivity" hidden="1">{#N/A,#N/A,FALSE,"Page 2";#N/A,#N/A,FALSE,"Page 1A";#N/A,#N/A,FALSE,"Page 1B";#N/A,#N/A,FALSE,"ExecSum";#N/A,#N/A,FALSE,"Budget";#N/A,#N/A,FALSE,"Lease Summary";#N/A,#N/A,FALSE,"Summary1";#N/A,#N/A,FALSE,"CashFlow";#N/A,#N/A,FALSE,"Page 3";#N/A,#N/A,FALSE,"Page 4";#N/A,#N/A,FALSE,"Carry"}</definedName>
    <definedName name="SES_Allocation_by_school">[1]SES!$F$21:$F$22</definedName>
    <definedName name="SES_School_Name">[1]SES!$A$21:$A$22</definedName>
    <definedName name="SPENDLIM" localSheetId="3">#REF!</definedName>
    <definedName name="SPENDLIM" localSheetId="6">#REF!</definedName>
    <definedName name="SPENDLIM" localSheetId="5">#REF!</definedName>
    <definedName name="SPENDLIM" localSheetId="2">#REF!</definedName>
    <definedName name="SPENDLIM" localSheetId="4">#REF!</definedName>
    <definedName name="SPENDLIM">#REF!</definedName>
    <definedName name="SUMExtraCredit" localSheetId="3">#REF!</definedName>
    <definedName name="SUMExtraCredit" localSheetId="6">#REF!</definedName>
    <definedName name="SUMExtraCredit" localSheetId="5">#REF!</definedName>
    <definedName name="SUMExtraCredit" localSheetId="2">#REF!</definedName>
    <definedName name="SUMExtraCredit" localSheetId="4">#REF!</definedName>
    <definedName name="SUMExtraCredit">#REF!</definedName>
    <definedName name="SUMIF" localSheetId="3">#REF!</definedName>
    <definedName name="SUMIF" localSheetId="6">#REF!</definedName>
    <definedName name="SUMIF" localSheetId="5">#REF!</definedName>
    <definedName name="SUMIF" localSheetId="2">#REF!</definedName>
    <definedName name="SUMIF" localSheetId="4">#REF!</definedName>
    <definedName name="SUMIF">#REF!</definedName>
    <definedName name="SUMIFExtraCredit">#REF!</definedName>
    <definedName name="SUMM01">#REF!</definedName>
    <definedName name="SUMM02">#REF!</definedName>
    <definedName name="SUMM03">#REF!</definedName>
    <definedName name="SUMM04">#REF!</definedName>
    <definedName name="SUMM05">#REF!</definedName>
    <definedName name="SUMMARY">'[1]district disk'!#REF!</definedName>
    <definedName name="ta" localSheetId="3"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ta" localSheetId="6"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ta" localSheetId="5"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ta" localSheetId="2"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ta" localSheetId="4"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ta"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TAXLIM">#REF!</definedName>
    <definedName name="Title_I_School_Name">'[1]Title I School'!$A$11:$A$43</definedName>
    <definedName name="Title_III_SA_Allocation">'[1]Title III Set-Aside'!$C$8:$C$19</definedName>
    <definedName name="Title_III_SA_School">'[1]Title III Set-Aside'!$A$8:$A$19</definedName>
    <definedName name="Title_III_School_Name">'[1]Title III'!$A$23:$A$52</definedName>
    <definedName name="Total" localSheetId="3">#REF!</definedName>
    <definedName name="Total" localSheetId="6">#REF!</definedName>
    <definedName name="Total" localSheetId="5">#REF!</definedName>
    <definedName name="Total" localSheetId="2">#REF!</definedName>
    <definedName name="Total" localSheetId="4">#REF!</definedName>
    <definedName name="Total">#REF!</definedName>
    <definedName name="URBAN" localSheetId="3">#REF!</definedName>
    <definedName name="URBAN" localSheetId="6">#REF!</definedName>
    <definedName name="URBAN" localSheetId="5">#REF!</definedName>
    <definedName name="URBAN" localSheetId="2">#REF!</definedName>
    <definedName name="URBAN" localSheetId="4">#REF!</definedName>
    <definedName name="URBAN">#REF!</definedName>
    <definedName name="Values_Entered" localSheetId="3">IF(Loan_Amount*Interest_Rate*Loan_Years*Loan_Start&gt;0,1,0)</definedName>
    <definedName name="Values_Entered" localSheetId="6">IF(Loan_Amount*Interest_Rate*Loan_Years*Loan_Start&gt;0,1,0)</definedName>
    <definedName name="Values_Entered" localSheetId="5">IF(Loan_Amount*Interest_Rate*Loan_Years*Loan_Start&gt;0,1,0)</definedName>
    <definedName name="Values_Entered" localSheetId="2">IF(Loan_Amount*Interest_Rate*Loan_Years*Loan_Start&gt;0,1,0)</definedName>
    <definedName name="Values_Entered" localSheetId="4">IF(Loan_Amount*Interest_Rate*Loan_Years*Loan_Start&gt;0,1,0)</definedName>
    <definedName name="Values_Entered">IF(Loan_Amount*Interest_Rate*Loan_Years*Loan_Start&gt;0,1,0)</definedName>
    <definedName name="Values_Entered_9" localSheetId="3">IF(Loan_Amount_9*Interest_Rate_9*Loan_Years_9*Loan_Start_9&gt;0,1,0)</definedName>
    <definedName name="Values_Entered_9" localSheetId="6">IF(Loan_Amount_9*Interest_Rate_9*Loan_Years_9*Loan_Start_9&gt;0,1,0)</definedName>
    <definedName name="Values_Entered_9" localSheetId="5">IF(Loan_Amount_9*Interest_Rate_9*Loan_Years_9*Loan_Start_9&gt;0,1,0)</definedName>
    <definedName name="Values_Entered_9" localSheetId="2">IF(Loan_Amount_9*Interest_Rate_9*Loan_Years_9*Loan_Start_9&gt;0,1,0)</definedName>
    <definedName name="Values_Entered_9" localSheetId="4">IF(Loan_Amount_9*Interest_Rate_9*Loan_Years_9*Loan_Start_9&gt;0,1,0)</definedName>
    <definedName name="Values_Entered_9">IF(Loan_Amount_9*Interest_Rate_9*Loan_Years_9*Loan_Start_9&gt;0,1,0)</definedName>
    <definedName name="what" localSheetId="3" hidden="1">{"Page1",#N/A,FALSE,"7979";"Page2",#N/A,FALSE,"7979";"Page3",#N/A,FALSE,"7979"}</definedName>
    <definedName name="what" localSheetId="6" hidden="1">{"Page1",#N/A,FALSE,"7979";"Page2",#N/A,FALSE,"7979";"Page3",#N/A,FALSE,"7979"}</definedName>
    <definedName name="what" localSheetId="5" hidden="1">{"Page1",#N/A,FALSE,"7979";"Page2",#N/A,FALSE,"7979";"Page3",#N/A,FALSE,"7979"}</definedName>
    <definedName name="what" localSheetId="2" hidden="1">{"Page1",#N/A,FALSE,"7979";"Page2",#N/A,FALSE,"7979";"Page3",#N/A,FALSE,"7979"}</definedName>
    <definedName name="what" localSheetId="4" hidden="1">{"Page1",#N/A,FALSE,"7979";"Page2",#N/A,FALSE,"7979";"Page3",#N/A,FALSE,"7979"}</definedName>
    <definedName name="what" hidden="1">{"Page1",#N/A,FALSE,"7979";"Page2",#N/A,FALSE,"7979";"Page3",#N/A,FALSE,"7979"}</definedName>
    <definedName name="whatwhat" localSheetId="3" hidden="1">{"Page1",#N/A,FALSE,"7979";"Page2",#N/A,FALSE,"7979";"Page3",#N/A,FALSE,"7979"}</definedName>
    <definedName name="whatwhat" localSheetId="6" hidden="1">{"Page1",#N/A,FALSE,"7979";"Page2",#N/A,FALSE,"7979";"Page3",#N/A,FALSE,"7979"}</definedName>
    <definedName name="whatwhat" localSheetId="5" hidden="1">{"Page1",#N/A,FALSE,"7979";"Page2",#N/A,FALSE,"7979";"Page3",#N/A,FALSE,"7979"}</definedName>
    <definedName name="whatwhat" localSheetId="2" hidden="1">{"Page1",#N/A,FALSE,"7979";"Page2",#N/A,FALSE,"7979";"Page3",#N/A,FALSE,"7979"}</definedName>
    <definedName name="whatwhat" localSheetId="4" hidden="1">{"Page1",#N/A,FALSE,"7979";"Page2",#N/A,FALSE,"7979";"Page3",#N/A,FALSE,"7979"}</definedName>
    <definedName name="whatwhat" hidden="1">{"Page1",#N/A,FALSE,"7979";"Page2",#N/A,FALSE,"7979";"Page3",#N/A,FALSE,"7979"}</definedName>
    <definedName name="wrn.ALL." localSheetId="3"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 localSheetId="6"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 localSheetId="5"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 localSheetId="2"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 localSheetId="4"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_.Inputs." localSheetId="3" hidden="1">{#N/A,#N/A,FALSE,"Primary";#N/A,#N/A,FALSE,"Secondary";#N/A,#N/A,FALSE,"Latent";#N/A,#N/A,FALSE,"Demand Inputs";#N/A,#N/A,FALSE,"Supply Addn";#N/A,#N/A,FALSE,"Mkt Pen"}</definedName>
    <definedName name="wrn.All._.Inputs." localSheetId="6" hidden="1">{#N/A,#N/A,FALSE,"Primary";#N/A,#N/A,FALSE,"Secondary";#N/A,#N/A,FALSE,"Latent";#N/A,#N/A,FALSE,"Demand Inputs";#N/A,#N/A,FALSE,"Supply Addn";#N/A,#N/A,FALSE,"Mkt Pen"}</definedName>
    <definedName name="wrn.All._.Inputs." localSheetId="5" hidden="1">{#N/A,#N/A,FALSE,"Primary";#N/A,#N/A,FALSE,"Secondary";#N/A,#N/A,FALSE,"Latent";#N/A,#N/A,FALSE,"Demand Inputs";#N/A,#N/A,FALSE,"Supply Addn";#N/A,#N/A,FALSE,"Mkt Pen"}</definedName>
    <definedName name="wrn.All._.Inputs." localSheetId="2" hidden="1">{#N/A,#N/A,FALSE,"Primary";#N/A,#N/A,FALSE,"Secondary";#N/A,#N/A,FALSE,"Latent";#N/A,#N/A,FALSE,"Demand Inputs";#N/A,#N/A,FALSE,"Supply Addn";#N/A,#N/A,FALSE,"Mkt Pen"}</definedName>
    <definedName name="wrn.All._.Inputs." localSheetId="4" hidden="1">{#N/A,#N/A,FALSE,"Primary";#N/A,#N/A,FALSE,"Secondary";#N/A,#N/A,FALSE,"Latent";#N/A,#N/A,FALSE,"Demand Inputs";#N/A,#N/A,FALSE,"Supply Addn";#N/A,#N/A,FALSE,"Mkt Pen"}</definedName>
    <definedName name="wrn.All._.Inputs." hidden="1">{#N/A,#N/A,FALSE,"Primary";#N/A,#N/A,FALSE,"Secondary";#N/A,#N/A,FALSE,"Latent";#N/A,#N/A,FALSE,"Demand Inputs";#N/A,#N/A,FALSE,"Supply Addn";#N/A,#N/A,FALSE,"Mkt Pen"}</definedName>
    <definedName name="wrn.all.2" localSheetId="3"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2" localSheetId="6"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2" localSheetId="5"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2" localSheetId="2"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2" localSheetId="4"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all.2" hidden="1">{#N/A,#N/A,FALSE,"SCHEDULE A";"MINIMUM RENT",#N/A,FALSE,"SCHEDULES B &amp; C";"PERCENTAGE RENT",#N/A,FALSE,"SCHEDULES B &amp; C";#N/A,#N/A,FALSE,"SCHEDULE D";"SUMMARY SCHEDULE",#N/A,FALSE,"SCHEDULE E";#N/A,#N/A,FALSE,"SCHEDULE F";#N/A,#N/A,FALSE,"SCHEDULE G";"SUMMARY SCHEDULE",#N/A,FALSE,"SCHEDULE H";"SUMMARY SCHEDULE",#N/A,FALSE,"SCHEDULE I";#N/A,#N/A,FALSE,"SCHEDULE J";#N/A,#N/A,FALSE,"SCHEDULE 2";#N/A,#N/A,FALSE,"SCHEDULE 3";#N/A,#N/A,FALSE,"MARKETING I";#N/A,#N/A,FALSE,"MARKETING II";#N/A,#N/A,FALSE,"MARKETING III"}</definedName>
    <definedName name="wrn.Base._.Case._.Print." localSheetId="3" hidden="1">{#N/A,#N/A,FALSE,"Assumptions";#N/A,#N/A,FALSE,"Ground Rent";#N/A,#N/A,FALSE,"SQFT SUMMARY";#N/A,#N/A,FALSE,"PROJECT COSTS";#N/A,#N/A,FALSE,"Financing";#N/A,#N/A,FALSE,"RE Tax Analysis";#N/A,#N/A,FALSE,"Oper Pro Forma";#N/A,#N/A,FALSE,"Sale and IRR";#N/A,#N/A,FALSE,"Int BackUP"}</definedName>
    <definedName name="wrn.Base._.Case._.Print." localSheetId="6" hidden="1">{#N/A,#N/A,FALSE,"Assumptions";#N/A,#N/A,FALSE,"Ground Rent";#N/A,#N/A,FALSE,"SQFT SUMMARY";#N/A,#N/A,FALSE,"PROJECT COSTS";#N/A,#N/A,FALSE,"Financing";#N/A,#N/A,FALSE,"RE Tax Analysis";#N/A,#N/A,FALSE,"Oper Pro Forma";#N/A,#N/A,FALSE,"Sale and IRR";#N/A,#N/A,FALSE,"Int BackUP"}</definedName>
    <definedName name="wrn.Base._.Case._.Print." localSheetId="5" hidden="1">{#N/A,#N/A,FALSE,"Assumptions";#N/A,#N/A,FALSE,"Ground Rent";#N/A,#N/A,FALSE,"SQFT SUMMARY";#N/A,#N/A,FALSE,"PROJECT COSTS";#N/A,#N/A,FALSE,"Financing";#N/A,#N/A,FALSE,"RE Tax Analysis";#N/A,#N/A,FALSE,"Oper Pro Forma";#N/A,#N/A,FALSE,"Sale and IRR";#N/A,#N/A,FALSE,"Int BackUP"}</definedName>
    <definedName name="wrn.Base._.Case._.Print." localSheetId="2" hidden="1">{#N/A,#N/A,FALSE,"Assumptions";#N/A,#N/A,FALSE,"Ground Rent";#N/A,#N/A,FALSE,"SQFT SUMMARY";#N/A,#N/A,FALSE,"PROJECT COSTS";#N/A,#N/A,FALSE,"Financing";#N/A,#N/A,FALSE,"RE Tax Analysis";#N/A,#N/A,FALSE,"Oper Pro Forma";#N/A,#N/A,FALSE,"Sale and IRR";#N/A,#N/A,FALSE,"Int BackUP"}</definedName>
    <definedName name="wrn.Base._.Case._.Print." localSheetId="4" hidden="1">{#N/A,#N/A,FALSE,"Assumptions";#N/A,#N/A,FALSE,"Ground Rent";#N/A,#N/A,FALSE,"SQFT SUMMARY";#N/A,#N/A,FALSE,"PROJECT COSTS";#N/A,#N/A,FALSE,"Financing";#N/A,#N/A,FALSE,"RE Tax Analysis";#N/A,#N/A,FALSE,"Oper Pro Forma";#N/A,#N/A,FALSE,"Sale and IRR";#N/A,#N/A,FALSE,"Int BackUP"}</definedName>
    <definedName name="wrn.Base._.Case._.Print." hidden="1">{#N/A,#N/A,FALSE,"Assumptions";#N/A,#N/A,FALSE,"Ground Rent";#N/A,#N/A,FALSE,"SQFT SUMMARY";#N/A,#N/A,FALSE,"PROJECT COSTS";#N/A,#N/A,FALSE,"Financing";#N/A,#N/A,FALSE,"RE Tax Analysis";#N/A,#N/A,FALSE,"Oper Pro Forma";#N/A,#N/A,FALSE,"Sale and IRR";#N/A,#N/A,FALSE,"Int BackUP"}</definedName>
    <definedName name="wrn.Base._.Data._.Comparison." localSheetId="3" hidden="1">{#N/A,#N/A,FALSE,"Summation";#N/A,#N/A,FALSE,"BSA";#N/A,#N/A,FALSE,"Detail1";#N/A,#N/A,FALSE,"Detail2";#N/A,#N/A,FALSE,"Detail3";#N/A,#N/A,FALSE,"WFTE_Summary";#N/A,#N/A,FALSE,"Funded_WFTE";#N/A,#N/A,FALSE,"PYADJ96"}</definedName>
    <definedName name="wrn.Base._.Data._.Comparison." localSheetId="6" hidden="1">{#N/A,#N/A,FALSE,"Summation";#N/A,#N/A,FALSE,"BSA";#N/A,#N/A,FALSE,"Detail1";#N/A,#N/A,FALSE,"Detail2";#N/A,#N/A,FALSE,"Detail3";#N/A,#N/A,FALSE,"WFTE_Summary";#N/A,#N/A,FALSE,"Funded_WFTE";#N/A,#N/A,FALSE,"PYADJ96"}</definedName>
    <definedName name="wrn.Base._.Data._.Comparison." localSheetId="5" hidden="1">{#N/A,#N/A,FALSE,"Summation";#N/A,#N/A,FALSE,"BSA";#N/A,#N/A,FALSE,"Detail1";#N/A,#N/A,FALSE,"Detail2";#N/A,#N/A,FALSE,"Detail3";#N/A,#N/A,FALSE,"WFTE_Summary";#N/A,#N/A,FALSE,"Funded_WFTE";#N/A,#N/A,FALSE,"PYADJ96"}</definedName>
    <definedName name="wrn.Base._.Data._.Comparison." localSheetId="2" hidden="1">{#N/A,#N/A,FALSE,"Summation";#N/A,#N/A,FALSE,"BSA";#N/A,#N/A,FALSE,"Detail1";#N/A,#N/A,FALSE,"Detail2";#N/A,#N/A,FALSE,"Detail3";#N/A,#N/A,FALSE,"WFTE_Summary";#N/A,#N/A,FALSE,"Funded_WFTE";#N/A,#N/A,FALSE,"PYADJ96"}</definedName>
    <definedName name="wrn.Base._.Data._.Comparison." localSheetId="4" hidden="1">{#N/A,#N/A,FALSE,"Summation";#N/A,#N/A,FALSE,"BSA";#N/A,#N/A,FALSE,"Detail1";#N/A,#N/A,FALSE,"Detail2";#N/A,#N/A,FALSE,"Detail3";#N/A,#N/A,FALSE,"WFTE_Summary";#N/A,#N/A,FALSE,"Funded_WFTE";#N/A,#N/A,FALSE,"PYADJ96"}</definedName>
    <definedName name="wrn.Base._.Data._.Comparison." hidden="1">{#N/A,#N/A,FALSE,"Summation";#N/A,#N/A,FALSE,"BSA";#N/A,#N/A,FALSE,"Detail1";#N/A,#N/A,FALSE,"Detail2";#N/A,#N/A,FALSE,"Detail3";#N/A,#N/A,FALSE,"WFTE_Summary";#N/A,#N/A,FALSE,"Funded_WFTE";#N/A,#N/A,FALSE,"PYADJ96"}</definedName>
    <definedName name="wrn.BaseYearDemand." localSheetId="3" hidden="1">{"Base Year Demand",#N/A,FALSE,"Demand-Base Year"}</definedName>
    <definedName name="wrn.BaseYearDemand." localSheetId="6" hidden="1">{"Base Year Demand",#N/A,FALSE,"Demand-Base Year"}</definedName>
    <definedName name="wrn.BaseYearDemand." localSheetId="5" hidden="1">{"Base Year Demand",#N/A,FALSE,"Demand-Base Year"}</definedName>
    <definedName name="wrn.BaseYearDemand." localSheetId="2" hidden="1">{"Base Year Demand",#N/A,FALSE,"Demand-Base Year"}</definedName>
    <definedName name="wrn.BaseYearDemand." localSheetId="4" hidden="1">{"Base Year Demand",#N/A,FALSE,"Demand-Base Year"}</definedName>
    <definedName name="wrn.BaseYearDemand." hidden="1">{"Base Year Demand",#N/A,FALSE,"Demand-Base Year"}</definedName>
    <definedName name="wrn.Basic._.Forecast." localSheetId="3"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wrn.Basic._.Forecast." localSheetId="6"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wrn.Basic._.Forecast." localSheetId="5"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wrn.Basic._.Forecast." localSheetId="2"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wrn.Basic._.Forecast." localSheetId="4"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wrn.Basic._.Forecast." hidden="1">{#N/A,#N/A,FALSE,"Assumptions";#N/A,#N/A,FALSE,"Input";#N/A,#N/A,FALSE,"S &amp; U - Total";#N/A,#N/A,FALSE,"S &amp; U - LIHC";#N/A,#N/A,FALSE,"S &amp; U - Market";#N/A,#N/A,FALSE,"NOI - Total";#N/A,#N/A,FALSE,"NOI - LIHC";#N/A,#N/A,FALSE,"NOI - Market";#N/A,#N/A,FALSE,"TI - Total";#N/A,#N/A,FALSE,"TI - LIHC";#N/A,#N/A,FALSE,"TI - Market";#N/A,#N/A,FALSE,"Costs";#N/A,#N/A,FALSE,"Credit";#N/A,#N/A,FALSE,"LP Rtn";#N/A,#N/A,FALSE,"One Pay-in-LP";#N/A,#N/A,FALSE,"Sale Cash-LP";#N/A,#N/A,FALSE,"Sale Gain-LP";#N/A,#N/A,FALSE,"704(b)-LP";#N/A,#N/A,FALSE,"GP Rtn";#N/A,#N/A,FALSE,"One Pay-in-GP";#N/A,#N/A,FALSE,"Sale Cash-GP";#N/A,#N/A,FALSE,"Sale Gain-GP";#N/A,#N/A,FALSE,"704(b)-GP"}</definedName>
    <definedName name="wrn.Both._.Outputs." localSheetId="3" hidden="1">{"LTV Output",#N/A,FALSE,"Output";"DCR Output",#N/A,FALSE,"Output"}</definedName>
    <definedName name="wrn.Both._.Outputs." localSheetId="6" hidden="1">{"LTV Output",#N/A,FALSE,"Output";"DCR Output",#N/A,FALSE,"Output"}</definedName>
    <definedName name="wrn.Both._.Outputs." localSheetId="5" hidden="1">{"LTV Output",#N/A,FALSE,"Output";"DCR Output",#N/A,FALSE,"Output"}</definedName>
    <definedName name="wrn.Both._.Outputs." localSheetId="2" hidden="1">{"LTV Output",#N/A,FALSE,"Output";"DCR Output",#N/A,FALSE,"Output"}</definedName>
    <definedName name="wrn.Both._.Outputs." localSheetId="4" hidden="1">{"LTV Output",#N/A,FALSE,"Output";"DCR Output",#N/A,FALSE,"Output"}</definedName>
    <definedName name="wrn.Both._.Outputs." hidden="1">{"LTV Output",#N/A,FALSE,"Output";"DCR Output",#N/A,FALSE,"Output"}</definedName>
    <definedName name="wrn.Cash._.Flow._.Analysis." localSheetId="3" hidden="1">{"CF",#N/A,FALSE,"Cash Flow";"RET",#N/A,FALSE,"Returns";"NPV",#N/A,FALSE,"Values";"ASMPT",#N/A,FALSE,"Assumptions"}</definedName>
    <definedName name="wrn.Cash._.Flow._.Analysis." localSheetId="6" hidden="1">{"CF",#N/A,FALSE,"Cash Flow";"RET",#N/A,FALSE,"Returns";"NPV",#N/A,FALSE,"Values";"ASMPT",#N/A,FALSE,"Assumptions"}</definedName>
    <definedName name="wrn.Cash._.Flow._.Analysis." localSheetId="5" hidden="1">{"CF",#N/A,FALSE,"Cash Flow";"RET",#N/A,FALSE,"Returns";"NPV",#N/A,FALSE,"Values";"ASMPT",#N/A,FALSE,"Assumptions"}</definedName>
    <definedName name="wrn.Cash._.Flow._.Analysis." localSheetId="2" hidden="1">{"CF",#N/A,FALSE,"Cash Flow";"RET",#N/A,FALSE,"Returns";"NPV",#N/A,FALSE,"Values";"ASMPT",#N/A,FALSE,"Assumptions"}</definedName>
    <definedName name="wrn.Cash._.Flow._.Analysis." localSheetId="4" hidden="1">{"CF",#N/A,FALSE,"Cash Flow";"RET",#N/A,FALSE,"Returns";"NPV",#N/A,FALSE,"Values";"ASMPT",#N/A,FALSE,"Assumptions"}</definedName>
    <definedName name="wrn.Cash._.Flow._.Analysis." hidden="1">{"CF",#N/A,FALSE,"Cash Flow";"RET",#N/A,FALSE,"Returns";"NPV",#N/A,FALSE,"Values";"ASMPT",#N/A,FALSE,"Assumptions"}</definedName>
    <definedName name="wrn.check." localSheetId="3"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 localSheetId="6"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 localSheetId="5"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 localSheetId="2"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 localSheetId="4"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2" localSheetId="3"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2" localSheetId="6"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2" localSheetId="5"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2" localSheetId="2"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2" localSheetId="4"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heck.2" hidden="1">{#N/A,#N/A,FALSE,"Summary";#N/A,#N/A,FALSE,"Project Summary";#N/A,#N/A,FALSE,"Development Cost Summary";#N/A,#N/A,FALSE,"Development Cost Allocation";#N/A,#N/A,FALSE,"Pad Fees";#N/A,#N/A,FALSE,"Costs";#N/A,#N/A,FALSE,"Parking Budget";#N/A,#N/A,FALSE,"Retail Development Budget";#N/A,#N/A,FALSE,"Office Development Budget";#N/A,#N/A,FALSE,"Hotel Development Budget"}</definedName>
    <definedName name="wrn.combined." localSheetId="3" hidden="1">{#N/A,#N/A,FALSE,"Page 2";#N/A,#N/A,FALSE,"Page 1A";#N/A,#N/A,FALSE,"Page 1B";#N/A,#N/A,FALSE,"ExecSum";#N/A,#N/A,FALSE,"Budget";#N/A,#N/A,FALSE,"Lease Summary";#N/A,#N/A,FALSE,"Summary1";#N/A,#N/A,FALSE,"CashFlow";#N/A,#N/A,FALSE,"Page 3";#N/A,#N/A,FALSE,"Page 4";#N/A,#N/A,FALSE,"Carry"}</definedName>
    <definedName name="wrn.combined." localSheetId="6" hidden="1">{#N/A,#N/A,FALSE,"Page 2";#N/A,#N/A,FALSE,"Page 1A";#N/A,#N/A,FALSE,"Page 1B";#N/A,#N/A,FALSE,"ExecSum";#N/A,#N/A,FALSE,"Budget";#N/A,#N/A,FALSE,"Lease Summary";#N/A,#N/A,FALSE,"Summary1";#N/A,#N/A,FALSE,"CashFlow";#N/A,#N/A,FALSE,"Page 3";#N/A,#N/A,FALSE,"Page 4";#N/A,#N/A,FALSE,"Carry"}</definedName>
    <definedName name="wrn.combined." localSheetId="5" hidden="1">{#N/A,#N/A,FALSE,"Page 2";#N/A,#N/A,FALSE,"Page 1A";#N/A,#N/A,FALSE,"Page 1B";#N/A,#N/A,FALSE,"ExecSum";#N/A,#N/A,FALSE,"Budget";#N/A,#N/A,FALSE,"Lease Summary";#N/A,#N/A,FALSE,"Summary1";#N/A,#N/A,FALSE,"CashFlow";#N/A,#N/A,FALSE,"Page 3";#N/A,#N/A,FALSE,"Page 4";#N/A,#N/A,FALSE,"Carry"}</definedName>
    <definedName name="wrn.combined." localSheetId="2" hidden="1">{#N/A,#N/A,FALSE,"Page 2";#N/A,#N/A,FALSE,"Page 1A";#N/A,#N/A,FALSE,"Page 1B";#N/A,#N/A,FALSE,"ExecSum";#N/A,#N/A,FALSE,"Budget";#N/A,#N/A,FALSE,"Lease Summary";#N/A,#N/A,FALSE,"Summary1";#N/A,#N/A,FALSE,"CashFlow";#N/A,#N/A,FALSE,"Page 3";#N/A,#N/A,FALSE,"Page 4";#N/A,#N/A,FALSE,"Carry"}</definedName>
    <definedName name="wrn.combined." localSheetId="4" hidden="1">{#N/A,#N/A,FALSE,"Page 2";#N/A,#N/A,FALSE,"Page 1A";#N/A,#N/A,FALSE,"Page 1B";#N/A,#N/A,FALSE,"ExecSum";#N/A,#N/A,FALSE,"Budget";#N/A,#N/A,FALSE,"Lease Summary";#N/A,#N/A,FALSE,"Summary1";#N/A,#N/A,FALSE,"CashFlow";#N/A,#N/A,FALSE,"Page 3";#N/A,#N/A,FALSE,"Page 4";#N/A,#N/A,FALSE,"Carry"}</definedName>
    <definedName name="wrn.combined." hidden="1">{#N/A,#N/A,FALSE,"Page 2";#N/A,#N/A,FALSE,"Page 1A";#N/A,#N/A,FALSE,"Page 1B";#N/A,#N/A,FALSE,"ExecSum";#N/A,#N/A,FALSE,"Budget";#N/A,#N/A,FALSE,"Lease Summary";#N/A,#N/A,FALSE,"Summary1";#N/A,#N/A,FALSE,"CashFlow";#N/A,#N/A,FALSE,"Page 3";#N/A,#N/A,FALSE,"Page 4";#N/A,#N/A,FALSE,"Carry"}</definedName>
    <definedName name="wrn.DCR._.Output." localSheetId="3" hidden="1">{"DCR Output",#N/A,FALSE,"Output"}</definedName>
    <definedName name="wrn.DCR._.Output." localSheetId="6" hidden="1">{"DCR Output",#N/A,FALSE,"Output"}</definedName>
    <definedName name="wrn.DCR._.Output." localSheetId="5" hidden="1">{"DCR Output",#N/A,FALSE,"Output"}</definedName>
    <definedName name="wrn.DCR._.Output." localSheetId="2" hidden="1">{"DCR Output",#N/A,FALSE,"Output"}</definedName>
    <definedName name="wrn.DCR._.Output." localSheetId="4" hidden="1">{"DCR Output",#N/A,FALSE,"Output"}</definedName>
    <definedName name="wrn.DCR._.Output." hidden="1">{"DCR Output",#N/A,FALSE,"Output"}</definedName>
    <definedName name="wrn.Demand._.Calcs." localSheetId="3" hidden="1">{#N/A,#N/A,FALSE,"Demand Calcs"}</definedName>
    <definedName name="wrn.Demand._.Calcs." localSheetId="6" hidden="1">{#N/A,#N/A,FALSE,"Demand Calcs"}</definedName>
    <definedName name="wrn.Demand._.Calcs." localSheetId="5" hidden="1">{#N/A,#N/A,FALSE,"Demand Calcs"}</definedName>
    <definedName name="wrn.Demand._.Calcs." localSheetId="2" hidden="1">{#N/A,#N/A,FALSE,"Demand Calcs"}</definedName>
    <definedName name="wrn.Demand._.Calcs." localSheetId="4" hidden="1">{#N/A,#N/A,FALSE,"Demand Calcs"}</definedName>
    <definedName name="wrn.Demand._.Calcs." hidden="1">{#N/A,#N/A,FALSE,"Demand Calcs"}</definedName>
    <definedName name="wrn.Demand._.Inputs." localSheetId="3" hidden="1">{#N/A,#N/A,FALSE,"Demand Inputs"}</definedName>
    <definedName name="wrn.Demand._.Inputs." localSheetId="6" hidden="1">{#N/A,#N/A,FALSE,"Demand Inputs"}</definedName>
    <definedName name="wrn.Demand._.Inputs." localSheetId="5" hidden="1">{#N/A,#N/A,FALSE,"Demand Inputs"}</definedName>
    <definedName name="wrn.Demand._.Inputs." localSheetId="2" hidden="1">{#N/A,#N/A,FALSE,"Demand Inputs"}</definedName>
    <definedName name="wrn.Demand._.Inputs." localSheetId="4" hidden="1">{#N/A,#N/A,FALSE,"Demand Inputs"}</definedName>
    <definedName name="wrn.Demand._.Inputs." hidden="1">{#N/A,#N/A,FALSE,"Demand Inputs"}</definedName>
    <definedName name="wrn.DETAIL._.SCHEDULES." localSheetId="3" hidden="1">{"ACCOUNT DETAIL",#N/A,FALSE,"SCHEDULE E";"ACCOUNT DETAIL",#N/A,FALSE,"SCHEDULE G";"ACCOUNT DETAIL",#N/A,FALSE,"SCHEDULE H";"ACCOUNT DETAIL",#N/A,FALSE,"SCHEDULE I"}</definedName>
    <definedName name="wrn.DETAIL._.SCHEDULES." localSheetId="6" hidden="1">{"ACCOUNT DETAIL",#N/A,FALSE,"SCHEDULE E";"ACCOUNT DETAIL",#N/A,FALSE,"SCHEDULE G";"ACCOUNT DETAIL",#N/A,FALSE,"SCHEDULE H";"ACCOUNT DETAIL",#N/A,FALSE,"SCHEDULE I"}</definedName>
    <definedName name="wrn.DETAIL._.SCHEDULES." localSheetId="5" hidden="1">{"ACCOUNT DETAIL",#N/A,FALSE,"SCHEDULE E";"ACCOUNT DETAIL",#N/A,FALSE,"SCHEDULE G";"ACCOUNT DETAIL",#N/A,FALSE,"SCHEDULE H";"ACCOUNT DETAIL",#N/A,FALSE,"SCHEDULE I"}</definedName>
    <definedName name="wrn.DETAIL._.SCHEDULES." localSheetId="2" hidden="1">{"ACCOUNT DETAIL",#N/A,FALSE,"SCHEDULE E";"ACCOUNT DETAIL",#N/A,FALSE,"SCHEDULE G";"ACCOUNT DETAIL",#N/A,FALSE,"SCHEDULE H";"ACCOUNT DETAIL",#N/A,FALSE,"SCHEDULE I"}</definedName>
    <definedName name="wrn.DETAIL._.SCHEDULES." localSheetId="4" hidden="1">{"ACCOUNT DETAIL",#N/A,FALSE,"SCHEDULE E";"ACCOUNT DETAIL",#N/A,FALSE,"SCHEDULE G";"ACCOUNT DETAIL",#N/A,FALSE,"SCHEDULE H";"ACCOUNT DETAIL",#N/A,FALSE,"SCHEDULE I"}</definedName>
    <definedName name="wrn.DETAIL._.SCHEDULES." hidden="1">{"ACCOUNT DETAIL",#N/A,FALSE,"SCHEDULE E";"ACCOUNT DETAIL",#N/A,FALSE,"SCHEDULE G";"ACCOUNT DETAIL",#N/A,FALSE,"SCHEDULE H";"ACCOUNT DETAIL",#N/A,FALSE,"SCHEDULE I"}</definedName>
    <definedName name="wrn.dtl.schedules" localSheetId="3" hidden="1">{"ACCOUNT DETAIL",#N/A,FALSE,"SCHEDULE E";"ACCOUNT DETAIL",#N/A,FALSE,"SCHEDULE G";"ACCOUNT DETAIL",#N/A,FALSE,"SCHEDULE H";"ACCOUNT DETAIL",#N/A,FALSE,"SCHEDULE I"}</definedName>
    <definedName name="wrn.dtl.schedules" localSheetId="6" hidden="1">{"ACCOUNT DETAIL",#N/A,FALSE,"SCHEDULE E";"ACCOUNT DETAIL",#N/A,FALSE,"SCHEDULE G";"ACCOUNT DETAIL",#N/A,FALSE,"SCHEDULE H";"ACCOUNT DETAIL",#N/A,FALSE,"SCHEDULE I"}</definedName>
    <definedName name="wrn.dtl.schedules" localSheetId="5" hidden="1">{"ACCOUNT DETAIL",#N/A,FALSE,"SCHEDULE E";"ACCOUNT DETAIL",#N/A,FALSE,"SCHEDULE G";"ACCOUNT DETAIL",#N/A,FALSE,"SCHEDULE H";"ACCOUNT DETAIL",#N/A,FALSE,"SCHEDULE I"}</definedName>
    <definedName name="wrn.dtl.schedules" localSheetId="2" hidden="1">{"ACCOUNT DETAIL",#N/A,FALSE,"SCHEDULE E";"ACCOUNT DETAIL",#N/A,FALSE,"SCHEDULE G";"ACCOUNT DETAIL",#N/A,FALSE,"SCHEDULE H";"ACCOUNT DETAIL",#N/A,FALSE,"SCHEDULE I"}</definedName>
    <definedName name="wrn.dtl.schedules" localSheetId="4" hidden="1">{"ACCOUNT DETAIL",#N/A,FALSE,"SCHEDULE E";"ACCOUNT DETAIL",#N/A,FALSE,"SCHEDULE G";"ACCOUNT DETAIL",#N/A,FALSE,"SCHEDULE H";"ACCOUNT DETAIL",#N/A,FALSE,"SCHEDULE I"}</definedName>
    <definedName name="wrn.dtl.schedules" hidden="1">{"ACCOUNT DETAIL",#N/A,FALSE,"SCHEDULE E";"ACCOUNT DETAIL",#N/A,FALSE,"SCHEDULE G";"ACCOUNT DETAIL",#N/A,FALSE,"SCHEDULE H";"ACCOUNT DETAIL",#N/A,FALSE,"SCHEDULE I"}</definedName>
    <definedName name="wrn.ExhibitD1." localSheetId="3" hidden="1">{"ExhibitD1",#N/A,FALSE,"ExhibitD1"}</definedName>
    <definedName name="wrn.ExhibitD1." localSheetId="6" hidden="1">{"ExhibitD1",#N/A,FALSE,"ExhibitD1"}</definedName>
    <definedName name="wrn.ExhibitD1." localSheetId="5" hidden="1">{"ExhibitD1",#N/A,FALSE,"ExhibitD1"}</definedName>
    <definedName name="wrn.ExhibitD1." localSheetId="2" hidden="1">{"ExhibitD1",#N/A,FALSE,"ExhibitD1"}</definedName>
    <definedName name="wrn.ExhibitD1." localSheetId="4" hidden="1">{"ExhibitD1",#N/A,FALSE,"ExhibitD1"}</definedName>
    <definedName name="wrn.ExhibitD1." hidden="1">{"ExhibitD1",#N/A,FALSE,"ExhibitD1"}</definedName>
    <definedName name="wrn.ExhibitD2." localSheetId="3" hidden="1">{"ExhibitD2",#N/A,FALSE,"ExhibitD2"}</definedName>
    <definedName name="wrn.ExhibitD2." localSheetId="6" hidden="1">{"ExhibitD2",#N/A,FALSE,"ExhibitD2"}</definedName>
    <definedName name="wrn.ExhibitD2." localSheetId="5" hidden="1">{"ExhibitD2",#N/A,FALSE,"ExhibitD2"}</definedName>
    <definedName name="wrn.ExhibitD2." localSheetId="2" hidden="1">{"ExhibitD2",#N/A,FALSE,"ExhibitD2"}</definedName>
    <definedName name="wrn.ExhibitD2." localSheetId="4" hidden="1">{"ExhibitD2",#N/A,FALSE,"ExhibitD2"}</definedName>
    <definedName name="wrn.ExhibitD2." hidden="1">{"ExhibitD2",#N/A,FALSE,"ExhibitD2"}</definedName>
    <definedName name="wrn.Fair._.Share._.Calcs." localSheetId="3" hidden="1">{#N/A,#N/A,FALSE,"Fair Share"}</definedName>
    <definedName name="wrn.Fair._.Share._.Calcs." localSheetId="6" hidden="1">{#N/A,#N/A,FALSE,"Fair Share"}</definedName>
    <definedName name="wrn.Fair._.Share._.Calcs." localSheetId="5" hidden="1">{#N/A,#N/A,FALSE,"Fair Share"}</definedName>
    <definedName name="wrn.Fair._.Share._.Calcs." localSheetId="2" hidden="1">{#N/A,#N/A,FALSE,"Fair Share"}</definedName>
    <definedName name="wrn.Fair._.Share._.Calcs." localSheetId="4" hidden="1">{#N/A,#N/A,FALSE,"Fair Share"}</definedName>
    <definedName name="wrn.Fair._.Share._.Calcs." hidden="1">{#N/A,#N/A,FALSE,"Fair Share"}</definedName>
    <definedName name="wrn.Final._.Output." localSheetId="3" hidden="1">{#N/A,#N/A,FALSE,"Final Output"}</definedName>
    <definedName name="wrn.Final._.Output." localSheetId="6" hidden="1">{#N/A,#N/A,FALSE,"Final Output"}</definedName>
    <definedName name="wrn.Final._.Output." localSheetId="5" hidden="1">{#N/A,#N/A,FALSE,"Final Output"}</definedName>
    <definedName name="wrn.Final._.Output." localSheetId="2" hidden="1">{#N/A,#N/A,FALSE,"Final Output"}</definedName>
    <definedName name="wrn.Final._.Output." localSheetId="4" hidden="1">{#N/A,#N/A,FALSE,"Final Output"}</definedName>
    <definedName name="wrn.Final._.Output." hidden="1">{#N/A,#N/A,FALSE,"Final Output"}</definedName>
    <definedName name="wrn.Financials1." localSheetId="3" hidden="1">{"Inc_5Yr",#N/A,FALSE,"Inc";"Bal_5Yr",#N/A,FALSE,"Inc";"SCF_5Yr",#N/A,FALSE,"Inc";"Inc_Yr1",#N/A,FALSE,"Inc";"Bal_Yr1",#N/A,FALSE,"Inc";"SCF_Yr1",#N/A,FALSE,"Inc";"Inc_Yr2",#N/A,FALSE,"Inc";"Bal_Yr2",#N/A,FALSE,"Inc";"SCF_Yr2",#N/A,FALSE,"Inc";"Inc_Yr3",#N/A,FALSE,"Inc";"Bal_Yr3",#N/A,FALSE,"Inc";"SCF_Yr3",#N/A,FALSE,"Inc";"Inc_Yr4",#N/A,FALSE,"Inc";"Bal_Yr4",#N/A,FALSE,"Inc";"SCF_Yr4",#N/A,FALSE,"Inc";"Inc_Yr5",#N/A,FALSE,"Inc";"Bal_Yr5",#N/A,FALSE,"Inc";"SCF_Yr5",#N/A,FALSE,"Inc"}</definedName>
    <definedName name="wrn.Financials1." localSheetId="6" hidden="1">{"Inc_5Yr",#N/A,FALSE,"Inc";"Bal_5Yr",#N/A,FALSE,"Inc";"SCF_5Yr",#N/A,FALSE,"Inc";"Inc_Yr1",#N/A,FALSE,"Inc";"Bal_Yr1",#N/A,FALSE,"Inc";"SCF_Yr1",#N/A,FALSE,"Inc";"Inc_Yr2",#N/A,FALSE,"Inc";"Bal_Yr2",#N/A,FALSE,"Inc";"SCF_Yr2",#N/A,FALSE,"Inc";"Inc_Yr3",#N/A,FALSE,"Inc";"Bal_Yr3",#N/A,FALSE,"Inc";"SCF_Yr3",#N/A,FALSE,"Inc";"Inc_Yr4",#N/A,FALSE,"Inc";"Bal_Yr4",#N/A,FALSE,"Inc";"SCF_Yr4",#N/A,FALSE,"Inc";"Inc_Yr5",#N/A,FALSE,"Inc";"Bal_Yr5",#N/A,FALSE,"Inc";"SCF_Yr5",#N/A,FALSE,"Inc"}</definedName>
    <definedName name="wrn.Financials1." localSheetId="5" hidden="1">{"Inc_5Yr",#N/A,FALSE,"Inc";"Bal_5Yr",#N/A,FALSE,"Inc";"SCF_5Yr",#N/A,FALSE,"Inc";"Inc_Yr1",#N/A,FALSE,"Inc";"Bal_Yr1",#N/A,FALSE,"Inc";"SCF_Yr1",#N/A,FALSE,"Inc";"Inc_Yr2",#N/A,FALSE,"Inc";"Bal_Yr2",#N/A,FALSE,"Inc";"SCF_Yr2",#N/A,FALSE,"Inc";"Inc_Yr3",#N/A,FALSE,"Inc";"Bal_Yr3",#N/A,FALSE,"Inc";"SCF_Yr3",#N/A,FALSE,"Inc";"Inc_Yr4",#N/A,FALSE,"Inc";"Bal_Yr4",#N/A,FALSE,"Inc";"SCF_Yr4",#N/A,FALSE,"Inc";"Inc_Yr5",#N/A,FALSE,"Inc";"Bal_Yr5",#N/A,FALSE,"Inc";"SCF_Yr5",#N/A,FALSE,"Inc"}</definedName>
    <definedName name="wrn.Financials1." localSheetId="2" hidden="1">{"Inc_5Yr",#N/A,FALSE,"Inc";"Bal_5Yr",#N/A,FALSE,"Inc";"SCF_5Yr",#N/A,FALSE,"Inc";"Inc_Yr1",#N/A,FALSE,"Inc";"Bal_Yr1",#N/A,FALSE,"Inc";"SCF_Yr1",#N/A,FALSE,"Inc";"Inc_Yr2",#N/A,FALSE,"Inc";"Bal_Yr2",#N/A,FALSE,"Inc";"SCF_Yr2",#N/A,FALSE,"Inc";"Inc_Yr3",#N/A,FALSE,"Inc";"Bal_Yr3",#N/A,FALSE,"Inc";"SCF_Yr3",#N/A,FALSE,"Inc";"Inc_Yr4",#N/A,FALSE,"Inc";"Bal_Yr4",#N/A,FALSE,"Inc";"SCF_Yr4",#N/A,FALSE,"Inc";"Inc_Yr5",#N/A,FALSE,"Inc";"Bal_Yr5",#N/A,FALSE,"Inc";"SCF_Yr5",#N/A,FALSE,"Inc"}</definedName>
    <definedName name="wrn.Financials1." localSheetId="4" hidden="1">{"Inc_5Yr",#N/A,FALSE,"Inc";"Bal_5Yr",#N/A,FALSE,"Inc";"SCF_5Yr",#N/A,FALSE,"Inc";"Inc_Yr1",#N/A,FALSE,"Inc";"Bal_Yr1",#N/A,FALSE,"Inc";"SCF_Yr1",#N/A,FALSE,"Inc";"Inc_Yr2",#N/A,FALSE,"Inc";"Bal_Yr2",#N/A,FALSE,"Inc";"SCF_Yr2",#N/A,FALSE,"Inc";"Inc_Yr3",#N/A,FALSE,"Inc";"Bal_Yr3",#N/A,FALSE,"Inc";"SCF_Yr3",#N/A,FALSE,"Inc";"Inc_Yr4",#N/A,FALSE,"Inc";"Bal_Yr4",#N/A,FALSE,"Inc";"SCF_Yr4",#N/A,FALSE,"Inc";"Inc_Yr5",#N/A,FALSE,"Inc";"Bal_Yr5",#N/A,FALSE,"Inc";"SCF_Yr5",#N/A,FALSE,"Inc"}</definedName>
    <definedName name="wrn.Financials1." hidden="1">{"Inc_5Yr",#N/A,FALSE,"Inc";"Bal_5Yr",#N/A,FALSE,"Inc";"SCF_5Yr",#N/A,FALSE,"Inc";"Inc_Yr1",#N/A,FALSE,"Inc";"Bal_Yr1",#N/A,FALSE,"Inc";"SCF_Yr1",#N/A,FALSE,"Inc";"Inc_Yr2",#N/A,FALSE,"Inc";"Bal_Yr2",#N/A,FALSE,"Inc";"SCF_Yr2",#N/A,FALSE,"Inc";"Inc_Yr3",#N/A,FALSE,"Inc";"Bal_Yr3",#N/A,FALSE,"Inc";"SCF_Yr3",#N/A,FALSE,"Inc";"Inc_Yr4",#N/A,FALSE,"Inc";"Bal_Yr4",#N/A,FALSE,"Inc";"SCF_Yr4",#N/A,FALSE,"Inc";"Inc_Yr5",#N/A,FALSE,"Inc";"Bal_Yr5",#N/A,FALSE,"Inc";"SCF_Yr5",#N/A,FALSE,"Inc"}</definedName>
    <definedName name="wrn.FULL._.COMPARISON." localSheetId="3" hidden="1">{"Full Sheet",#N/A,FALSE,"Expense Comparison"}</definedName>
    <definedName name="wrn.FULL._.COMPARISON." localSheetId="6" hidden="1">{"Full Sheet",#N/A,FALSE,"Expense Comparison"}</definedName>
    <definedName name="wrn.FULL._.COMPARISON." localSheetId="5" hidden="1">{"Full Sheet",#N/A,FALSE,"Expense Comparison"}</definedName>
    <definedName name="wrn.FULL._.COMPARISON." localSheetId="2" hidden="1">{"Full Sheet",#N/A,FALSE,"Expense Comparison"}</definedName>
    <definedName name="wrn.FULL._.COMPARISON." localSheetId="4" hidden="1">{"Full Sheet",#N/A,FALSE,"Expense Comparison"}</definedName>
    <definedName name="wrn.FULL._.COMPARISON." hidden="1">{"Full Sheet",#N/A,FALSE,"Expense Comparison"}</definedName>
    <definedName name="wrn.Full._.Report" localSheetId="3"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localSheetId="6"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localSheetId="5"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localSheetId="2"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localSheetId="4"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localSheetId="3"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localSheetId="6"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localSheetId="5"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localSheetId="2"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localSheetId="4"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Full._.Report." hidden="1">{#N/A,#N/A,FALSE,"Summary";#N/A,#N/A,FALSE,"Project Summary";#N/A,#N/A,FALSE,"Master Developer Cash Flow";#N/A,#N/A,FALSE,"Development Cost Allocation";#N/A,#N/A,FALSE,"Costs";#N/A,#N/A,FALSE,"Pad Fees";#N/A,#N/A,FALSE,"Parking Budget";#N/A,#N/A,FALSE,"Podium Monthly Development #1";#N/A,#N/A,FALSE,"Podium Monthly Development #2";#N/A,#N/A,FALSE,"Podium Quarterly Development Bu";#N/A,#N/A,FALSE,"Parking Cash Flow";#N/A,#N/A,FALSE,"Parking Assumptions";#N/A,#N/A,FALSE,"Bond Debt Service";#N/A,#N/A,FALSE,"Bond Shortfall";#N/A,#N/A,FALSE,"Retail Development Budget";#N/A,#N/A,FALSE,"Retail Monthly Development Budg";#N/A,#N/A,FALSE,"Retail Quarterly Development Bu";#N/A,#N/A,FALSE,"Retail Cash Flow";#N/A,#N/A,FALSE,"Retail Cash Flow";#N/A,#N/A,FALSE,"Retail Assumptions";#N/A,#N/A,FALSE,"Retail Debt Service";#N/A,#N/A,FALSE,"Office Development Budget";#N/A,#N/A,FALSE,"Office Monthly Development Budg";#N/A,#N/A,FALSE,"Office Quarterly Development Bu";#N/A,#N/A,FALSE,"Office Cash Flow";#N/A,#N/A,FALSE,"Office Assumptions";#N/A,#N/A,FALSE,"Office Debt Service";#N/A,#N/A,FALSE,"Hotel Development Budget";#N/A,#N/A,FALSE,"Hotel Monthly Development Budge";#N/A,#N/A,FALSE,"Hotel Quarterly Development Bud";#N/A,#N/A,FALSE,"Hotel Cash Flow";#N/A,#N/A,FALSE,"Hotel Assumptions";#N/A,#N/A,FALSE,"Hotel Debt Service";#N/A,#N/A,FALSE,"Demographics-Hotel";#N/A,#N/A,FALSE,"Land Lease NPV"}</definedName>
    <definedName name="wrn.Inputs." localSheetId="3" hidden="1">{"Inflation-BaseYear",#N/A,FALSE,"Inputs"}</definedName>
    <definedName name="wrn.Inputs." localSheetId="6" hidden="1">{"Inflation-BaseYear",#N/A,FALSE,"Inputs"}</definedName>
    <definedName name="wrn.Inputs." localSheetId="5" hidden="1">{"Inflation-BaseYear",#N/A,FALSE,"Inputs"}</definedName>
    <definedName name="wrn.Inputs." localSheetId="2" hidden="1">{"Inflation-BaseYear",#N/A,FALSE,"Inputs"}</definedName>
    <definedName name="wrn.Inputs." localSheetId="4" hidden="1">{"Inflation-BaseYear",#N/A,FALSE,"Inputs"}</definedName>
    <definedName name="wrn.Inputs." hidden="1">{"Inflation-BaseYear",#N/A,FALSE,"Inputs"}</definedName>
    <definedName name="wrn.Las._.Palomas._.Hotel." localSheetId="3" hidden="1">{"Utilization",#N/A,FALSE,"Utilization";"Sources",#N/A,FALSE,"Sources"}</definedName>
    <definedName name="wrn.Las._.Palomas._.Hotel." localSheetId="6" hidden="1">{"Utilization",#N/A,FALSE,"Utilization";"Sources",#N/A,FALSE,"Sources"}</definedName>
    <definedName name="wrn.Las._.Palomas._.Hotel." localSheetId="5" hidden="1">{"Utilization",#N/A,FALSE,"Utilization";"Sources",#N/A,FALSE,"Sources"}</definedName>
    <definedName name="wrn.Las._.Palomas._.Hotel." localSheetId="2" hidden="1">{"Utilization",#N/A,FALSE,"Utilization";"Sources",#N/A,FALSE,"Sources"}</definedName>
    <definedName name="wrn.Las._.Palomas._.Hotel." localSheetId="4" hidden="1">{"Utilization",#N/A,FALSE,"Utilization";"Sources",#N/A,FALSE,"Sources"}</definedName>
    <definedName name="wrn.Las._.Palomas._.Hotel." hidden="1">{"Utilization",#N/A,FALSE,"Utilization";"Sources",#N/A,FALSE,"Sources"}</definedName>
    <definedName name="wrn.Latent._.Demand._.Inputs." localSheetId="3" hidden="1">{#N/A,#N/A,FALSE,"Latent"}</definedName>
    <definedName name="wrn.Latent._.Demand._.Inputs." localSheetId="6" hidden="1">{#N/A,#N/A,FALSE,"Latent"}</definedName>
    <definedName name="wrn.Latent._.Demand._.Inputs." localSheetId="5" hidden="1">{#N/A,#N/A,FALSE,"Latent"}</definedName>
    <definedName name="wrn.Latent._.Demand._.Inputs." localSheetId="2" hidden="1">{#N/A,#N/A,FALSE,"Latent"}</definedName>
    <definedName name="wrn.Latent._.Demand._.Inputs." localSheetId="4" hidden="1">{#N/A,#N/A,FALSE,"Latent"}</definedName>
    <definedName name="wrn.Latent._.Demand._.Inputs." hidden="1">{#N/A,#N/A,FALSE,"Latent"}</definedName>
    <definedName name="wrn.LETTERED." localSheetId="3"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ETTERED." localSheetId="6"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ETTERED." localSheetId="5"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ETTERED." localSheetId="2"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ETTERED." localSheetId="4"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ETTERED."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nsum" localSheetId="3" hidden="1">{"Loan Summary",#N/A,FALSE,"Phase 1 loan &amp; data"}</definedName>
    <definedName name="wrn.lnsum" localSheetId="6" hidden="1">{"Loan Summary",#N/A,FALSE,"Phase 1 loan &amp; data"}</definedName>
    <definedName name="wrn.lnsum" localSheetId="5" hidden="1">{"Loan Summary",#N/A,FALSE,"Phase 1 loan &amp; data"}</definedName>
    <definedName name="wrn.lnsum" localSheetId="2" hidden="1">{"Loan Summary",#N/A,FALSE,"Phase 1 loan &amp; data"}</definedName>
    <definedName name="wrn.lnsum" localSheetId="4" hidden="1">{"Loan Summary",#N/A,FALSE,"Phase 1 loan &amp; data"}</definedName>
    <definedName name="wrn.lnsum" hidden="1">{"Loan Summary",#N/A,FALSE,"Phase 1 loan &amp; data"}</definedName>
    <definedName name="wrn.Loan._.Summary." localSheetId="3" hidden="1">{"Loan Summary",#N/A,FALSE,"Phase 1 loan &amp; data"}</definedName>
    <definedName name="wrn.Loan._.Summary." localSheetId="6" hidden="1">{"Loan Summary",#N/A,FALSE,"Phase 1 loan &amp; data"}</definedName>
    <definedName name="wrn.Loan._.Summary." localSheetId="5" hidden="1">{"Loan Summary",#N/A,FALSE,"Phase 1 loan &amp; data"}</definedName>
    <definedName name="wrn.Loan._.Summary." localSheetId="2" hidden="1">{"Loan Summary",#N/A,FALSE,"Phase 1 loan &amp; data"}</definedName>
    <definedName name="wrn.Loan._.Summary." localSheetId="4" hidden="1">{"Loan Summary",#N/A,FALSE,"Phase 1 loan &amp; data"}</definedName>
    <definedName name="wrn.Loan._.Summary." hidden="1">{"Loan Summary",#N/A,FALSE,"Phase 1 loan &amp; data"}</definedName>
    <definedName name="wrn.Lower._.Tier._.Model." localSheetId="3" hidden="1">{#N/A,#N/A,FALSE,"Summary";#N/A,#N/A,FALSE,"Sources and Uses";"TCA",#N/A,FALSE,"Proforma Operations";"Stabilized Operations",#N/A,FALSE,"Proforma Operations";"15 Year Proforma",#N/A,FALSE,"Proforma Operations";#N/A,#N/A,FALSE,"Qualified Basis";#N/A,#N/A,FALSE,"Lease-Up";#N/A,#N/A,FALSE,"Tax Credit Analysis";#N/A,#N/A,FALSE,"Buyer's IRR";#N/A,#N/A,FALSE,"EP&amp;TCS"}</definedName>
    <definedName name="wrn.Lower._.Tier._.Model." localSheetId="6" hidden="1">{#N/A,#N/A,FALSE,"Summary";#N/A,#N/A,FALSE,"Sources and Uses";"TCA",#N/A,FALSE,"Proforma Operations";"Stabilized Operations",#N/A,FALSE,"Proforma Operations";"15 Year Proforma",#N/A,FALSE,"Proforma Operations";#N/A,#N/A,FALSE,"Qualified Basis";#N/A,#N/A,FALSE,"Lease-Up";#N/A,#N/A,FALSE,"Tax Credit Analysis";#N/A,#N/A,FALSE,"Buyer's IRR";#N/A,#N/A,FALSE,"EP&amp;TCS"}</definedName>
    <definedName name="wrn.Lower._.Tier._.Model." localSheetId="5" hidden="1">{#N/A,#N/A,FALSE,"Summary";#N/A,#N/A,FALSE,"Sources and Uses";"TCA",#N/A,FALSE,"Proforma Operations";"Stabilized Operations",#N/A,FALSE,"Proforma Operations";"15 Year Proforma",#N/A,FALSE,"Proforma Operations";#N/A,#N/A,FALSE,"Qualified Basis";#N/A,#N/A,FALSE,"Lease-Up";#N/A,#N/A,FALSE,"Tax Credit Analysis";#N/A,#N/A,FALSE,"Buyer's IRR";#N/A,#N/A,FALSE,"EP&amp;TCS"}</definedName>
    <definedName name="wrn.Lower._.Tier._.Model." localSheetId="2" hidden="1">{#N/A,#N/A,FALSE,"Summary";#N/A,#N/A,FALSE,"Sources and Uses";"TCA",#N/A,FALSE,"Proforma Operations";"Stabilized Operations",#N/A,FALSE,"Proforma Operations";"15 Year Proforma",#N/A,FALSE,"Proforma Operations";#N/A,#N/A,FALSE,"Qualified Basis";#N/A,#N/A,FALSE,"Lease-Up";#N/A,#N/A,FALSE,"Tax Credit Analysis";#N/A,#N/A,FALSE,"Buyer's IRR";#N/A,#N/A,FALSE,"EP&amp;TCS"}</definedName>
    <definedName name="wrn.Lower._.Tier._.Model." localSheetId="4" hidden="1">{#N/A,#N/A,FALSE,"Summary";#N/A,#N/A,FALSE,"Sources and Uses";"TCA",#N/A,FALSE,"Proforma Operations";"Stabilized Operations",#N/A,FALSE,"Proforma Operations";"15 Year Proforma",#N/A,FALSE,"Proforma Operations";#N/A,#N/A,FALSE,"Qualified Basis";#N/A,#N/A,FALSE,"Lease-Up";#N/A,#N/A,FALSE,"Tax Credit Analysis";#N/A,#N/A,FALSE,"Buyer's IRR";#N/A,#N/A,FALSE,"EP&amp;TCS"}</definedName>
    <definedName name="wrn.Lower._.Tier._.Model." hidden="1">{#N/A,#N/A,FALSE,"Summary";#N/A,#N/A,FALSE,"Sources and Uses";"TCA",#N/A,FALSE,"Proforma Operations";"Stabilized Operations",#N/A,FALSE,"Proforma Operations";"15 Year Proforma",#N/A,FALSE,"Proforma Operations";#N/A,#N/A,FALSE,"Qualified Basis";#N/A,#N/A,FALSE,"Lease-Up";#N/A,#N/A,FALSE,"Tax Credit Analysis";#N/A,#N/A,FALSE,"Buyer's IRR";#N/A,#N/A,FALSE,"EP&amp;TCS"}</definedName>
    <definedName name="wrn.ltrd." localSheetId="3"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trd." localSheetId="6"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trd." localSheetId="5"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trd." localSheetId="2"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trd." localSheetId="4"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trd." hidden="1">{"HEITMAN COPY",#N/A,FALSE,"SCHEDULE A";"MINIMUM RENT",#N/A,FALSE,"SCHEDULES B &amp; C";"PERCENTAGE RENT",#N/A,FALSE,"SCHEDULES B &amp; C";#N/A,#N/A,FALSE,"SCHEDULE D";"SUMMARY SCHEDULE",#N/A,FALSE,"SCHEDULE E";#N/A,#N/A,FALSE,"SCHEDULE F";"SUMMARY SCHEDULE",#N/A,FALSE,"SCHEDULE H";"SUMMARY SCHEDULE",#N/A,FALSE,"SCHEDULE I";#N/A,#N/A,FALSE,"SCHEDULE J"}</definedName>
    <definedName name="wrn.LTV._.Output." localSheetId="3" hidden="1">{"LTV Output",#N/A,FALSE,"Output"}</definedName>
    <definedName name="wrn.LTV._.Output." localSheetId="6" hidden="1">{"LTV Output",#N/A,FALSE,"Output"}</definedName>
    <definedName name="wrn.LTV._.Output." localSheetId="5" hidden="1">{"LTV Output",#N/A,FALSE,"Output"}</definedName>
    <definedName name="wrn.LTV._.Output." localSheetId="2" hidden="1">{"LTV Output",#N/A,FALSE,"Output"}</definedName>
    <definedName name="wrn.LTV._.Output." localSheetId="4" hidden="1">{"LTV Output",#N/A,FALSE,"Output"}</definedName>
    <definedName name="wrn.LTV._.Output." hidden="1">{"LTV Output",#N/A,FALSE,"Output"}</definedName>
    <definedName name="wrn.MARKETING." localSheetId="3" hidden="1">{#N/A,#N/A,FALSE,"MARKETING I";#N/A,#N/A,FALSE,"MARKETING II";#N/A,#N/A,FALSE,"MARKETING III"}</definedName>
    <definedName name="wrn.MARKETING." localSheetId="6" hidden="1">{#N/A,#N/A,FALSE,"MARKETING I";#N/A,#N/A,FALSE,"MARKETING II";#N/A,#N/A,FALSE,"MARKETING III"}</definedName>
    <definedName name="wrn.MARKETING." localSheetId="5" hidden="1">{#N/A,#N/A,FALSE,"MARKETING I";#N/A,#N/A,FALSE,"MARKETING II";#N/A,#N/A,FALSE,"MARKETING III"}</definedName>
    <definedName name="wrn.MARKETING." localSheetId="2" hidden="1">{#N/A,#N/A,FALSE,"MARKETING I";#N/A,#N/A,FALSE,"MARKETING II";#N/A,#N/A,FALSE,"MARKETING III"}</definedName>
    <definedName name="wrn.MARKETING." localSheetId="4" hidden="1">{#N/A,#N/A,FALSE,"MARKETING I";#N/A,#N/A,FALSE,"MARKETING II";#N/A,#N/A,FALSE,"MARKETING III"}</definedName>
    <definedName name="wrn.MARKETING." hidden="1">{#N/A,#N/A,FALSE,"MARKETING I";#N/A,#N/A,FALSE,"MARKETING II";#N/A,#N/A,FALSE,"MARKETING III"}</definedName>
    <definedName name="wrn.MINRENT." localSheetId="3" hidden="1">{"MINRENT2",#N/A,FALSE,"SCHEDULE B"}</definedName>
    <definedName name="wrn.MINRENT." localSheetId="6" hidden="1">{"MINRENT2",#N/A,FALSE,"SCHEDULE B"}</definedName>
    <definedName name="wrn.MINRENT." localSheetId="5" hidden="1">{"MINRENT2",#N/A,FALSE,"SCHEDULE B"}</definedName>
    <definedName name="wrn.MINRENT." localSheetId="2" hidden="1">{"MINRENT2",#N/A,FALSE,"SCHEDULE B"}</definedName>
    <definedName name="wrn.MINRENT." localSheetId="4" hidden="1">{"MINRENT2",#N/A,FALSE,"SCHEDULE B"}</definedName>
    <definedName name="wrn.MINRENT." hidden="1">{"MINRENT2",#N/A,FALSE,"SCHEDULE B"}</definedName>
    <definedName name="wrn.minrent.2" localSheetId="3" hidden="1">{"MINRENT2",#N/A,FALSE,"SCHEDULE B"}</definedName>
    <definedName name="wrn.minrent.2" localSheetId="6" hidden="1">{"MINRENT2",#N/A,FALSE,"SCHEDULE B"}</definedName>
    <definedName name="wrn.minrent.2" localSheetId="5" hidden="1">{"MINRENT2",#N/A,FALSE,"SCHEDULE B"}</definedName>
    <definedName name="wrn.minrent.2" localSheetId="2" hidden="1">{"MINRENT2",#N/A,FALSE,"SCHEDULE B"}</definedName>
    <definedName name="wrn.minrent.2" localSheetId="4" hidden="1">{"MINRENT2",#N/A,FALSE,"SCHEDULE B"}</definedName>
    <definedName name="wrn.minrent.2" hidden="1">{"MINRENT2",#N/A,FALSE,"SCHEDULE B"}</definedName>
    <definedName name="wrn.mkting" localSheetId="3" hidden="1">{#N/A,#N/A,FALSE,"MARKETING I";#N/A,#N/A,FALSE,"MARKETING II";#N/A,#N/A,FALSE,"MARKETING III"}</definedName>
    <definedName name="wrn.mkting" localSheetId="6" hidden="1">{#N/A,#N/A,FALSE,"MARKETING I";#N/A,#N/A,FALSE,"MARKETING II";#N/A,#N/A,FALSE,"MARKETING III"}</definedName>
    <definedName name="wrn.mkting" localSheetId="5" hidden="1">{#N/A,#N/A,FALSE,"MARKETING I";#N/A,#N/A,FALSE,"MARKETING II";#N/A,#N/A,FALSE,"MARKETING III"}</definedName>
    <definedName name="wrn.mkting" localSheetId="2" hidden="1">{#N/A,#N/A,FALSE,"MARKETING I";#N/A,#N/A,FALSE,"MARKETING II";#N/A,#N/A,FALSE,"MARKETING III"}</definedName>
    <definedName name="wrn.mkting" localSheetId="4" hidden="1">{#N/A,#N/A,FALSE,"MARKETING I";#N/A,#N/A,FALSE,"MARKETING II";#N/A,#N/A,FALSE,"MARKETING III"}</definedName>
    <definedName name="wrn.mkting" hidden="1">{#N/A,#N/A,FALSE,"MARKETING I";#N/A,#N/A,FALSE,"MARKETING II";#N/A,#N/A,FALSE,"MARKETING III"}</definedName>
    <definedName name="wrn.Occupancy._.Calcs." localSheetId="3" hidden="1">{#N/A,#N/A,FALSE,"Occ. Calcs"}</definedName>
    <definedName name="wrn.Occupancy._.Calcs." localSheetId="6" hidden="1">{#N/A,#N/A,FALSE,"Occ. Calcs"}</definedName>
    <definedName name="wrn.Occupancy._.Calcs." localSheetId="5" hidden="1">{#N/A,#N/A,FALSE,"Occ. Calcs"}</definedName>
    <definedName name="wrn.Occupancy._.Calcs." localSheetId="2" hidden="1">{#N/A,#N/A,FALSE,"Occ. Calcs"}</definedName>
    <definedName name="wrn.Occupancy._.Calcs." localSheetId="4" hidden="1">{#N/A,#N/A,FALSE,"Occ. Calcs"}</definedName>
    <definedName name="wrn.Occupancy._.Calcs." hidden="1">{#N/A,#N/A,FALSE,"Occ. Calcs"}</definedName>
    <definedName name="wrn.office." localSheetId="3" hidden="1">{#N/A,#N/A,FALSE,"Pad Fees";#N/A,#N/A,FALSE,"Parking Budget";#N/A,#N/A,FALSE,"Parking Cash Flow";#N/A,#N/A,FALSE,"Parking Assumptions Summary";#N/A,#N/A,FALSE,"Assumptions-M";#N/A,#N/A,FALSE,"Assumptions-T";#N/A,#N/A,FALSE,"Assumptions-W";#N/A,#N/A,FALSE,"Assumptions-R";#N/A,#N/A,FALSE,"Assumptions-F";#N/A,#N/A,FALSE,"Assumptions-Sa";#N/A,#N/A,FALSE,"Assumptions-Su";#N/A,#N/A,FALSE,"Bond Debt Service";#N/A,#N/A,FALSE,"Bond Shortfall"}</definedName>
    <definedName name="wrn.office." localSheetId="6" hidden="1">{#N/A,#N/A,FALSE,"Pad Fees";#N/A,#N/A,FALSE,"Parking Budget";#N/A,#N/A,FALSE,"Parking Cash Flow";#N/A,#N/A,FALSE,"Parking Assumptions Summary";#N/A,#N/A,FALSE,"Assumptions-M";#N/A,#N/A,FALSE,"Assumptions-T";#N/A,#N/A,FALSE,"Assumptions-W";#N/A,#N/A,FALSE,"Assumptions-R";#N/A,#N/A,FALSE,"Assumptions-F";#N/A,#N/A,FALSE,"Assumptions-Sa";#N/A,#N/A,FALSE,"Assumptions-Su";#N/A,#N/A,FALSE,"Bond Debt Service";#N/A,#N/A,FALSE,"Bond Shortfall"}</definedName>
    <definedName name="wrn.office." localSheetId="5" hidden="1">{#N/A,#N/A,FALSE,"Pad Fees";#N/A,#N/A,FALSE,"Parking Budget";#N/A,#N/A,FALSE,"Parking Cash Flow";#N/A,#N/A,FALSE,"Parking Assumptions Summary";#N/A,#N/A,FALSE,"Assumptions-M";#N/A,#N/A,FALSE,"Assumptions-T";#N/A,#N/A,FALSE,"Assumptions-W";#N/A,#N/A,FALSE,"Assumptions-R";#N/A,#N/A,FALSE,"Assumptions-F";#N/A,#N/A,FALSE,"Assumptions-Sa";#N/A,#N/A,FALSE,"Assumptions-Su";#N/A,#N/A,FALSE,"Bond Debt Service";#N/A,#N/A,FALSE,"Bond Shortfall"}</definedName>
    <definedName name="wrn.office." localSheetId="2" hidden="1">{#N/A,#N/A,FALSE,"Pad Fees";#N/A,#N/A,FALSE,"Parking Budget";#N/A,#N/A,FALSE,"Parking Cash Flow";#N/A,#N/A,FALSE,"Parking Assumptions Summary";#N/A,#N/A,FALSE,"Assumptions-M";#N/A,#N/A,FALSE,"Assumptions-T";#N/A,#N/A,FALSE,"Assumptions-W";#N/A,#N/A,FALSE,"Assumptions-R";#N/A,#N/A,FALSE,"Assumptions-F";#N/A,#N/A,FALSE,"Assumptions-Sa";#N/A,#N/A,FALSE,"Assumptions-Su";#N/A,#N/A,FALSE,"Bond Debt Service";#N/A,#N/A,FALSE,"Bond Shortfall"}</definedName>
    <definedName name="wrn.office." localSheetId="4" hidden="1">{#N/A,#N/A,FALSE,"Pad Fees";#N/A,#N/A,FALSE,"Parking Budget";#N/A,#N/A,FALSE,"Parking Cash Flow";#N/A,#N/A,FALSE,"Parking Assumptions Summary";#N/A,#N/A,FALSE,"Assumptions-M";#N/A,#N/A,FALSE,"Assumptions-T";#N/A,#N/A,FALSE,"Assumptions-W";#N/A,#N/A,FALSE,"Assumptions-R";#N/A,#N/A,FALSE,"Assumptions-F";#N/A,#N/A,FALSE,"Assumptions-Sa";#N/A,#N/A,FALSE,"Assumptions-Su";#N/A,#N/A,FALSE,"Bond Debt Service";#N/A,#N/A,FALSE,"Bond Shortfall"}</definedName>
    <definedName name="wrn.office." hidden="1">{#N/A,#N/A,FALSE,"Pad Fees";#N/A,#N/A,FALSE,"Parking Budget";#N/A,#N/A,FALSE,"Parking Cash Flow";#N/A,#N/A,FALSE,"Parking Assumptions Summary";#N/A,#N/A,FALSE,"Assumptions-M";#N/A,#N/A,FALSE,"Assumptions-T";#N/A,#N/A,FALSE,"Assumptions-W";#N/A,#N/A,FALSE,"Assumptions-R";#N/A,#N/A,FALSE,"Assumptions-F";#N/A,#N/A,FALSE,"Assumptions-Sa";#N/A,#N/A,FALSE,"Assumptions-Su";#N/A,#N/A,FALSE,"Bond Debt Service";#N/A,#N/A,FALSE,"Bond Shortfall"}</definedName>
    <definedName name="wrn.Output3Column." localSheetId="3" hidden="1">{"Output-3Column",#N/A,FALSE,"Output"}</definedName>
    <definedName name="wrn.Output3Column." localSheetId="6" hidden="1">{"Output-3Column",#N/A,FALSE,"Output"}</definedName>
    <definedName name="wrn.Output3Column." localSheetId="5" hidden="1">{"Output-3Column",#N/A,FALSE,"Output"}</definedName>
    <definedName name="wrn.Output3Column." localSheetId="2" hidden="1">{"Output-3Column",#N/A,FALSE,"Output"}</definedName>
    <definedName name="wrn.Output3Column." localSheetId="4" hidden="1">{"Output-3Column",#N/A,FALSE,"Output"}</definedName>
    <definedName name="wrn.Output3Column." hidden="1">{"Output-3Column",#N/A,FALSE,"Output"}</definedName>
    <definedName name="wrn.OutputAll." localSheetId="3" hidden="1">{"Output-All",#N/A,FALSE,"Output"}</definedName>
    <definedName name="wrn.OutputAll." localSheetId="6" hidden="1">{"Output-All",#N/A,FALSE,"Output"}</definedName>
    <definedName name="wrn.OutputAll." localSheetId="5" hidden="1">{"Output-All",#N/A,FALSE,"Output"}</definedName>
    <definedName name="wrn.OutputAll." localSheetId="2" hidden="1">{"Output-All",#N/A,FALSE,"Output"}</definedName>
    <definedName name="wrn.OutputAll." localSheetId="4" hidden="1">{"Output-All",#N/A,FALSE,"Output"}</definedName>
    <definedName name="wrn.OutputAll." hidden="1">{"Output-All",#N/A,FALSE,"Output"}</definedName>
    <definedName name="wrn.OutputBaseYear." localSheetId="3" hidden="1">{"Output-BaseYear",#N/A,FALSE,"Output"}</definedName>
    <definedName name="wrn.OutputBaseYear." localSheetId="6" hidden="1">{"Output-BaseYear",#N/A,FALSE,"Output"}</definedName>
    <definedName name="wrn.OutputBaseYear." localSheetId="5" hidden="1">{"Output-BaseYear",#N/A,FALSE,"Output"}</definedName>
    <definedName name="wrn.OutputBaseYear." localSheetId="2" hidden="1">{"Output-BaseYear",#N/A,FALSE,"Output"}</definedName>
    <definedName name="wrn.OutputBaseYear." localSheetId="4" hidden="1">{"Output-BaseYear",#N/A,FALSE,"Output"}</definedName>
    <definedName name="wrn.OutputBaseYear." hidden="1">{"Output-BaseYear",#N/A,FALSE,"Output"}</definedName>
    <definedName name="wrn.OutputMin." localSheetId="3" hidden="1">{"Output-Min",#N/A,FALSE,"Output"}</definedName>
    <definedName name="wrn.OutputMin." localSheetId="6" hidden="1">{"Output-Min",#N/A,FALSE,"Output"}</definedName>
    <definedName name="wrn.OutputMin." localSheetId="5" hidden="1">{"Output-Min",#N/A,FALSE,"Output"}</definedName>
    <definedName name="wrn.OutputMin." localSheetId="2" hidden="1">{"Output-Min",#N/A,FALSE,"Output"}</definedName>
    <definedName name="wrn.OutputMin." localSheetId="4" hidden="1">{"Output-Min",#N/A,FALSE,"Output"}</definedName>
    <definedName name="wrn.OutputMin." hidden="1">{"Output-Min",#N/A,FALSE,"Output"}</definedName>
    <definedName name="wrn.OutputPercent." localSheetId="3" hidden="1">{"Output%",#N/A,FALSE,"Output"}</definedName>
    <definedName name="wrn.OutputPercent." localSheetId="6" hidden="1">{"Output%",#N/A,FALSE,"Output"}</definedName>
    <definedName name="wrn.OutputPercent." localSheetId="5" hidden="1">{"Output%",#N/A,FALSE,"Output"}</definedName>
    <definedName name="wrn.OutputPercent." localSheetId="2" hidden="1">{"Output%",#N/A,FALSE,"Output"}</definedName>
    <definedName name="wrn.OutputPercent." localSheetId="4" hidden="1">{"Output%",#N/A,FALSE,"Output"}</definedName>
    <definedName name="wrn.OutputPercent." hidden="1">{"Output%",#N/A,FALSE,"Output"}</definedName>
    <definedName name="wrn.Penetration." localSheetId="3" hidden="1">{#N/A,#N/A,FALSE,"Mkt Pen"}</definedName>
    <definedName name="wrn.Penetration." localSheetId="6" hidden="1">{#N/A,#N/A,FALSE,"Mkt Pen"}</definedName>
    <definedName name="wrn.Penetration." localSheetId="5" hidden="1">{#N/A,#N/A,FALSE,"Mkt Pen"}</definedName>
    <definedName name="wrn.Penetration." localSheetId="2" hidden="1">{#N/A,#N/A,FALSE,"Mkt Pen"}</definedName>
    <definedName name="wrn.Penetration." localSheetId="4" hidden="1">{#N/A,#N/A,FALSE,"Mkt Pen"}</definedName>
    <definedName name="wrn.Penetration." hidden="1">{#N/A,#N/A,FALSE,"Mkt Pen"}</definedName>
    <definedName name="wrn.PERCENTAGE._.RENT." localSheetId="3" hidden="1">{"PERCENTAGE RENT",#N/A,TRUE,"SCHEDULE B"}</definedName>
    <definedName name="wrn.PERCENTAGE._.RENT." localSheetId="6" hidden="1">{"PERCENTAGE RENT",#N/A,TRUE,"SCHEDULE B"}</definedName>
    <definedName name="wrn.PERCENTAGE._.RENT." localSheetId="5" hidden="1">{"PERCENTAGE RENT",#N/A,TRUE,"SCHEDULE B"}</definedName>
    <definedName name="wrn.PERCENTAGE._.RENT." localSheetId="2" hidden="1">{"PERCENTAGE RENT",#N/A,TRUE,"SCHEDULE B"}</definedName>
    <definedName name="wrn.PERCENTAGE._.RENT." localSheetId="4" hidden="1">{"PERCENTAGE RENT",#N/A,TRUE,"SCHEDULE B"}</definedName>
    <definedName name="wrn.PERCENTAGE._.RENT." hidden="1">{"PERCENTAGE RENT",#N/A,TRUE,"SCHEDULE B"}</definedName>
    <definedName name="wrn.prcntrent" localSheetId="3" hidden="1">{"PERCENTAGE RENT",#N/A,TRUE,"SCHEDULE B"}</definedName>
    <definedName name="wrn.prcntrent" localSheetId="6" hidden="1">{"PERCENTAGE RENT",#N/A,TRUE,"SCHEDULE B"}</definedName>
    <definedName name="wrn.prcntrent" localSheetId="5" hidden="1">{"PERCENTAGE RENT",#N/A,TRUE,"SCHEDULE B"}</definedName>
    <definedName name="wrn.prcntrent" localSheetId="2" hidden="1">{"PERCENTAGE RENT",#N/A,TRUE,"SCHEDULE B"}</definedName>
    <definedName name="wrn.prcntrent" localSheetId="4" hidden="1">{"PERCENTAGE RENT",#N/A,TRUE,"SCHEDULE B"}</definedName>
    <definedName name="wrn.prcntrent" hidden="1">{"PERCENTAGE RENT",#N/A,TRUE,"SCHEDULE B"}</definedName>
    <definedName name="wrn.Primary._.Competition." localSheetId="3" hidden="1">{#N/A,#N/A,FALSE,"Primary"}</definedName>
    <definedName name="wrn.Primary._.Competition." localSheetId="6" hidden="1">{#N/A,#N/A,FALSE,"Primary"}</definedName>
    <definedName name="wrn.Primary._.Competition." localSheetId="5" hidden="1">{#N/A,#N/A,FALSE,"Primary"}</definedName>
    <definedName name="wrn.Primary._.Competition." localSheetId="2" hidden="1">{#N/A,#N/A,FALSE,"Primary"}</definedName>
    <definedName name="wrn.Primary._.Competition." localSheetId="4" hidden="1">{#N/A,#N/A,FALSE,"Primary"}</definedName>
    <definedName name="wrn.Primary._.Competition." hidden="1">{#N/A,#N/A,FALSE,"Primary"}</definedName>
    <definedName name="wrn.Print._.All._.Worksheets." localSheetId="3" hidden="1">{#N/A,#N/A,FALSE,"Capitaliztion Matrix";#N/A,#N/A,FALSE,"4YR P&amp;L";#N/A,#N/A,FALSE,"Program Contributions";#N/A,#N/A,FALSE,"P&amp;L Trans YR 2";#N/A,#N/A,FALSE,"Rev &amp; EBITDA YR2";#N/A,#N/A,FALSE,"P&amp;L Trans YR 1";#N/A,#N/A,FALSE,"Rev &amp; EBITDA YR1"}</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localSheetId="5" hidden="1">{#N/A,#N/A,FALSE,"Capitaliztion Matrix";#N/A,#N/A,FALSE,"4YR P&amp;L";#N/A,#N/A,FALSE,"Program Contributions";#N/A,#N/A,FALSE,"P&amp;L Trans YR 2";#N/A,#N/A,FALSE,"Rev &amp; EBITDA YR2";#N/A,#N/A,FALSE,"P&amp;L Trans YR 1";#N/A,#N/A,FALSE,"Rev &amp; EBITDA YR1"}</definedName>
    <definedName name="wrn.Print._.All._.Worksheets." localSheetId="2" hidden="1">{#N/A,#N/A,FALSE,"Capitaliztion Matrix";#N/A,#N/A,FALSE,"4YR P&amp;L";#N/A,#N/A,FALSE,"Program Contributions";#N/A,#N/A,FALSE,"P&amp;L Trans YR 2";#N/A,#N/A,FALSE,"Rev &amp; EBITDA YR2";#N/A,#N/A,FALSE,"P&amp;L Trans YR 1";#N/A,#N/A,FALSE,"Rev &amp; EBITDA YR1"}</definedName>
    <definedName name="wrn.Print._.All._.Worksheets." localSheetId="4"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oforma." localSheetId="3" hidden="1">{#N/A,#N/A,FALSE,"ExecSum";#N/A,#N/A,FALSE,"Budget";#N/A,#N/A,FALSE,"total summary";#N/A,#N/A,FALSE,"CashFlow"}</definedName>
    <definedName name="wrn.proforma." localSheetId="6" hidden="1">{#N/A,#N/A,FALSE,"ExecSum";#N/A,#N/A,FALSE,"Budget";#N/A,#N/A,FALSE,"total summary";#N/A,#N/A,FALSE,"CashFlow"}</definedName>
    <definedName name="wrn.proforma." localSheetId="5" hidden="1">{#N/A,#N/A,FALSE,"ExecSum";#N/A,#N/A,FALSE,"Budget";#N/A,#N/A,FALSE,"total summary";#N/A,#N/A,FALSE,"CashFlow"}</definedName>
    <definedName name="wrn.proforma." localSheetId="2" hidden="1">{#N/A,#N/A,FALSE,"ExecSum";#N/A,#N/A,FALSE,"Budget";#N/A,#N/A,FALSE,"total summary";#N/A,#N/A,FALSE,"CashFlow"}</definedName>
    <definedName name="wrn.proforma." localSheetId="4" hidden="1">{#N/A,#N/A,FALSE,"ExecSum";#N/A,#N/A,FALSE,"Budget";#N/A,#N/A,FALSE,"total summary";#N/A,#N/A,FALSE,"CashFlow"}</definedName>
    <definedName name="wrn.proforma." hidden="1">{#N/A,#N/A,FALSE,"ExecSum";#N/A,#N/A,FALSE,"Budget";#N/A,#N/A,FALSE,"total summary";#N/A,#N/A,FALSE,"CashFlow"}</definedName>
    <definedName name="wrn.rate." localSheetId="3" hidden="1">{"RATES",#N/A,FALSE,"RECOVERY RATES";"CONTRIBUTIONS",#N/A,FALSE,"RECOVERY RATES";"GLA CATEGORY SUMMARY",#N/A,FALSE,"RECOVERY RATES"}</definedName>
    <definedName name="wrn.rate." localSheetId="6" hidden="1">{"RATES",#N/A,FALSE,"RECOVERY RATES";"CONTRIBUTIONS",#N/A,FALSE,"RECOVERY RATES";"GLA CATEGORY SUMMARY",#N/A,FALSE,"RECOVERY RATES"}</definedName>
    <definedName name="wrn.rate." localSheetId="5" hidden="1">{"RATES",#N/A,FALSE,"RECOVERY RATES";"CONTRIBUTIONS",#N/A,FALSE,"RECOVERY RATES";"GLA CATEGORY SUMMARY",#N/A,FALSE,"RECOVERY RATES"}</definedName>
    <definedName name="wrn.rate." localSheetId="2" hidden="1">{"RATES",#N/A,FALSE,"RECOVERY RATES";"CONTRIBUTIONS",#N/A,FALSE,"RECOVERY RATES";"GLA CATEGORY SUMMARY",#N/A,FALSE,"RECOVERY RATES"}</definedName>
    <definedName name="wrn.rate." localSheetId="4" hidden="1">{"RATES",#N/A,FALSE,"RECOVERY RATES";"CONTRIBUTIONS",#N/A,FALSE,"RECOVERY RATES";"GLA CATEGORY SUMMARY",#N/A,FALSE,"RECOVERY RATES"}</definedName>
    <definedName name="wrn.rate." hidden="1">{"RATES",#N/A,FALSE,"RECOVERY RATES";"CONTRIBUTIONS",#N/A,FALSE,"RECOVERY RATES";"GLA CATEGORY SUMMARY",#N/A,FALSE,"RECOVERY RATES"}</definedName>
    <definedName name="wrn.RATES." localSheetId="3" hidden="1">{"RATES",#N/A,FALSE,"RECOVERY RATES";"CONTRIBUTIONS",#N/A,FALSE,"RECOVERY RATES";"GLA CATEGORY SUMMARY",#N/A,FALSE,"RECOVERY RATES"}</definedName>
    <definedName name="wrn.RATES." localSheetId="6" hidden="1">{"RATES",#N/A,FALSE,"RECOVERY RATES";"CONTRIBUTIONS",#N/A,FALSE,"RECOVERY RATES";"GLA CATEGORY SUMMARY",#N/A,FALSE,"RECOVERY RATES"}</definedName>
    <definedName name="wrn.RATES." localSheetId="5" hidden="1">{"RATES",#N/A,FALSE,"RECOVERY RATES";"CONTRIBUTIONS",#N/A,FALSE,"RECOVERY RATES";"GLA CATEGORY SUMMARY",#N/A,FALSE,"RECOVERY RATES"}</definedName>
    <definedName name="wrn.RATES." localSheetId="2" hidden="1">{"RATES",#N/A,FALSE,"RECOVERY RATES";"CONTRIBUTIONS",#N/A,FALSE,"RECOVERY RATES";"GLA CATEGORY SUMMARY",#N/A,FALSE,"RECOVERY RATES"}</definedName>
    <definedName name="wrn.RATES." localSheetId="4" hidden="1">{"RATES",#N/A,FALSE,"RECOVERY RATES";"CONTRIBUTIONS",#N/A,FALSE,"RECOVERY RATES";"GLA CATEGORY SUMMARY",#N/A,FALSE,"RECOVERY RATES"}</definedName>
    <definedName name="wrn.RATES." hidden="1">{"RATES",#N/A,FALSE,"RECOVERY RATES";"CONTRIBUTIONS",#N/A,FALSE,"RECOVERY RATES";"GLA CATEGORY SUMMARY",#N/A,FALSE,"RECOVERY RATES"}</definedName>
    <definedName name="wrn.SCHAs." localSheetId="3" hidden="1">{"ACCOUNTING COPY",#N/A,FALSE,"SCHEDULE A";"FINANCE COPY",#N/A,FALSE,"SCHEDULE A";"P.L. COPY",#N/A,FALSE,"SCHEDULE A"}</definedName>
    <definedName name="wrn.SCHAs." localSheetId="6" hidden="1">{"ACCOUNTING COPY",#N/A,FALSE,"SCHEDULE A";"FINANCE COPY",#N/A,FALSE,"SCHEDULE A";"P.L. COPY",#N/A,FALSE,"SCHEDULE A"}</definedName>
    <definedName name="wrn.SCHAs." localSheetId="5" hidden="1">{"ACCOUNTING COPY",#N/A,FALSE,"SCHEDULE A";"FINANCE COPY",#N/A,FALSE,"SCHEDULE A";"P.L. COPY",#N/A,FALSE,"SCHEDULE A"}</definedName>
    <definedName name="wrn.SCHAs." localSheetId="2" hidden="1">{"ACCOUNTING COPY",#N/A,FALSE,"SCHEDULE A";"FINANCE COPY",#N/A,FALSE,"SCHEDULE A";"P.L. COPY",#N/A,FALSE,"SCHEDULE A"}</definedName>
    <definedName name="wrn.SCHAs." localSheetId="4" hidden="1">{"ACCOUNTING COPY",#N/A,FALSE,"SCHEDULE A";"FINANCE COPY",#N/A,FALSE,"SCHEDULE A";"P.L. COPY",#N/A,FALSE,"SCHEDULE A"}</definedName>
    <definedName name="wrn.SCHAs." hidden="1">{"ACCOUNTING COPY",#N/A,FALSE,"SCHEDULE A";"FINANCE COPY",#N/A,FALSE,"SCHEDULE A";"P.L. COPY",#N/A,FALSE,"SCHEDULE A"}</definedName>
    <definedName name="wrn.schas2" localSheetId="3" hidden="1">{"ACCOUNTING COPY",#N/A,FALSE,"SCHEDULE A";"FINANCE COPY",#N/A,FALSE,"SCHEDULE A";"P.L. COPY",#N/A,FALSE,"SCHEDULE A"}</definedName>
    <definedName name="wrn.schas2" localSheetId="6" hidden="1">{"ACCOUNTING COPY",#N/A,FALSE,"SCHEDULE A";"FINANCE COPY",#N/A,FALSE,"SCHEDULE A";"P.L. COPY",#N/A,FALSE,"SCHEDULE A"}</definedName>
    <definedName name="wrn.schas2" localSheetId="5" hidden="1">{"ACCOUNTING COPY",#N/A,FALSE,"SCHEDULE A";"FINANCE COPY",#N/A,FALSE,"SCHEDULE A";"P.L. COPY",#N/A,FALSE,"SCHEDULE A"}</definedName>
    <definedName name="wrn.schas2" localSheetId="2" hidden="1">{"ACCOUNTING COPY",#N/A,FALSE,"SCHEDULE A";"FINANCE COPY",#N/A,FALSE,"SCHEDULE A";"P.L. COPY",#N/A,FALSE,"SCHEDULE A"}</definedName>
    <definedName name="wrn.schas2" localSheetId="4" hidden="1">{"ACCOUNTING COPY",#N/A,FALSE,"SCHEDULE A";"FINANCE COPY",#N/A,FALSE,"SCHEDULE A";"P.L. COPY",#N/A,FALSE,"SCHEDULE A"}</definedName>
    <definedName name="wrn.schas2" hidden="1">{"ACCOUNTING COPY",#N/A,FALSE,"SCHEDULE A";"FINANCE COPY",#N/A,FALSE,"SCHEDULE A";"P.L. COPY",#N/A,FALSE,"SCHEDULE A"}</definedName>
    <definedName name="wrn.SCHEDULES._.ABC." localSheetId="3" hidden="1">{#N/A,#N/A,FALSE,"SCHEDULE A";"MINIMUM RENT",#N/A,FALSE,"SCHEDULES B &amp; C";"PERCENTAGE RENT",#N/A,FALSE,"SCHEDULES B &amp; C"}</definedName>
    <definedName name="wrn.SCHEDULES._.ABC." localSheetId="6" hidden="1">{#N/A,#N/A,FALSE,"SCHEDULE A";"MINIMUM RENT",#N/A,FALSE,"SCHEDULES B &amp; C";"PERCENTAGE RENT",#N/A,FALSE,"SCHEDULES B &amp; C"}</definedName>
    <definedName name="wrn.SCHEDULES._.ABC." localSheetId="5" hidden="1">{#N/A,#N/A,FALSE,"SCHEDULE A";"MINIMUM RENT",#N/A,FALSE,"SCHEDULES B &amp; C";"PERCENTAGE RENT",#N/A,FALSE,"SCHEDULES B &amp; C"}</definedName>
    <definedName name="wrn.SCHEDULES._.ABC." localSheetId="2" hidden="1">{#N/A,#N/A,FALSE,"SCHEDULE A";"MINIMUM RENT",#N/A,FALSE,"SCHEDULES B &amp; C";"PERCENTAGE RENT",#N/A,FALSE,"SCHEDULES B &amp; C"}</definedName>
    <definedName name="wrn.SCHEDULES._.ABC." localSheetId="4" hidden="1">{#N/A,#N/A,FALSE,"SCHEDULE A";"MINIMUM RENT",#N/A,FALSE,"SCHEDULES B &amp; C";"PERCENTAGE RENT",#N/A,FALSE,"SCHEDULES B &amp; C"}</definedName>
    <definedName name="wrn.SCHEDULES._.ABC." hidden="1">{#N/A,#N/A,FALSE,"SCHEDULE A";"MINIMUM RENT",#N/A,FALSE,"SCHEDULES B &amp; C";"PERCENTAGE RENT",#N/A,FALSE,"SCHEDULES B &amp; C"}</definedName>
    <definedName name="wrn.seafirst." localSheetId="3" hidden="1">{#N/A,#N/A,FALSE,"Project Summary";#N/A,#N/A,FALSE,"Master Developer Cash Flow";#N/A,#N/A,FALSE,"Parking Budget";#N/A,#N/A,FALSE,"Parking Cash Flow2";#N/A,#N/A,FALSE,"Parking Assumptions";#N/A,#N/A,FALSE,"Bond Structure - Lease";#N/A,#N/A,FALSE,"Retail Development Budget";#N/A,#N/A,FALSE,"Retail Cash Flow";#N/A,#N/A,FALSE,"Retail Assumptions Summary";#N/A,#N/A,FALSE,"Retail Income Assumptions";#N/A,#N/A,FALSE,"Retail % Rent";#N/A,#N/A,FALSE,"Retail Debt Service";#N/A,#N/A,FALSE,"Office Development Budget";#N/A,#N/A,FALSE,"Office Cash Flow";#N/A,#N/A,FALSE,"Office Assumptions";#N/A,#N/A,FALSE,"Office Debt Service";#N/A,#N/A,FALSE,"Hotel Development Budget";#N/A,#N/A,FALSE,"Hotel Cash Flow";#N/A,#N/A,FALSE,"Hotel Assumptions";#N/A,#N/A,FALSE,"Hotel Debt Service"}</definedName>
    <definedName name="wrn.seafirst." localSheetId="6" hidden="1">{#N/A,#N/A,FALSE,"Project Summary";#N/A,#N/A,FALSE,"Master Developer Cash Flow";#N/A,#N/A,FALSE,"Parking Budget";#N/A,#N/A,FALSE,"Parking Cash Flow2";#N/A,#N/A,FALSE,"Parking Assumptions";#N/A,#N/A,FALSE,"Bond Structure - Lease";#N/A,#N/A,FALSE,"Retail Development Budget";#N/A,#N/A,FALSE,"Retail Cash Flow";#N/A,#N/A,FALSE,"Retail Assumptions Summary";#N/A,#N/A,FALSE,"Retail Income Assumptions";#N/A,#N/A,FALSE,"Retail % Rent";#N/A,#N/A,FALSE,"Retail Debt Service";#N/A,#N/A,FALSE,"Office Development Budget";#N/A,#N/A,FALSE,"Office Cash Flow";#N/A,#N/A,FALSE,"Office Assumptions";#N/A,#N/A,FALSE,"Office Debt Service";#N/A,#N/A,FALSE,"Hotel Development Budget";#N/A,#N/A,FALSE,"Hotel Cash Flow";#N/A,#N/A,FALSE,"Hotel Assumptions";#N/A,#N/A,FALSE,"Hotel Debt Service"}</definedName>
    <definedName name="wrn.seafirst." localSheetId="5" hidden="1">{#N/A,#N/A,FALSE,"Project Summary";#N/A,#N/A,FALSE,"Master Developer Cash Flow";#N/A,#N/A,FALSE,"Parking Budget";#N/A,#N/A,FALSE,"Parking Cash Flow2";#N/A,#N/A,FALSE,"Parking Assumptions";#N/A,#N/A,FALSE,"Bond Structure - Lease";#N/A,#N/A,FALSE,"Retail Development Budget";#N/A,#N/A,FALSE,"Retail Cash Flow";#N/A,#N/A,FALSE,"Retail Assumptions Summary";#N/A,#N/A,FALSE,"Retail Income Assumptions";#N/A,#N/A,FALSE,"Retail % Rent";#N/A,#N/A,FALSE,"Retail Debt Service";#N/A,#N/A,FALSE,"Office Development Budget";#N/A,#N/A,FALSE,"Office Cash Flow";#N/A,#N/A,FALSE,"Office Assumptions";#N/A,#N/A,FALSE,"Office Debt Service";#N/A,#N/A,FALSE,"Hotel Development Budget";#N/A,#N/A,FALSE,"Hotel Cash Flow";#N/A,#N/A,FALSE,"Hotel Assumptions";#N/A,#N/A,FALSE,"Hotel Debt Service"}</definedName>
    <definedName name="wrn.seafirst." localSheetId="2" hidden="1">{#N/A,#N/A,FALSE,"Project Summary";#N/A,#N/A,FALSE,"Master Developer Cash Flow";#N/A,#N/A,FALSE,"Parking Budget";#N/A,#N/A,FALSE,"Parking Cash Flow2";#N/A,#N/A,FALSE,"Parking Assumptions";#N/A,#N/A,FALSE,"Bond Structure - Lease";#N/A,#N/A,FALSE,"Retail Development Budget";#N/A,#N/A,FALSE,"Retail Cash Flow";#N/A,#N/A,FALSE,"Retail Assumptions Summary";#N/A,#N/A,FALSE,"Retail Income Assumptions";#N/A,#N/A,FALSE,"Retail % Rent";#N/A,#N/A,FALSE,"Retail Debt Service";#N/A,#N/A,FALSE,"Office Development Budget";#N/A,#N/A,FALSE,"Office Cash Flow";#N/A,#N/A,FALSE,"Office Assumptions";#N/A,#N/A,FALSE,"Office Debt Service";#N/A,#N/A,FALSE,"Hotel Development Budget";#N/A,#N/A,FALSE,"Hotel Cash Flow";#N/A,#N/A,FALSE,"Hotel Assumptions";#N/A,#N/A,FALSE,"Hotel Debt Service"}</definedName>
    <definedName name="wrn.seafirst." localSheetId="4" hidden="1">{#N/A,#N/A,FALSE,"Project Summary";#N/A,#N/A,FALSE,"Master Developer Cash Flow";#N/A,#N/A,FALSE,"Parking Budget";#N/A,#N/A,FALSE,"Parking Cash Flow2";#N/A,#N/A,FALSE,"Parking Assumptions";#N/A,#N/A,FALSE,"Bond Structure - Lease";#N/A,#N/A,FALSE,"Retail Development Budget";#N/A,#N/A,FALSE,"Retail Cash Flow";#N/A,#N/A,FALSE,"Retail Assumptions Summary";#N/A,#N/A,FALSE,"Retail Income Assumptions";#N/A,#N/A,FALSE,"Retail % Rent";#N/A,#N/A,FALSE,"Retail Debt Service";#N/A,#N/A,FALSE,"Office Development Budget";#N/A,#N/A,FALSE,"Office Cash Flow";#N/A,#N/A,FALSE,"Office Assumptions";#N/A,#N/A,FALSE,"Office Debt Service";#N/A,#N/A,FALSE,"Hotel Development Budget";#N/A,#N/A,FALSE,"Hotel Cash Flow";#N/A,#N/A,FALSE,"Hotel Assumptions";#N/A,#N/A,FALSE,"Hotel Debt Service"}</definedName>
    <definedName name="wrn.seafirst." hidden="1">{#N/A,#N/A,FALSE,"Project Summary";#N/A,#N/A,FALSE,"Master Developer Cash Flow";#N/A,#N/A,FALSE,"Parking Budget";#N/A,#N/A,FALSE,"Parking Cash Flow2";#N/A,#N/A,FALSE,"Parking Assumptions";#N/A,#N/A,FALSE,"Bond Structure - Lease";#N/A,#N/A,FALSE,"Retail Development Budget";#N/A,#N/A,FALSE,"Retail Cash Flow";#N/A,#N/A,FALSE,"Retail Assumptions Summary";#N/A,#N/A,FALSE,"Retail Income Assumptions";#N/A,#N/A,FALSE,"Retail % Rent";#N/A,#N/A,FALSE,"Retail Debt Service";#N/A,#N/A,FALSE,"Office Development Budget";#N/A,#N/A,FALSE,"Office Cash Flow";#N/A,#N/A,FALSE,"Office Assumptions";#N/A,#N/A,FALSE,"Office Debt Service";#N/A,#N/A,FALSE,"Hotel Development Budget";#N/A,#N/A,FALSE,"Hotel Cash Flow";#N/A,#N/A,FALSE,"Hotel Assumptions";#N/A,#N/A,FALSE,"Hotel Debt Service"}</definedName>
    <definedName name="wrn.Secondary._.Competition." localSheetId="3" hidden="1">{#N/A,#N/A,FALSE,"Secondary"}</definedName>
    <definedName name="wrn.Secondary._.Competition." localSheetId="6" hidden="1">{#N/A,#N/A,FALSE,"Secondary"}</definedName>
    <definedName name="wrn.Secondary._.Competition." localSheetId="5" hidden="1">{#N/A,#N/A,FALSE,"Secondary"}</definedName>
    <definedName name="wrn.Secondary._.Competition." localSheetId="2" hidden="1">{#N/A,#N/A,FALSE,"Secondary"}</definedName>
    <definedName name="wrn.Secondary._.Competition." localSheetId="4" hidden="1">{#N/A,#N/A,FALSE,"Secondary"}</definedName>
    <definedName name="wrn.Secondary._.Competition." hidden="1">{#N/A,#N/A,FALSE,"Secondary"}</definedName>
    <definedName name="wrn.SecondCalc9798." localSheetId="3"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localSheetId="6"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localSheetId="5"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localSheetId="2"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localSheetId="4"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upply._.Additions." localSheetId="3" hidden="1">{#N/A,#N/A,FALSE,"Supply Addn"}</definedName>
    <definedName name="wrn.Supply._.Additions." localSheetId="6" hidden="1">{#N/A,#N/A,FALSE,"Supply Addn"}</definedName>
    <definedName name="wrn.Supply._.Additions." localSheetId="5" hidden="1">{#N/A,#N/A,FALSE,"Supply Addn"}</definedName>
    <definedName name="wrn.Supply._.Additions." localSheetId="2" hidden="1">{#N/A,#N/A,FALSE,"Supply Addn"}</definedName>
    <definedName name="wrn.Supply._.Additions." localSheetId="4" hidden="1">{#N/A,#N/A,FALSE,"Supply Addn"}</definedName>
    <definedName name="wrn.Supply._.Additions." hidden="1">{#N/A,#N/A,FALSE,"Supply Addn"}</definedName>
    <definedName name="wrn.TANASBOURNE._.ONLY." localSheetId="3" hidden="1">{#N/A,#N/A,FALSE,"Expense Comparison"}</definedName>
    <definedName name="wrn.TANASBOURNE._.ONLY." localSheetId="6" hidden="1">{#N/A,#N/A,FALSE,"Expense Comparison"}</definedName>
    <definedName name="wrn.TANASBOURNE._.ONLY." localSheetId="5" hidden="1">{#N/A,#N/A,FALSE,"Expense Comparison"}</definedName>
    <definedName name="wrn.TANASBOURNE._.ONLY." localSheetId="2" hidden="1">{#N/A,#N/A,FALSE,"Expense Comparison"}</definedName>
    <definedName name="wrn.TANASBOURNE._.ONLY." localSheetId="4" hidden="1">{#N/A,#N/A,FALSE,"Expense Comparison"}</definedName>
    <definedName name="wrn.TANASBOURNE._.ONLY." hidden="1">{#N/A,#N/A,FALSE,"Expense Comparison"}</definedName>
    <definedName name="wrn.TEST." localSheetId="3" hidden="1">{#N/A,#N/A,FALSE,"SCHEDULE G"}</definedName>
    <definedName name="wrn.TEST." localSheetId="6" hidden="1">{#N/A,#N/A,FALSE,"SCHEDULE G"}</definedName>
    <definedName name="wrn.TEST." localSheetId="5" hidden="1">{#N/A,#N/A,FALSE,"SCHEDULE G"}</definedName>
    <definedName name="wrn.TEST." localSheetId="2" hidden="1">{#N/A,#N/A,FALSE,"SCHEDULE G"}</definedName>
    <definedName name="wrn.TEST." localSheetId="4" hidden="1">{#N/A,#N/A,FALSE,"SCHEDULE G"}</definedName>
    <definedName name="wrn.TEST." hidden="1">{#N/A,#N/A,FALSE,"SCHEDULE G"}</definedName>
    <definedName name="wrn.TOCHTERMAN." localSheetId="3" hidden="1">{#N/A,#N/A,FALSE,"Project Summary";#N/A,#N/A,FALSE,"Parking Budget";#N/A,#N/A,FALSE,"Parking Cash Flow";#N/A,#N/A,FALSE,"Parking Assumptions";#N/A,#N/A,FALSE,"Bond Debt Service";#N/A,#N/A,FALSE,"Pad Fees";#N/A,#N/A,FALSE,"Bond Shortfall";#N/A,#N/A,FALSE,"Retail Development Budget";#N/A,#N/A,FALSE,"Retail Cash Flow";#N/A,#N/A,FALSE,"Retail Assumptions Summary";#N/A,#N/A,FALSE,"Office Development Budget";#N/A,#N/A,FALSE,"Office Cash Flow";#N/A,#N/A,FALSE,"Office Assumptions";#N/A,#N/A,FALSE,"Hotel Development Budget";#N/A,#N/A,FALSE,"Hotel Cash Flow";#N/A,#N/A,FALSE,"Land Lease NPV"}</definedName>
    <definedName name="wrn.TOCHTERMAN." localSheetId="6" hidden="1">{#N/A,#N/A,FALSE,"Project Summary";#N/A,#N/A,FALSE,"Parking Budget";#N/A,#N/A,FALSE,"Parking Cash Flow";#N/A,#N/A,FALSE,"Parking Assumptions";#N/A,#N/A,FALSE,"Bond Debt Service";#N/A,#N/A,FALSE,"Pad Fees";#N/A,#N/A,FALSE,"Bond Shortfall";#N/A,#N/A,FALSE,"Retail Development Budget";#N/A,#N/A,FALSE,"Retail Cash Flow";#N/A,#N/A,FALSE,"Retail Assumptions Summary";#N/A,#N/A,FALSE,"Office Development Budget";#N/A,#N/A,FALSE,"Office Cash Flow";#N/A,#N/A,FALSE,"Office Assumptions";#N/A,#N/A,FALSE,"Hotel Development Budget";#N/A,#N/A,FALSE,"Hotel Cash Flow";#N/A,#N/A,FALSE,"Land Lease NPV"}</definedName>
    <definedName name="wrn.TOCHTERMAN." localSheetId="5" hidden="1">{#N/A,#N/A,FALSE,"Project Summary";#N/A,#N/A,FALSE,"Parking Budget";#N/A,#N/A,FALSE,"Parking Cash Flow";#N/A,#N/A,FALSE,"Parking Assumptions";#N/A,#N/A,FALSE,"Bond Debt Service";#N/A,#N/A,FALSE,"Pad Fees";#N/A,#N/A,FALSE,"Bond Shortfall";#N/A,#N/A,FALSE,"Retail Development Budget";#N/A,#N/A,FALSE,"Retail Cash Flow";#N/A,#N/A,FALSE,"Retail Assumptions Summary";#N/A,#N/A,FALSE,"Office Development Budget";#N/A,#N/A,FALSE,"Office Cash Flow";#N/A,#N/A,FALSE,"Office Assumptions";#N/A,#N/A,FALSE,"Hotel Development Budget";#N/A,#N/A,FALSE,"Hotel Cash Flow";#N/A,#N/A,FALSE,"Land Lease NPV"}</definedName>
    <definedName name="wrn.TOCHTERMAN." localSheetId="2" hidden="1">{#N/A,#N/A,FALSE,"Project Summary";#N/A,#N/A,FALSE,"Parking Budget";#N/A,#N/A,FALSE,"Parking Cash Flow";#N/A,#N/A,FALSE,"Parking Assumptions";#N/A,#N/A,FALSE,"Bond Debt Service";#N/A,#N/A,FALSE,"Pad Fees";#N/A,#N/A,FALSE,"Bond Shortfall";#N/A,#N/A,FALSE,"Retail Development Budget";#N/A,#N/A,FALSE,"Retail Cash Flow";#N/A,#N/A,FALSE,"Retail Assumptions Summary";#N/A,#N/A,FALSE,"Office Development Budget";#N/A,#N/A,FALSE,"Office Cash Flow";#N/A,#N/A,FALSE,"Office Assumptions";#N/A,#N/A,FALSE,"Hotel Development Budget";#N/A,#N/A,FALSE,"Hotel Cash Flow";#N/A,#N/A,FALSE,"Land Lease NPV"}</definedName>
    <definedName name="wrn.TOCHTERMAN." localSheetId="4" hidden="1">{#N/A,#N/A,FALSE,"Project Summary";#N/A,#N/A,FALSE,"Parking Budget";#N/A,#N/A,FALSE,"Parking Cash Flow";#N/A,#N/A,FALSE,"Parking Assumptions";#N/A,#N/A,FALSE,"Bond Debt Service";#N/A,#N/A,FALSE,"Pad Fees";#N/A,#N/A,FALSE,"Bond Shortfall";#N/A,#N/A,FALSE,"Retail Development Budget";#N/A,#N/A,FALSE,"Retail Cash Flow";#N/A,#N/A,FALSE,"Retail Assumptions Summary";#N/A,#N/A,FALSE,"Office Development Budget";#N/A,#N/A,FALSE,"Office Cash Flow";#N/A,#N/A,FALSE,"Office Assumptions";#N/A,#N/A,FALSE,"Hotel Development Budget";#N/A,#N/A,FALSE,"Hotel Cash Flow";#N/A,#N/A,FALSE,"Land Lease NPV"}</definedName>
    <definedName name="wrn.TOCHTERMAN." hidden="1">{#N/A,#N/A,FALSE,"Project Summary";#N/A,#N/A,FALSE,"Parking Budget";#N/A,#N/A,FALSE,"Parking Cash Flow";#N/A,#N/A,FALSE,"Parking Assumptions";#N/A,#N/A,FALSE,"Bond Debt Service";#N/A,#N/A,FALSE,"Pad Fees";#N/A,#N/A,FALSE,"Bond Shortfall";#N/A,#N/A,FALSE,"Retail Development Budget";#N/A,#N/A,FALSE,"Retail Cash Flow";#N/A,#N/A,FALSE,"Retail Assumptions Summary";#N/A,#N/A,FALSE,"Office Development Budget";#N/A,#N/A,FALSE,"Office Cash Flow";#N/A,#N/A,FALSE,"Office Assumptions";#N/A,#N/A,FALSE,"Hotel Development Budget";#N/A,#N/A,FALSE,"Hotel Cash Flow";#N/A,#N/A,FALSE,"Land Lease NPV"}</definedName>
    <definedName name="wrn.valuation." localSheetId="3" hidden="1">{"Page1",#N/A,FALSE,"7979";"Page2",#N/A,FALSE,"7979";"Page3",#N/A,FALSE,"7979"}</definedName>
    <definedName name="wrn.valuation." localSheetId="6" hidden="1">{"Page1",#N/A,FALSE,"7979";"Page2",#N/A,FALSE,"7979";"Page3",#N/A,FALSE,"7979"}</definedName>
    <definedName name="wrn.valuation." localSheetId="5" hidden="1">{"Page1",#N/A,FALSE,"7979";"Page2",#N/A,FALSE,"7979";"Page3",#N/A,FALSE,"7979"}</definedName>
    <definedName name="wrn.valuation." localSheetId="2" hidden="1">{"Page1",#N/A,FALSE,"7979";"Page2",#N/A,FALSE,"7979";"Page3",#N/A,FALSE,"7979"}</definedName>
    <definedName name="wrn.valuation." localSheetId="4" hidden="1">{"Page1",#N/A,FALSE,"7979";"Page2",#N/A,FALSE,"7979";"Page3",#N/A,FALSE,"7979"}</definedName>
    <definedName name="wrn.valuation." hidden="1">{"Page1",#N/A,FALSE,"7979";"Page2",#N/A,FALSE,"7979";"Page3",#N/A,FALSE,"7979"}</definedName>
    <definedName name="x" localSheetId="3" hidden="1">{"'AssumptionsHTML'!$B$9:$E$357","'SummationHTML'!$A$4:$J$93","'Difference'!$A$11:$K$101","'DifferenceFTE'!$A$11:$K$101","'Detail1'!$A$11:$I$97","'Detail2'!$A$11:$J$97","'Detail3'!$A$11:$J$97","'Categorical1'!$A$11:$L$97"}</definedName>
    <definedName name="x" localSheetId="6" hidden="1">{"'AssumptionsHTML'!$B$9:$E$357","'SummationHTML'!$A$4:$J$93","'Difference'!$A$11:$K$101","'DifferenceFTE'!$A$11:$K$101","'Detail1'!$A$11:$I$97","'Detail2'!$A$11:$J$97","'Detail3'!$A$11:$J$97","'Categorical1'!$A$11:$L$97"}</definedName>
    <definedName name="x" localSheetId="5" hidden="1">{"'AssumptionsHTML'!$B$9:$E$357","'SummationHTML'!$A$4:$J$93","'Difference'!$A$11:$K$101","'DifferenceFTE'!$A$11:$K$101","'Detail1'!$A$11:$I$97","'Detail2'!$A$11:$J$97","'Detail3'!$A$11:$J$97","'Categorical1'!$A$11:$L$97"}</definedName>
    <definedName name="x" localSheetId="2" hidden="1">{"'AssumptionsHTML'!$B$9:$E$357","'SummationHTML'!$A$4:$J$93","'Difference'!$A$11:$K$101","'DifferenceFTE'!$A$11:$K$101","'Detail1'!$A$11:$I$97","'Detail2'!$A$11:$J$97","'Detail3'!$A$11:$J$97","'Categorical1'!$A$11:$L$97"}</definedName>
    <definedName name="x" localSheetId="4" hidden="1">{"'AssumptionsHTML'!$B$9:$E$357","'SummationHTML'!$A$4:$J$93","'Difference'!$A$11:$K$101","'DifferenceFTE'!$A$11:$K$101","'Detail1'!$A$11:$I$97","'Detail2'!$A$11:$J$97","'Detail3'!$A$11:$J$97","'Categorical1'!$A$11:$L$97"}</definedName>
    <definedName name="x" hidden="1">{"'AssumptionsHTML'!$B$9:$E$357","'SummationHTML'!$A$4:$J$93","'Difference'!$A$11:$K$101","'DifferenceFTE'!$A$11:$K$101","'Detail1'!$A$11:$I$97","'Detail2'!$A$11:$J$97","'Detail3'!$A$11:$J$97","'Categorical1'!$A$11:$L$97"}</definedName>
    <definedName name="xx" localSheetId="3" hidden="1">{#N/A,#N/A,FALSE,"Summation";#N/A,#N/A,FALSE,"BSA";#N/A,#N/A,FALSE,"Detail1";#N/A,#N/A,FALSE,"Detail2";#N/A,#N/A,FALSE,"Detail3";#N/A,#N/A,FALSE,"WFTE_Summary";#N/A,#N/A,FALSE,"Funded_WFTE";#N/A,#N/A,FALSE,"PYADJ96"}</definedName>
    <definedName name="xx" localSheetId="6" hidden="1">{#N/A,#N/A,FALSE,"Summation";#N/A,#N/A,FALSE,"BSA";#N/A,#N/A,FALSE,"Detail1";#N/A,#N/A,FALSE,"Detail2";#N/A,#N/A,FALSE,"Detail3";#N/A,#N/A,FALSE,"WFTE_Summary";#N/A,#N/A,FALSE,"Funded_WFTE";#N/A,#N/A,FALSE,"PYADJ96"}</definedName>
    <definedName name="xx" localSheetId="5" hidden="1">{#N/A,#N/A,FALSE,"Summation";#N/A,#N/A,FALSE,"BSA";#N/A,#N/A,FALSE,"Detail1";#N/A,#N/A,FALSE,"Detail2";#N/A,#N/A,FALSE,"Detail3";#N/A,#N/A,FALSE,"WFTE_Summary";#N/A,#N/A,FALSE,"Funded_WFTE";#N/A,#N/A,FALSE,"PYADJ96"}</definedName>
    <definedName name="xx" localSheetId="2" hidden="1">{#N/A,#N/A,FALSE,"Summation";#N/A,#N/A,FALSE,"BSA";#N/A,#N/A,FALSE,"Detail1";#N/A,#N/A,FALSE,"Detail2";#N/A,#N/A,FALSE,"Detail3";#N/A,#N/A,FALSE,"WFTE_Summary";#N/A,#N/A,FALSE,"Funded_WFTE";#N/A,#N/A,FALSE,"PYADJ96"}</definedName>
    <definedName name="xx" localSheetId="4" hidden="1">{#N/A,#N/A,FALSE,"Summation";#N/A,#N/A,FALSE,"BSA";#N/A,#N/A,FALSE,"Detail1";#N/A,#N/A,FALSE,"Detail2";#N/A,#N/A,FALSE,"Detail3";#N/A,#N/A,FALSE,"WFTE_Summary";#N/A,#N/A,FALSE,"Funded_WFTE";#N/A,#N/A,FALSE,"PYADJ96"}</definedName>
    <definedName name="xx" hidden="1">{#N/A,#N/A,FALSE,"Summation";#N/A,#N/A,FALSE,"BSA";#N/A,#N/A,FALSE,"Detail1";#N/A,#N/A,FALSE,"Detail2";#N/A,#N/A,FALSE,"Detail3";#N/A,#N/A,FALSE,"WFTE_Summary";#N/A,#N/A,FALSE,"Funded_WFTE";#N/A,#N/A,FALSE,"PYADJ96"}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3" i="11" l="1"/>
  <c r="H183" i="11"/>
  <c r="J183" i="11"/>
  <c r="L183" i="11"/>
  <c r="N183" i="11"/>
  <c r="O17" i="11" l="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5" i="11"/>
  <c r="O47" i="11"/>
  <c r="O48" i="11"/>
  <c r="O49" i="11"/>
  <c r="O50" i="11"/>
  <c r="O51" i="11"/>
  <c r="O52" i="11"/>
  <c r="O54" i="11"/>
  <c r="O58" i="11"/>
  <c r="O60" i="11"/>
  <c r="O67" i="11"/>
  <c r="O72" i="11"/>
  <c r="O76" i="11"/>
  <c r="O77" i="11"/>
  <c r="O79" i="11"/>
  <c r="O80" i="11"/>
  <c r="O83" i="11"/>
  <c r="O86" i="11"/>
  <c r="O87" i="11"/>
  <c r="O88" i="11"/>
  <c r="O89" i="11"/>
  <c r="O90" i="11"/>
  <c r="O91" i="11"/>
  <c r="O93" i="11"/>
  <c r="O94" i="11"/>
  <c r="O97" i="11"/>
  <c r="O98" i="11"/>
  <c r="O99" i="11"/>
  <c r="O100" i="11"/>
  <c r="O101" i="11"/>
  <c r="O102" i="11"/>
  <c r="O103" i="11"/>
  <c r="O104" i="11"/>
  <c r="O105" i="11"/>
  <c r="O106" i="11"/>
  <c r="O107" i="11"/>
  <c r="O108" i="11"/>
  <c r="O109" i="11"/>
  <c r="O110" i="11"/>
  <c r="O111" i="11"/>
  <c r="O112" i="11"/>
  <c r="O113" i="11"/>
  <c r="O114" i="11"/>
  <c r="O116" i="11"/>
  <c r="O117" i="11"/>
  <c r="O122" i="11"/>
  <c r="O123" i="11"/>
  <c r="O124" i="11"/>
  <c r="O125" i="11"/>
  <c r="O126" i="11"/>
  <c r="O127" i="11"/>
  <c r="O129" i="11"/>
  <c r="O130" i="11"/>
  <c r="O131" i="11"/>
  <c r="O132" i="11"/>
  <c r="O133" i="11"/>
  <c r="O135" i="11"/>
  <c r="O136" i="11"/>
  <c r="O137" i="11"/>
  <c r="O138" i="11"/>
  <c r="O139" i="11"/>
  <c r="O140" i="11"/>
  <c r="O141" i="11"/>
  <c r="O142" i="11"/>
  <c r="O143" i="11"/>
  <c r="O144" i="11"/>
  <c r="O145" i="11"/>
  <c r="O146" i="11"/>
  <c r="O147" i="11"/>
  <c r="O148" i="11"/>
  <c r="O149" i="11"/>
  <c r="O150" i="11"/>
  <c r="O151" i="11"/>
  <c r="O152" i="11"/>
  <c r="O153" i="11"/>
  <c r="O154" i="11"/>
  <c r="O155" i="11"/>
  <c r="O156" i="11"/>
  <c r="O157" i="11"/>
  <c r="O158" i="11"/>
  <c r="O159" i="11"/>
  <c r="O161" i="11"/>
  <c r="O162" i="11"/>
  <c r="O163" i="11"/>
  <c r="O164" i="11"/>
  <c r="O165" i="11"/>
  <c r="O166" i="11"/>
  <c r="O167" i="11"/>
  <c r="O168" i="11"/>
  <c r="O169" i="11"/>
  <c r="O170" i="11"/>
  <c r="O171" i="11"/>
  <c r="O174" i="11"/>
  <c r="O176" i="11"/>
  <c r="O178" i="11"/>
  <c r="O179" i="11"/>
  <c r="O11" i="11"/>
  <c r="C95" i="11" l="1"/>
  <c r="I70" i="11" l="1"/>
  <c r="I64" i="11"/>
  <c r="I59" i="11"/>
  <c r="I172" i="11"/>
  <c r="I160" i="11"/>
  <c r="I128" i="11"/>
  <c r="I121" i="11"/>
  <c r="I120" i="11"/>
  <c r="I119" i="11"/>
  <c r="I118" i="11"/>
  <c r="I115" i="11"/>
  <c r="I85" i="11"/>
  <c r="I84" i="11"/>
  <c r="I74" i="11"/>
  <c r="I73" i="11"/>
  <c r="I66" i="11"/>
  <c r="I62" i="11"/>
  <c r="I56" i="11"/>
  <c r="I46" i="11"/>
  <c r="I8" i="11"/>
  <c r="I5" i="11"/>
  <c r="I12" i="11" s="1"/>
  <c r="I14" i="11" s="1"/>
  <c r="F29" i="5"/>
  <c r="F33" i="12"/>
  <c r="F29" i="12"/>
  <c r="B29" i="5"/>
  <c r="B29" i="12"/>
  <c r="E5" i="5"/>
  <c r="F5" i="5" s="1"/>
  <c r="D5" i="5"/>
  <c r="E4" i="5"/>
  <c r="F4" i="5" s="1"/>
  <c r="D4" i="5"/>
  <c r="E5" i="12"/>
  <c r="F5" i="12" s="1"/>
  <c r="D5" i="12"/>
  <c r="E4" i="12"/>
  <c r="F4" i="12" s="1"/>
  <c r="D4" i="12"/>
  <c r="I63" i="11" l="1"/>
  <c r="I69" i="11"/>
  <c r="I81" i="11"/>
  <c r="I134" i="11"/>
  <c r="I57" i="11"/>
  <c r="I92" i="11"/>
  <c r="I95" i="11" l="1"/>
  <c r="I96" i="11" s="1"/>
  <c r="I82" i="11"/>
  <c r="I173" i="11" l="1"/>
  <c r="I175" i="11" s="1"/>
  <c r="I177" i="11" s="1"/>
  <c r="N43" i="12"/>
  <c r="I43" i="12"/>
  <c r="B43" i="12"/>
  <c r="M42" i="12"/>
  <c r="L42" i="12"/>
  <c r="K42" i="12"/>
  <c r="J42" i="12"/>
  <c r="M41" i="12"/>
  <c r="L41" i="12"/>
  <c r="K41" i="12"/>
  <c r="J41" i="12"/>
  <c r="M40" i="12"/>
  <c r="L40" i="12"/>
  <c r="K40" i="12"/>
  <c r="J40" i="12"/>
  <c r="M39" i="12"/>
  <c r="F39" i="12"/>
  <c r="K39" i="12" s="1"/>
  <c r="M38" i="12"/>
  <c r="F38" i="12"/>
  <c r="J38" i="12" s="1"/>
  <c r="M37" i="12"/>
  <c r="L37" i="12"/>
  <c r="K37" i="12"/>
  <c r="J37" i="12"/>
  <c r="M36" i="12"/>
  <c r="F36" i="12"/>
  <c r="K36" i="12" s="1"/>
  <c r="M35" i="12"/>
  <c r="F35" i="12"/>
  <c r="L35" i="12" s="1"/>
  <c r="N33" i="12"/>
  <c r="I33" i="12"/>
  <c r="B33" i="12"/>
  <c r="M32" i="12"/>
  <c r="E32" i="12"/>
  <c r="F32" i="12" s="1"/>
  <c r="D32" i="12"/>
  <c r="M31" i="12"/>
  <c r="E31" i="12"/>
  <c r="F31" i="12" s="1"/>
  <c r="L31" i="12" s="1"/>
  <c r="D31" i="12"/>
  <c r="N29" i="12"/>
  <c r="M28" i="12"/>
  <c r="F28" i="12"/>
  <c r="J28" i="12" s="1"/>
  <c r="D28" i="12"/>
  <c r="M27" i="12"/>
  <c r="E27" i="12"/>
  <c r="F27" i="12" s="1"/>
  <c r="L27" i="12" s="1"/>
  <c r="D27" i="12"/>
  <c r="M26" i="12"/>
  <c r="E26" i="12"/>
  <c r="F26" i="12" s="1"/>
  <c r="D26" i="12"/>
  <c r="M25" i="12"/>
  <c r="E25" i="12"/>
  <c r="F25" i="12" s="1"/>
  <c r="D25" i="12"/>
  <c r="M24" i="12"/>
  <c r="E24" i="12"/>
  <c r="F24" i="12" s="1"/>
  <c r="D24" i="12"/>
  <c r="M23" i="12"/>
  <c r="E23" i="12"/>
  <c r="F23" i="12" s="1"/>
  <c r="L23" i="12" s="1"/>
  <c r="D23" i="12"/>
  <c r="M22" i="12"/>
  <c r="E22" i="12"/>
  <c r="F22" i="12" s="1"/>
  <c r="D22" i="12"/>
  <c r="M21" i="12"/>
  <c r="E21" i="12"/>
  <c r="F21" i="12" s="1"/>
  <c r="D21" i="12"/>
  <c r="M20" i="12"/>
  <c r="E20" i="12"/>
  <c r="F20" i="12" s="1"/>
  <c r="D20" i="12"/>
  <c r="M19" i="12"/>
  <c r="E19" i="12"/>
  <c r="F19" i="12" s="1"/>
  <c r="L19" i="12" s="1"/>
  <c r="D19" i="12"/>
  <c r="M18" i="12"/>
  <c r="E18" i="12"/>
  <c r="F18" i="12" s="1"/>
  <c r="D18" i="12"/>
  <c r="M17" i="12"/>
  <c r="E17" i="12"/>
  <c r="F17" i="12" s="1"/>
  <c r="D17" i="12"/>
  <c r="M16" i="12"/>
  <c r="E16" i="12"/>
  <c r="F16" i="12" s="1"/>
  <c r="D16" i="12"/>
  <c r="M15" i="12"/>
  <c r="E15" i="12"/>
  <c r="F15" i="12" s="1"/>
  <c r="D15" i="12"/>
  <c r="M14" i="12"/>
  <c r="E14" i="12"/>
  <c r="F14" i="12" s="1"/>
  <c r="D14" i="12"/>
  <c r="M13" i="12"/>
  <c r="E13" i="12"/>
  <c r="F13" i="12" s="1"/>
  <c r="L13" i="12" s="1"/>
  <c r="D13" i="12"/>
  <c r="M12" i="12"/>
  <c r="E12" i="12"/>
  <c r="F12" i="12" s="1"/>
  <c r="D12" i="12"/>
  <c r="M11" i="12"/>
  <c r="E11" i="12"/>
  <c r="F11" i="12" s="1"/>
  <c r="K11" i="12" s="1"/>
  <c r="D11" i="12"/>
  <c r="M10" i="12"/>
  <c r="E10" i="12"/>
  <c r="F10" i="12" s="1"/>
  <c r="D10" i="12"/>
  <c r="M9" i="12"/>
  <c r="E9" i="12"/>
  <c r="F9" i="12" s="1"/>
  <c r="D9" i="12"/>
  <c r="M8" i="12"/>
  <c r="E8" i="12"/>
  <c r="F8" i="12" s="1"/>
  <c r="D8" i="12"/>
  <c r="M7" i="12"/>
  <c r="E7" i="12"/>
  <c r="F7" i="12" s="1"/>
  <c r="D7" i="12"/>
  <c r="M6" i="12"/>
  <c r="E6" i="12"/>
  <c r="F6" i="12" s="1"/>
  <c r="J6" i="12" s="1"/>
  <c r="D6" i="12"/>
  <c r="I3" i="12"/>
  <c r="H3" i="12"/>
  <c r="H39" i="12" s="1"/>
  <c r="E15" i="11"/>
  <c r="G15" i="11"/>
  <c r="I180" i="11" l="1"/>
  <c r="I183" i="11"/>
  <c r="O15" i="11"/>
  <c r="O42" i="12"/>
  <c r="H19" i="12"/>
  <c r="I21" i="12"/>
  <c r="M33" i="12"/>
  <c r="J26" i="12"/>
  <c r="K26" i="12"/>
  <c r="L26" i="12"/>
  <c r="K38" i="12"/>
  <c r="O38" i="12" s="1"/>
  <c r="K35" i="12"/>
  <c r="H18" i="12"/>
  <c r="L36" i="12"/>
  <c r="L38" i="12"/>
  <c r="H16" i="12"/>
  <c r="H27" i="12"/>
  <c r="L43" i="12"/>
  <c r="H9" i="12"/>
  <c r="H11" i="12"/>
  <c r="H31" i="12"/>
  <c r="L39" i="12"/>
  <c r="O41" i="12"/>
  <c r="K15" i="12"/>
  <c r="L15" i="12"/>
  <c r="L18" i="12"/>
  <c r="K18" i="12"/>
  <c r="J18" i="12"/>
  <c r="K21" i="12"/>
  <c r="J21" i="12"/>
  <c r="L8" i="12"/>
  <c r="K8" i="12"/>
  <c r="J11" i="12"/>
  <c r="J13" i="12"/>
  <c r="I15" i="12"/>
  <c r="K23" i="12"/>
  <c r="K28" i="12"/>
  <c r="O37" i="12"/>
  <c r="I23" i="12"/>
  <c r="I8" i="12"/>
  <c r="L11" i="12"/>
  <c r="B45" i="12"/>
  <c r="J39" i="12"/>
  <c r="O39" i="12" s="1"/>
  <c r="P39" i="12" s="1"/>
  <c r="M43" i="12"/>
  <c r="F43" i="12"/>
  <c r="I13" i="12"/>
  <c r="H24" i="12"/>
  <c r="O40" i="12"/>
  <c r="I6" i="12"/>
  <c r="M29" i="12"/>
  <c r="K20" i="12"/>
  <c r="J20" i="12"/>
  <c r="L20" i="12"/>
  <c r="J9" i="12"/>
  <c r="L9" i="12"/>
  <c r="K9" i="12"/>
  <c r="I9" i="12"/>
  <c r="L33" i="12"/>
  <c r="J25" i="12"/>
  <c r="L25" i="12"/>
  <c r="K25" i="12"/>
  <c r="J17" i="12"/>
  <c r="L17" i="12"/>
  <c r="K17" i="12"/>
  <c r="K22" i="12"/>
  <c r="J22" i="12"/>
  <c r="L22" i="12"/>
  <c r="K32" i="12"/>
  <c r="J32" i="12"/>
  <c r="L32" i="12"/>
  <c r="J10" i="12"/>
  <c r="L10" i="12"/>
  <c r="K10" i="12"/>
  <c r="L12" i="12"/>
  <c r="K12" i="12"/>
  <c r="J12" i="12"/>
  <c r="K14" i="12"/>
  <c r="J14" i="12"/>
  <c r="L14" i="12"/>
  <c r="I20" i="12"/>
  <c r="K7" i="12"/>
  <c r="J7" i="12"/>
  <c r="L7" i="12"/>
  <c r="I24" i="12"/>
  <c r="L24" i="12"/>
  <c r="J24" i="12"/>
  <c r="K24" i="12"/>
  <c r="I16" i="12"/>
  <c r="L16" i="12"/>
  <c r="K16" i="12"/>
  <c r="J16" i="12"/>
  <c r="H26" i="12"/>
  <c r="H35" i="12"/>
  <c r="H36" i="12"/>
  <c r="H6" i="12"/>
  <c r="J8" i="12"/>
  <c r="O8" i="12" s="1"/>
  <c r="P8" i="12" s="1"/>
  <c r="I11" i="12"/>
  <c r="O11" i="12" s="1"/>
  <c r="P11" i="12" s="1"/>
  <c r="H13" i="12"/>
  <c r="J15" i="12"/>
  <c r="I18" i="12"/>
  <c r="H21" i="12"/>
  <c r="J23" i="12"/>
  <c r="O23" i="12" s="1"/>
  <c r="I26" i="12"/>
  <c r="L28" i="12"/>
  <c r="J35" i="12"/>
  <c r="J36" i="12"/>
  <c r="H7" i="12"/>
  <c r="K13" i="12"/>
  <c r="L6" i="12"/>
  <c r="I7" i="12"/>
  <c r="H10" i="12"/>
  <c r="I14" i="12"/>
  <c r="H17" i="12"/>
  <c r="J19" i="12"/>
  <c r="L21" i="12"/>
  <c r="I22" i="12"/>
  <c r="H25" i="12"/>
  <c r="J27" i="12"/>
  <c r="H28" i="12"/>
  <c r="K31" i="12"/>
  <c r="H32" i="12"/>
  <c r="H41" i="12"/>
  <c r="K6" i="12"/>
  <c r="H22" i="12"/>
  <c r="J31" i="12"/>
  <c r="H42" i="12"/>
  <c r="P42" i="12" s="1"/>
  <c r="I10" i="12"/>
  <c r="H12" i="12"/>
  <c r="I17" i="12"/>
  <c r="K19" i="12"/>
  <c r="H20" i="12"/>
  <c r="I25" i="12"/>
  <c r="K27" i="12"/>
  <c r="I28" i="12"/>
  <c r="H40" i="12"/>
  <c r="H14" i="12"/>
  <c r="I19" i="12"/>
  <c r="I27" i="12"/>
  <c r="H8" i="12"/>
  <c r="I12" i="12"/>
  <c r="H15" i="12"/>
  <c r="H23" i="12"/>
  <c r="H37" i="12"/>
  <c r="P37" i="12" s="1"/>
  <c r="H38" i="12"/>
  <c r="O16" i="11"/>
  <c r="P41" i="12" l="1"/>
  <c r="O26" i="12"/>
  <c r="P26" i="12" s="1"/>
  <c r="O15" i="12"/>
  <c r="K43" i="12"/>
  <c r="K33" i="12"/>
  <c r="O36" i="12"/>
  <c r="P36" i="12" s="1"/>
  <c r="K29" i="12"/>
  <c r="O13" i="12"/>
  <c r="P13" i="12" s="1"/>
  <c r="O22" i="12"/>
  <c r="P22" i="12" s="1"/>
  <c r="P38" i="12"/>
  <c r="P40" i="12"/>
  <c r="O19" i="12"/>
  <c r="P19" i="12" s="1"/>
  <c r="P10" i="12"/>
  <c r="O20" i="12"/>
  <c r="P20" i="12" s="1"/>
  <c r="O21" i="12"/>
  <c r="P21" i="12" s="1"/>
  <c r="O32" i="12"/>
  <c r="P32" i="12" s="1"/>
  <c r="O10" i="12"/>
  <c r="O18" i="12"/>
  <c r="P18" i="12" s="1"/>
  <c r="P23" i="12"/>
  <c r="P15" i="12"/>
  <c r="J29" i="12"/>
  <c r="H29" i="12"/>
  <c r="O17" i="12"/>
  <c r="P17" i="12" s="1"/>
  <c r="F45" i="12"/>
  <c r="O6" i="12"/>
  <c r="L29" i="12"/>
  <c r="H43" i="12"/>
  <c r="O12" i="12"/>
  <c r="P12" i="12" s="1"/>
  <c r="O24" i="12"/>
  <c r="P24" i="12" s="1"/>
  <c r="H33" i="12"/>
  <c r="O28" i="12"/>
  <c r="P28" i="12" s="1"/>
  <c r="O14" i="12"/>
  <c r="P14" i="12" s="1"/>
  <c r="O25" i="12"/>
  <c r="P25" i="12" s="1"/>
  <c r="J33" i="12"/>
  <c r="O31" i="12"/>
  <c r="J43" i="12"/>
  <c r="O35" i="12"/>
  <c r="O16" i="12"/>
  <c r="P16" i="12" s="1"/>
  <c r="I29" i="12"/>
  <c r="O27" i="12"/>
  <c r="P27" i="12" s="1"/>
  <c r="O7" i="12"/>
  <c r="P7" i="12" s="1"/>
  <c r="O9" i="12"/>
  <c r="P9" i="12" s="1"/>
  <c r="M74" i="11"/>
  <c r="M73" i="11"/>
  <c r="M66" i="11"/>
  <c r="M62" i="11"/>
  <c r="I46" i="9"/>
  <c r="J46" i="9"/>
  <c r="K46" i="9"/>
  <c r="L46" i="9"/>
  <c r="M46" i="9"/>
  <c r="N46" i="9"/>
  <c r="O46" i="9"/>
  <c r="P46" i="9"/>
  <c r="H46" i="9"/>
  <c r="M45" i="9"/>
  <c r="L45" i="9"/>
  <c r="K45" i="9"/>
  <c r="J45" i="9"/>
  <c r="I45" i="9"/>
  <c r="O45" i="9" s="1"/>
  <c r="H45" i="9"/>
  <c r="P45" i="9" s="1"/>
  <c r="M44" i="9"/>
  <c r="L44" i="9"/>
  <c r="K44" i="9"/>
  <c r="J44" i="9"/>
  <c r="I44" i="9"/>
  <c r="O44" i="9" s="1"/>
  <c r="H44" i="9"/>
  <c r="P44" i="9" s="1"/>
  <c r="M43" i="9"/>
  <c r="L43" i="9"/>
  <c r="K43" i="9"/>
  <c r="J43" i="9"/>
  <c r="I43" i="9"/>
  <c r="O43" i="9" s="1"/>
  <c r="H43" i="9"/>
  <c r="P43" i="9" s="1"/>
  <c r="M42" i="9"/>
  <c r="L42" i="9"/>
  <c r="K42" i="9"/>
  <c r="J42" i="9"/>
  <c r="I42" i="9"/>
  <c r="O42" i="9" s="1"/>
  <c r="H42" i="9"/>
  <c r="P42" i="9" s="1"/>
  <c r="I35" i="9"/>
  <c r="J35" i="9"/>
  <c r="K35" i="9"/>
  <c r="L35" i="9"/>
  <c r="M35" i="9"/>
  <c r="N35" i="9"/>
  <c r="O35" i="9"/>
  <c r="P35" i="9"/>
  <c r="H35" i="9"/>
  <c r="M34" i="9"/>
  <c r="L34" i="9"/>
  <c r="K34" i="9"/>
  <c r="J34" i="9"/>
  <c r="I34" i="9"/>
  <c r="O34" i="9" s="1"/>
  <c r="H34" i="9"/>
  <c r="M33" i="9"/>
  <c r="L33" i="9"/>
  <c r="K33" i="9"/>
  <c r="J33" i="9"/>
  <c r="I33" i="9"/>
  <c r="O33" i="9" s="1"/>
  <c r="H33" i="9"/>
  <c r="P33" i="9" s="1"/>
  <c r="M32" i="9"/>
  <c r="L32" i="9"/>
  <c r="K32" i="9"/>
  <c r="J32" i="9"/>
  <c r="I32" i="9"/>
  <c r="O32" i="9" s="1"/>
  <c r="H32" i="9"/>
  <c r="P32" i="9" s="1"/>
  <c r="M31" i="9"/>
  <c r="L31" i="9"/>
  <c r="K31" i="9"/>
  <c r="J31" i="9"/>
  <c r="I31" i="9"/>
  <c r="O31" i="9" s="1"/>
  <c r="H31" i="9"/>
  <c r="M30" i="9"/>
  <c r="L30" i="9"/>
  <c r="K30" i="9"/>
  <c r="J30" i="9"/>
  <c r="I30" i="9"/>
  <c r="O30" i="9" s="1"/>
  <c r="H30" i="9"/>
  <c r="P30" i="9" s="1"/>
  <c r="M29" i="9"/>
  <c r="L29" i="9"/>
  <c r="K29" i="9"/>
  <c r="J29" i="9"/>
  <c r="I29" i="9"/>
  <c r="O29" i="9" s="1"/>
  <c r="H29" i="9"/>
  <c r="P29" i="9" s="1"/>
  <c r="M28" i="9"/>
  <c r="L28" i="9"/>
  <c r="K28" i="9"/>
  <c r="J28" i="9"/>
  <c r="I28" i="9"/>
  <c r="O28" i="9" s="1"/>
  <c r="H28" i="9"/>
  <c r="P28" i="9" s="1"/>
  <c r="M27" i="9"/>
  <c r="L27" i="9"/>
  <c r="K27" i="9"/>
  <c r="J27" i="9"/>
  <c r="I27" i="9"/>
  <c r="O27" i="9" s="1"/>
  <c r="H27" i="9"/>
  <c r="P27" i="9" s="1"/>
  <c r="I24" i="9"/>
  <c r="J24" i="9"/>
  <c r="K24" i="9"/>
  <c r="L24" i="9"/>
  <c r="M24" i="9"/>
  <c r="N24" i="9"/>
  <c r="O24" i="9"/>
  <c r="P24" i="9"/>
  <c r="H24" i="9"/>
  <c r="H23" i="9"/>
  <c r="I23" i="9"/>
  <c r="J23" i="9"/>
  <c r="K23" i="9"/>
  <c r="L23" i="9"/>
  <c r="M23" i="9"/>
  <c r="O23" i="9"/>
  <c r="P23" i="9" s="1"/>
  <c r="M22" i="9"/>
  <c r="L22" i="9"/>
  <c r="K22" i="9"/>
  <c r="J22" i="9"/>
  <c r="I22" i="9"/>
  <c r="O22" i="9" s="1"/>
  <c r="H22" i="9"/>
  <c r="P22" i="9" s="1"/>
  <c r="I19" i="9"/>
  <c r="J19" i="9"/>
  <c r="K19" i="9"/>
  <c r="L19" i="9"/>
  <c r="M19" i="9"/>
  <c r="N19" i="9"/>
  <c r="O19" i="9"/>
  <c r="P19" i="9"/>
  <c r="H19" i="9"/>
  <c r="P5" i="9"/>
  <c r="P6" i="9"/>
  <c r="P7" i="9"/>
  <c r="P8" i="9"/>
  <c r="P9" i="9"/>
  <c r="P10" i="9"/>
  <c r="P11" i="9"/>
  <c r="P12" i="9"/>
  <c r="P13" i="9"/>
  <c r="P14" i="9"/>
  <c r="P15" i="9"/>
  <c r="P16" i="9"/>
  <c r="P17" i="9"/>
  <c r="P18" i="9"/>
  <c r="P4" i="9"/>
  <c r="O5" i="9"/>
  <c r="O6" i="9"/>
  <c r="O7" i="9"/>
  <c r="O8" i="9"/>
  <c r="O9" i="9"/>
  <c r="O10" i="9"/>
  <c r="O11" i="9"/>
  <c r="O12" i="9"/>
  <c r="O13" i="9"/>
  <c r="O14" i="9"/>
  <c r="O15" i="9"/>
  <c r="O16" i="9"/>
  <c r="O17" i="9"/>
  <c r="O18" i="9"/>
  <c r="O4" i="9"/>
  <c r="M5" i="9"/>
  <c r="M6" i="9"/>
  <c r="M7" i="9"/>
  <c r="M8" i="9"/>
  <c r="M9" i="9"/>
  <c r="M10" i="9"/>
  <c r="M11" i="9"/>
  <c r="M12" i="9"/>
  <c r="M13" i="9"/>
  <c r="M14" i="9"/>
  <c r="M15" i="9"/>
  <c r="M16" i="9"/>
  <c r="M17" i="9"/>
  <c r="M18" i="9"/>
  <c r="M4" i="9"/>
  <c r="L5" i="9"/>
  <c r="L6" i="9"/>
  <c r="L7" i="9"/>
  <c r="L8" i="9"/>
  <c r="L9" i="9"/>
  <c r="L10" i="9"/>
  <c r="L11" i="9"/>
  <c r="L12" i="9"/>
  <c r="L13" i="9"/>
  <c r="L14" i="9"/>
  <c r="L15" i="9"/>
  <c r="L16" i="9"/>
  <c r="L17" i="9"/>
  <c r="L18" i="9"/>
  <c r="L4" i="9"/>
  <c r="K5" i="9"/>
  <c r="K6" i="9"/>
  <c r="K7" i="9"/>
  <c r="K8" i="9"/>
  <c r="K9" i="9"/>
  <c r="K10" i="9"/>
  <c r="K11" i="9"/>
  <c r="K12" i="9"/>
  <c r="K13" i="9"/>
  <c r="K14" i="9"/>
  <c r="K15" i="9"/>
  <c r="K16" i="9"/>
  <c r="K17" i="9"/>
  <c r="K18" i="9"/>
  <c r="K4" i="9"/>
  <c r="J5" i="9"/>
  <c r="J6" i="9"/>
  <c r="J7" i="9"/>
  <c r="J8" i="9"/>
  <c r="J9" i="9"/>
  <c r="J10" i="9"/>
  <c r="J11" i="9"/>
  <c r="J12" i="9"/>
  <c r="J13" i="9"/>
  <c r="J14" i="9"/>
  <c r="J15" i="9"/>
  <c r="J16" i="9"/>
  <c r="J17" i="9"/>
  <c r="J18" i="9"/>
  <c r="J4" i="9"/>
  <c r="I5" i="9"/>
  <c r="I6" i="9"/>
  <c r="I7" i="9"/>
  <c r="I8" i="9"/>
  <c r="I9" i="9"/>
  <c r="I10" i="9"/>
  <c r="I11" i="9"/>
  <c r="I12" i="9"/>
  <c r="I13" i="9"/>
  <c r="I14" i="9"/>
  <c r="I15" i="9"/>
  <c r="I16" i="9"/>
  <c r="I17" i="9"/>
  <c r="I18" i="9"/>
  <c r="I4" i="9"/>
  <c r="H5" i="9"/>
  <c r="H6" i="9"/>
  <c r="H7" i="9"/>
  <c r="H8" i="9"/>
  <c r="H9" i="9"/>
  <c r="H10" i="9"/>
  <c r="H11" i="9"/>
  <c r="H12" i="9"/>
  <c r="H13" i="9"/>
  <c r="H14" i="9"/>
  <c r="H15" i="9"/>
  <c r="H16" i="9"/>
  <c r="H17" i="9"/>
  <c r="H18" i="9"/>
  <c r="H4" i="9"/>
  <c r="I3" i="9"/>
  <c r="H3" i="9"/>
  <c r="O43" i="12" l="1"/>
  <c r="O33" i="12"/>
  <c r="P31" i="12"/>
  <c r="P33" i="12" s="1"/>
  <c r="P35" i="12"/>
  <c r="P43" i="12" s="1"/>
  <c r="O29" i="12"/>
  <c r="P6" i="12"/>
  <c r="P29" i="12" s="1"/>
  <c r="P34" i="9"/>
  <c r="P31" i="9"/>
  <c r="L29" i="6"/>
  <c r="K29" i="6"/>
  <c r="J29" i="6"/>
  <c r="L23" i="6"/>
  <c r="E23" i="6"/>
  <c r="L20" i="6"/>
  <c r="K23" i="6"/>
  <c r="J23" i="6"/>
  <c r="K20" i="6"/>
  <c r="J20" i="6"/>
  <c r="O20" i="6" s="1"/>
  <c r="P20" i="6" s="1"/>
  <c r="I29" i="6"/>
  <c r="H29" i="6"/>
  <c r="M29" i="6"/>
  <c r="M30" i="6"/>
  <c r="O30" i="6" s="1"/>
  <c r="P30" i="6" s="1"/>
  <c r="M31" i="6"/>
  <c r="O31" i="6" s="1"/>
  <c r="M17" i="6"/>
  <c r="M10" i="6"/>
  <c r="L10" i="6"/>
  <c r="K10" i="6"/>
  <c r="J10" i="6"/>
  <c r="H20" i="6"/>
  <c r="I20" i="6"/>
  <c r="M20" i="6"/>
  <c r="H21" i="6"/>
  <c r="P21" i="6" s="1"/>
  <c r="I21" i="6"/>
  <c r="J21" i="6"/>
  <c r="K21" i="6"/>
  <c r="L21" i="6"/>
  <c r="M21" i="6"/>
  <c r="O21" i="6"/>
  <c r="H22" i="6"/>
  <c r="I22" i="6"/>
  <c r="J22" i="6"/>
  <c r="K22" i="6"/>
  <c r="L22" i="6"/>
  <c r="M22" i="6"/>
  <c r="O22" i="6"/>
  <c r="P22" i="6"/>
  <c r="H23" i="6"/>
  <c r="I23" i="6"/>
  <c r="M23" i="6"/>
  <c r="H17" i="6"/>
  <c r="I17" i="6"/>
  <c r="J17" i="6"/>
  <c r="O17" i="6" s="1"/>
  <c r="P17" i="6" s="1"/>
  <c r="K17" i="6"/>
  <c r="L17" i="6"/>
  <c r="I10" i="6"/>
  <c r="H10" i="6"/>
  <c r="K75" i="11"/>
  <c r="O75" i="11" s="1"/>
  <c r="K73" i="11"/>
  <c r="O56" i="6"/>
  <c r="O55" i="6"/>
  <c r="O54" i="6"/>
  <c r="O53" i="6"/>
  <c r="O52" i="6"/>
  <c r="O51" i="6"/>
  <c r="O50" i="6"/>
  <c r="O49" i="6"/>
  <c r="O48" i="6"/>
  <c r="O45" i="6"/>
  <c r="O44" i="6"/>
  <c r="O6" i="6"/>
  <c r="O7" i="6"/>
  <c r="O8" i="6"/>
  <c r="P8" i="6" s="1"/>
  <c r="O9" i="6"/>
  <c r="O11" i="6"/>
  <c r="O12" i="6"/>
  <c r="O13" i="6"/>
  <c r="O14" i="6"/>
  <c r="O15" i="6"/>
  <c r="O16" i="6"/>
  <c r="O18" i="6"/>
  <c r="O19" i="6"/>
  <c r="O24" i="6"/>
  <c r="O25" i="6"/>
  <c r="O26" i="6"/>
  <c r="O27" i="6"/>
  <c r="P27" i="6" s="1"/>
  <c r="O28" i="6"/>
  <c r="P28" i="6" s="1"/>
  <c r="O32" i="6"/>
  <c r="O33" i="6"/>
  <c r="O34" i="6"/>
  <c r="O35" i="6"/>
  <c r="O36" i="6"/>
  <c r="O37" i="6"/>
  <c r="O38" i="6"/>
  <c r="O39" i="6"/>
  <c r="O40" i="6"/>
  <c r="P40" i="6" s="1"/>
  <c r="O5" i="6"/>
  <c r="I4" i="6"/>
  <c r="J57" i="6"/>
  <c r="K57" i="6"/>
  <c r="L57" i="6"/>
  <c r="M57" i="6"/>
  <c r="N57" i="6"/>
  <c r="O57" i="6"/>
  <c r="H57" i="6"/>
  <c r="J46" i="6"/>
  <c r="K46" i="6"/>
  <c r="L46" i="6"/>
  <c r="M46" i="6"/>
  <c r="N46" i="6"/>
  <c r="H46" i="6"/>
  <c r="N41" i="6"/>
  <c r="M56" i="6"/>
  <c r="L56" i="6"/>
  <c r="K56" i="6"/>
  <c r="J56" i="6"/>
  <c r="I56" i="6"/>
  <c r="H56" i="6"/>
  <c r="M55" i="6"/>
  <c r="L55" i="6"/>
  <c r="K55" i="6"/>
  <c r="J55" i="6"/>
  <c r="I55" i="6"/>
  <c r="H55" i="6"/>
  <c r="M54" i="6"/>
  <c r="L54" i="6"/>
  <c r="K54" i="6"/>
  <c r="J54" i="6"/>
  <c r="I54" i="6"/>
  <c r="P54" i="6" s="1"/>
  <c r="H54" i="6"/>
  <c r="M53" i="6"/>
  <c r="L53" i="6"/>
  <c r="K53" i="6"/>
  <c r="J53" i="6"/>
  <c r="I53" i="6"/>
  <c r="H53" i="6"/>
  <c r="M52" i="6"/>
  <c r="L52" i="6"/>
  <c r="K52" i="6"/>
  <c r="J52" i="6"/>
  <c r="I52" i="6"/>
  <c r="H52" i="6"/>
  <c r="M51" i="6"/>
  <c r="L51" i="6"/>
  <c r="K51" i="6"/>
  <c r="J51" i="6"/>
  <c r="I51" i="6"/>
  <c r="H51" i="6"/>
  <c r="P51" i="6" s="1"/>
  <c r="M50" i="6"/>
  <c r="L50" i="6"/>
  <c r="K50" i="6"/>
  <c r="J50" i="6"/>
  <c r="I50" i="6"/>
  <c r="H50" i="6"/>
  <c r="M49" i="6"/>
  <c r="L49" i="6"/>
  <c r="K49" i="6"/>
  <c r="J49" i="6"/>
  <c r="I49" i="6"/>
  <c r="H49" i="6"/>
  <c r="M48" i="6"/>
  <c r="L48" i="6"/>
  <c r="K48" i="6"/>
  <c r="J48" i="6"/>
  <c r="I48" i="6"/>
  <c r="P48" i="6" s="1"/>
  <c r="H48" i="6"/>
  <c r="M45" i="6"/>
  <c r="L45" i="6"/>
  <c r="K45" i="6"/>
  <c r="J45" i="6"/>
  <c r="I45" i="6"/>
  <c r="H45" i="6"/>
  <c r="M44" i="6"/>
  <c r="L44" i="6"/>
  <c r="K44" i="6"/>
  <c r="J44" i="6"/>
  <c r="I44" i="6"/>
  <c r="H44" i="6"/>
  <c r="P34" i="6"/>
  <c r="P6" i="6"/>
  <c r="P35" i="6"/>
  <c r="P36" i="6"/>
  <c r="M6" i="6"/>
  <c r="M7" i="6"/>
  <c r="M8" i="6"/>
  <c r="M9" i="6"/>
  <c r="M11" i="6"/>
  <c r="M12" i="6"/>
  <c r="M13" i="6"/>
  <c r="M14" i="6"/>
  <c r="M15" i="6"/>
  <c r="M16" i="6"/>
  <c r="M18" i="6"/>
  <c r="M19" i="6"/>
  <c r="M24" i="6"/>
  <c r="M25" i="6"/>
  <c r="M26" i="6"/>
  <c r="M27" i="6"/>
  <c r="M28" i="6"/>
  <c r="M32" i="6"/>
  <c r="M33" i="6"/>
  <c r="M34" i="6"/>
  <c r="M35" i="6"/>
  <c r="M36" i="6"/>
  <c r="M37" i="6"/>
  <c r="M38" i="6"/>
  <c r="M39" i="6"/>
  <c r="M40" i="6"/>
  <c r="M5" i="6"/>
  <c r="L6" i="6"/>
  <c r="L7" i="6"/>
  <c r="L8" i="6"/>
  <c r="L9" i="6"/>
  <c r="L11" i="6"/>
  <c r="L12" i="6"/>
  <c r="L13" i="6"/>
  <c r="L14" i="6"/>
  <c r="L15" i="6"/>
  <c r="L16" i="6"/>
  <c r="L18" i="6"/>
  <c r="L19" i="6"/>
  <c r="L24" i="6"/>
  <c r="L25" i="6"/>
  <c r="L26" i="6"/>
  <c r="L27" i="6"/>
  <c r="L28" i="6"/>
  <c r="L30" i="6"/>
  <c r="L31" i="6"/>
  <c r="L32" i="6"/>
  <c r="L33" i="6"/>
  <c r="L34" i="6"/>
  <c r="L35" i="6"/>
  <c r="L36" i="6"/>
  <c r="L37" i="6"/>
  <c r="L38" i="6"/>
  <c r="L39" i="6"/>
  <c r="L40" i="6"/>
  <c r="L5" i="6"/>
  <c r="K6" i="6"/>
  <c r="K7" i="6"/>
  <c r="K8" i="6"/>
  <c r="K9" i="6"/>
  <c r="K11" i="6"/>
  <c r="K12" i="6"/>
  <c r="K13" i="6"/>
  <c r="K14" i="6"/>
  <c r="K15" i="6"/>
  <c r="K16" i="6"/>
  <c r="K18" i="6"/>
  <c r="K19" i="6"/>
  <c r="K24" i="6"/>
  <c r="K25" i="6"/>
  <c r="K26" i="6"/>
  <c r="K27" i="6"/>
  <c r="K28" i="6"/>
  <c r="K30" i="6"/>
  <c r="K31" i="6"/>
  <c r="K32" i="6"/>
  <c r="K33" i="6"/>
  <c r="K34" i="6"/>
  <c r="K35" i="6"/>
  <c r="K36" i="6"/>
  <c r="K37" i="6"/>
  <c r="K38" i="6"/>
  <c r="K39" i="6"/>
  <c r="K40" i="6"/>
  <c r="K5" i="6"/>
  <c r="J6" i="6"/>
  <c r="J7" i="6"/>
  <c r="J8" i="6"/>
  <c r="J9" i="6"/>
  <c r="J11" i="6"/>
  <c r="J12" i="6"/>
  <c r="J13" i="6"/>
  <c r="J14" i="6"/>
  <c r="J15" i="6"/>
  <c r="J16" i="6"/>
  <c r="J18" i="6"/>
  <c r="J19" i="6"/>
  <c r="J24" i="6"/>
  <c r="J25" i="6"/>
  <c r="J26" i="6"/>
  <c r="J27" i="6"/>
  <c r="J28" i="6"/>
  <c r="J30" i="6"/>
  <c r="J31" i="6"/>
  <c r="J32" i="6"/>
  <c r="J33" i="6"/>
  <c r="J34" i="6"/>
  <c r="J35" i="6"/>
  <c r="J36" i="6"/>
  <c r="J37" i="6"/>
  <c r="J38" i="6"/>
  <c r="J39" i="6"/>
  <c r="J40" i="6"/>
  <c r="J5" i="6"/>
  <c r="I6" i="6"/>
  <c r="I7" i="6"/>
  <c r="P7" i="6" s="1"/>
  <c r="I8" i="6"/>
  <c r="I9" i="6"/>
  <c r="P9" i="6" s="1"/>
  <c r="I11" i="6"/>
  <c r="I12" i="6"/>
  <c r="I13" i="6"/>
  <c r="I14" i="6"/>
  <c r="I15" i="6"/>
  <c r="I16" i="6"/>
  <c r="P16" i="6" s="1"/>
  <c r="I18" i="6"/>
  <c r="P18" i="6" s="1"/>
  <c r="I19" i="6"/>
  <c r="P19" i="6" s="1"/>
  <c r="I24" i="6"/>
  <c r="P24" i="6" s="1"/>
  <c r="I25" i="6"/>
  <c r="P25" i="6" s="1"/>
  <c r="I26" i="6"/>
  <c r="P26" i="6" s="1"/>
  <c r="I27" i="6"/>
  <c r="I28" i="6"/>
  <c r="I30" i="6"/>
  <c r="I31" i="6"/>
  <c r="I32" i="6"/>
  <c r="P32" i="6" s="1"/>
  <c r="I33" i="6"/>
  <c r="I34" i="6"/>
  <c r="I35" i="6"/>
  <c r="I36" i="6"/>
  <c r="I37" i="6"/>
  <c r="P37" i="6" s="1"/>
  <c r="I38" i="6"/>
  <c r="P38" i="6" s="1"/>
  <c r="I39" i="6"/>
  <c r="P39" i="6" s="1"/>
  <c r="I40" i="6"/>
  <c r="I5" i="6"/>
  <c r="H6" i="6"/>
  <c r="H7" i="6"/>
  <c r="H8" i="6"/>
  <c r="H9" i="6"/>
  <c r="H11" i="6"/>
  <c r="H12" i="6"/>
  <c r="H13" i="6"/>
  <c r="H14" i="6"/>
  <c r="H15" i="6"/>
  <c r="H16" i="6"/>
  <c r="H18" i="6"/>
  <c r="H19" i="6"/>
  <c r="H24" i="6"/>
  <c r="H25" i="6"/>
  <c r="H26" i="6"/>
  <c r="H27" i="6"/>
  <c r="H28" i="6"/>
  <c r="H30" i="6"/>
  <c r="H31" i="6"/>
  <c r="H32" i="6"/>
  <c r="H33" i="6"/>
  <c r="H34" i="6"/>
  <c r="H35" i="6"/>
  <c r="H36" i="6"/>
  <c r="H37" i="6"/>
  <c r="H38" i="6"/>
  <c r="H39" i="6"/>
  <c r="H40" i="6"/>
  <c r="H5" i="6"/>
  <c r="H4" i="6"/>
  <c r="I43" i="5"/>
  <c r="N43" i="5"/>
  <c r="I33" i="5"/>
  <c r="N33" i="5"/>
  <c r="N29" i="5"/>
  <c r="M42" i="5"/>
  <c r="L42" i="5"/>
  <c r="K42" i="5"/>
  <c r="M41" i="5"/>
  <c r="L41" i="5"/>
  <c r="K41" i="5"/>
  <c r="M40" i="5"/>
  <c r="L40" i="5"/>
  <c r="K40" i="5"/>
  <c r="M39" i="5"/>
  <c r="M38" i="5"/>
  <c r="M37" i="5"/>
  <c r="L37" i="5"/>
  <c r="K37" i="5"/>
  <c r="M36" i="5"/>
  <c r="M35" i="5"/>
  <c r="M32" i="5"/>
  <c r="M31" i="5"/>
  <c r="M7" i="5"/>
  <c r="M8" i="5"/>
  <c r="M9" i="5"/>
  <c r="M10" i="5"/>
  <c r="M11" i="5"/>
  <c r="M12" i="5"/>
  <c r="M13" i="5"/>
  <c r="M14" i="5"/>
  <c r="M15" i="5"/>
  <c r="M16" i="5"/>
  <c r="M17" i="5"/>
  <c r="M18" i="5"/>
  <c r="M19" i="5"/>
  <c r="M20" i="5"/>
  <c r="M21" i="5"/>
  <c r="M22" i="5"/>
  <c r="M23" i="5"/>
  <c r="M24" i="5"/>
  <c r="M25" i="5"/>
  <c r="M26" i="5"/>
  <c r="M27" i="5"/>
  <c r="M28" i="5"/>
  <c r="M6" i="5"/>
  <c r="J42" i="5"/>
  <c r="J41" i="5"/>
  <c r="J40" i="5"/>
  <c r="J37" i="5"/>
  <c r="E74" i="11"/>
  <c r="E73" i="11"/>
  <c r="E66" i="11"/>
  <c r="E64" i="11"/>
  <c r="E62" i="11"/>
  <c r="C74" i="11"/>
  <c r="Q20" i="8"/>
  <c r="Q19" i="8"/>
  <c r="Q18" i="8"/>
  <c r="Q5" i="8"/>
  <c r="Q6" i="8"/>
  <c r="Q7" i="8"/>
  <c r="Q8" i="8"/>
  <c r="Q9" i="8"/>
  <c r="Q10" i="8"/>
  <c r="Q11" i="8"/>
  <c r="Q12" i="8"/>
  <c r="Q4" i="8"/>
  <c r="M43" i="5" l="1"/>
  <c r="O40" i="5"/>
  <c r="M29" i="5"/>
  <c r="M33" i="5"/>
  <c r="O41" i="5"/>
  <c r="O42" i="5"/>
  <c r="O37" i="5"/>
  <c r="O29" i="6"/>
  <c r="P29" i="6" s="1"/>
  <c r="K41" i="6"/>
  <c r="O23" i="6"/>
  <c r="P23" i="6" s="1"/>
  <c r="M41" i="6"/>
  <c r="L41" i="6"/>
  <c r="H41" i="6"/>
  <c r="J41" i="6"/>
  <c r="O10" i="6"/>
  <c r="P10" i="6" s="1"/>
  <c r="P50" i="6"/>
  <c r="P52" i="6"/>
  <c r="P56" i="6"/>
  <c r="P44" i="6"/>
  <c r="P15" i="6"/>
  <c r="P33" i="6"/>
  <c r="P14" i="6"/>
  <c r="P13" i="6"/>
  <c r="P31" i="6"/>
  <c r="P12" i="6"/>
  <c r="P11" i="6"/>
  <c r="P5" i="6"/>
  <c r="P49" i="6"/>
  <c r="I46" i="6"/>
  <c r="I41" i="6"/>
  <c r="I57" i="6"/>
  <c r="O46" i="6"/>
  <c r="K66" i="11" s="1"/>
  <c r="P55" i="6"/>
  <c r="P53" i="6"/>
  <c r="P45" i="6"/>
  <c r="P46" i="6" s="1"/>
  <c r="M29" i="8"/>
  <c r="S29" i="8"/>
  <c r="T29" i="8" s="1"/>
  <c r="M26" i="8"/>
  <c r="I26" i="8"/>
  <c r="M27" i="8"/>
  <c r="N27" i="8"/>
  <c r="O27" i="8"/>
  <c r="P27" i="8"/>
  <c r="Q27" i="8"/>
  <c r="R27" i="8"/>
  <c r="S27" i="8"/>
  <c r="T27" i="8"/>
  <c r="L27" i="8"/>
  <c r="M21" i="8"/>
  <c r="N21" i="8"/>
  <c r="O21" i="8"/>
  <c r="P21" i="8"/>
  <c r="Q21" i="8"/>
  <c r="R21" i="8"/>
  <c r="L21" i="8"/>
  <c r="M13" i="8"/>
  <c r="N13" i="8"/>
  <c r="O13" i="8"/>
  <c r="P13" i="8"/>
  <c r="Q13" i="8"/>
  <c r="R13" i="8"/>
  <c r="L13" i="8"/>
  <c r="Q29" i="8"/>
  <c r="P29" i="8"/>
  <c r="O29" i="8"/>
  <c r="N29" i="8"/>
  <c r="L29" i="8"/>
  <c r="Q26" i="8"/>
  <c r="P26" i="8"/>
  <c r="O26" i="8"/>
  <c r="N26" i="8"/>
  <c r="S26" i="8"/>
  <c r="T26" i="8" s="1"/>
  <c r="L26" i="8"/>
  <c r="L19" i="8"/>
  <c r="M19" i="8"/>
  <c r="N19" i="8"/>
  <c r="O19" i="8"/>
  <c r="P19" i="8"/>
  <c r="S19" i="8"/>
  <c r="T19" i="8" s="1"/>
  <c r="L20" i="8"/>
  <c r="M20" i="8"/>
  <c r="N20" i="8"/>
  <c r="O20" i="8"/>
  <c r="P20" i="8"/>
  <c r="S20" i="8"/>
  <c r="S18" i="8"/>
  <c r="T18" i="8" s="1"/>
  <c r="P18" i="8"/>
  <c r="O18" i="8"/>
  <c r="N18" i="8"/>
  <c r="M18" i="8"/>
  <c r="L18" i="8"/>
  <c r="T5" i="8"/>
  <c r="T6" i="8"/>
  <c r="T7" i="8"/>
  <c r="T8" i="8"/>
  <c r="T9" i="8"/>
  <c r="S5" i="8"/>
  <c r="S6" i="8"/>
  <c r="S7" i="8"/>
  <c r="S8" i="8"/>
  <c r="S9" i="8"/>
  <c r="S10" i="8"/>
  <c r="T10" i="8" s="1"/>
  <c r="S11" i="8"/>
  <c r="T11" i="8" s="1"/>
  <c r="S12" i="8"/>
  <c r="T12" i="8" s="1"/>
  <c r="S4" i="8"/>
  <c r="T4" i="8" s="1"/>
  <c r="P5" i="8"/>
  <c r="P6" i="8"/>
  <c r="P7" i="8"/>
  <c r="P8" i="8"/>
  <c r="P9" i="8"/>
  <c r="P10" i="8"/>
  <c r="P11" i="8"/>
  <c r="P12" i="8"/>
  <c r="P4" i="8"/>
  <c r="O5" i="8"/>
  <c r="O6" i="8"/>
  <c r="O7" i="8"/>
  <c r="O8" i="8"/>
  <c r="O9" i="8"/>
  <c r="O10" i="8"/>
  <c r="O11" i="8"/>
  <c r="O12" i="8"/>
  <c r="O4" i="8"/>
  <c r="N5" i="8"/>
  <c r="N6" i="8"/>
  <c r="N7" i="8"/>
  <c r="N8" i="8"/>
  <c r="N9" i="8"/>
  <c r="N10" i="8"/>
  <c r="N11" i="8"/>
  <c r="N12" i="8"/>
  <c r="N4" i="8"/>
  <c r="M5" i="8"/>
  <c r="M6" i="8"/>
  <c r="M7" i="8"/>
  <c r="M8" i="8"/>
  <c r="M9" i="8"/>
  <c r="M10" i="8"/>
  <c r="M11" i="8"/>
  <c r="M12" i="8"/>
  <c r="M4" i="8"/>
  <c r="L5" i="8"/>
  <c r="L6" i="8"/>
  <c r="L7" i="8"/>
  <c r="L8" i="8"/>
  <c r="L9" i="8"/>
  <c r="L10" i="8"/>
  <c r="L11" i="8"/>
  <c r="L12" i="8"/>
  <c r="M3" i="8"/>
  <c r="L3" i="8"/>
  <c r="I3" i="5"/>
  <c r="H3" i="5"/>
  <c r="I24" i="3"/>
  <c r="J24" i="3"/>
  <c r="K24" i="3"/>
  <c r="L24" i="3"/>
  <c r="M24" i="3"/>
  <c r="N24" i="3"/>
  <c r="O24" i="3"/>
  <c r="P24" i="3"/>
  <c r="H24" i="3"/>
  <c r="I32" i="3"/>
  <c r="J32" i="3"/>
  <c r="K32" i="3"/>
  <c r="L32" i="3"/>
  <c r="M32" i="3"/>
  <c r="N32" i="3"/>
  <c r="O32" i="3"/>
  <c r="P32" i="3"/>
  <c r="H32" i="3"/>
  <c r="I42" i="3"/>
  <c r="J42" i="3"/>
  <c r="K42" i="3"/>
  <c r="L42" i="3"/>
  <c r="M42" i="3"/>
  <c r="N42" i="3"/>
  <c r="O42" i="3"/>
  <c r="P42" i="3"/>
  <c r="H42" i="3"/>
  <c r="M41" i="3"/>
  <c r="L41" i="3"/>
  <c r="K41" i="3"/>
  <c r="J41" i="3"/>
  <c r="I41" i="3"/>
  <c r="O41" i="3" s="1"/>
  <c r="H41" i="3"/>
  <c r="P41" i="3" s="1"/>
  <c r="M40" i="3"/>
  <c r="L40" i="3"/>
  <c r="K40" i="3"/>
  <c r="O40" i="3" s="1"/>
  <c r="J40" i="3"/>
  <c r="I40" i="3"/>
  <c r="H40" i="3"/>
  <c r="P40" i="3" s="1"/>
  <c r="M39" i="3"/>
  <c r="L39" i="3"/>
  <c r="K39" i="3"/>
  <c r="J39" i="3"/>
  <c r="I39" i="3"/>
  <c r="O39" i="3" s="1"/>
  <c r="H39" i="3"/>
  <c r="M38" i="3"/>
  <c r="L38" i="3"/>
  <c r="K38" i="3"/>
  <c r="J38" i="3"/>
  <c r="I38" i="3"/>
  <c r="O38" i="3" s="1"/>
  <c r="H38" i="3"/>
  <c r="M37" i="3"/>
  <c r="L37" i="3"/>
  <c r="K37" i="3"/>
  <c r="J37" i="3"/>
  <c r="I37" i="3"/>
  <c r="O37" i="3" s="1"/>
  <c r="H37" i="3"/>
  <c r="P37" i="3" s="1"/>
  <c r="O36" i="3"/>
  <c r="M36" i="3"/>
  <c r="L36" i="3"/>
  <c r="K36" i="3"/>
  <c r="J36" i="3"/>
  <c r="I36" i="3"/>
  <c r="H36" i="3"/>
  <c r="P36" i="3" s="1"/>
  <c r="M35" i="3"/>
  <c r="L35" i="3"/>
  <c r="K35" i="3"/>
  <c r="J35" i="3"/>
  <c r="I35" i="3"/>
  <c r="O35" i="3" s="1"/>
  <c r="H35" i="3"/>
  <c r="P35" i="3" s="1"/>
  <c r="O34" i="3"/>
  <c r="M34" i="3"/>
  <c r="L34" i="3"/>
  <c r="K34" i="3"/>
  <c r="J34" i="3"/>
  <c r="I34" i="3"/>
  <c r="H34" i="3"/>
  <c r="P34" i="3" s="1"/>
  <c r="H31" i="3"/>
  <c r="I31" i="3"/>
  <c r="J31" i="3"/>
  <c r="K31" i="3"/>
  <c r="L31" i="3"/>
  <c r="M31" i="3"/>
  <c r="O31" i="3"/>
  <c r="P31" i="3" s="1"/>
  <c r="M30" i="3"/>
  <c r="L30" i="3"/>
  <c r="K30" i="3"/>
  <c r="J30" i="3"/>
  <c r="I30" i="3"/>
  <c r="O30" i="3" s="1"/>
  <c r="H30" i="3"/>
  <c r="P5" i="3"/>
  <c r="P6" i="3"/>
  <c r="P7" i="3"/>
  <c r="P8" i="3"/>
  <c r="P9" i="3"/>
  <c r="P10" i="3"/>
  <c r="P11" i="3"/>
  <c r="P12" i="3"/>
  <c r="P13" i="3"/>
  <c r="P14" i="3"/>
  <c r="P15" i="3"/>
  <c r="P16" i="3"/>
  <c r="P17" i="3"/>
  <c r="P18" i="3"/>
  <c r="P19" i="3"/>
  <c r="P20" i="3"/>
  <c r="P21" i="3"/>
  <c r="P22" i="3"/>
  <c r="P23" i="3"/>
  <c r="P25" i="3"/>
  <c r="P4" i="3"/>
  <c r="O5" i="3"/>
  <c r="O6" i="3"/>
  <c r="O7" i="3"/>
  <c r="O8" i="3"/>
  <c r="O9" i="3"/>
  <c r="O10" i="3"/>
  <c r="O11" i="3"/>
  <c r="O12" i="3"/>
  <c r="O13" i="3"/>
  <c r="O14" i="3"/>
  <c r="O15" i="3"/>
  <c r="O16" i="3"/>
  <c r="O17" i="3"/>
  <c r="O18" i="3"/>
  <c r="O19" i="3"/>
  <c r="O20" i="3"/>
  <c r="O21" i="3"/>
  <c r="O22" i="3"/>
  <c r="O23" i="3"/>
  <c r="O4" i="3"/>
  <c r="M5" i="3"/>
  <c r="M6" i="3"/>
  <c r="M7" i="3"/>
  <c r="M8" i="3"/>
  <c r="M9" i="3"/>
  <c r="M10" i="3"/>
  <c r="M11" i="3"/>
  <c r="M12" i="3"/>
  <c r="M13" i="3"/>
  <c r="M14" i="3"/>
  <c r="M15" i="3"/>
  <c r="M16" i="3"/>
  <c r="M17" i="3"/>
  <c r="M18" i="3"/>
  <c r="M19" i="3"/>
  <c r="M20" i="3"/>
  <c r="M21" i="3"/>
  <c r="M22" i="3"/>
  <c r="M23" i="3"/>
  <c r="M4" i="3"/>
  <c r="L5" i="3"/>
  <c r="L6" i="3"/>
  <c r="L7" i="3"/>
  <c r="L8" i="3"/>
  <c r="L9" i="3"/>
  <c r="L10" i="3"/>
  <c r="L11" i="3"/>
  <c r="L12" i="3"/>
  <c r="L13" i="3"/>
  <c r="L14" i="3"/>
  <c r="L15" i="3"/>
  <c r="L16" i="3"/>
  <c r="L17" i="3"/>
  <c r="L18" i="3"/>
  <c r="L19" i="3"/>
  <c r="L20" i="3"/>
  <c r="L21" i="3"/>
  <c r="L22" i="3"/>
  <c r="L23" i="3"/>
  <c r="L4" i="3"/>
  <c r="K5" i="3"/>
  <c r="K6" i="3"/>
  <c r="K7" i="3"/>
  <c r="K8" i="3"/>
  <c r="K9" i="3"/>
  <c r="K10" i="3"/>
  <c r="K11" i="3"/>
  <c r="K12" i="3"/>
  <c r="K13" i="3"/>
  <c r="K14" i="3"/>
  <c r="K15" i="3"/>
  <c r="K16" i="3"/>
  <c r="K17" i="3"/>
  <c r="K18" i="3"/>
  <c r="K19" i="3"/>
  <c r="K20" i="3"/>
  <c r="K21" i="3"/>
  <c r="K22" i="3"/>
  <c r="K23" i="3"/>
  <c r="K4" i="3"/>
  <c r="J5" i="3"/>
  <c r="J6" i="3"/>
  <c r="J7" i="3"/>
  <c r="J8" i="3"/>
  <c r="J9" i="3"/>
  <c r="J10" i="3"/>
  <c r="J11" i="3"/>
  <c r="J12" i="3"/>
  <c r="J13" i="3"/>
  <c r="J14" i="3"/>
  <c r="J15" i="3"/>
  <c r="J16" i="3"/>
  <c r="J17" i="3"/>
  <c r="J18" i="3"/>
  <c r="J19" i="3"/>
  <c r="J20" i="3"/>
  <c r="J21" i="3"/>
  <c r="J22" i="3"/>
  <c r="J23" i="3"/>
  <c r="J4" i="3"/>
  <c r="I5" i="3"/>
  <c r="I6" i="3"/>
  <c r="I7" i="3"/>
  <c r="I8" i="3"/>
  <c r="I9" i="3"/>
  <c r="I10" i="3"/>
  <c r="I11" i="3"/>
  <c r="I12" i="3"/>
  <c r="I13" i="3"/>
  <c r="I14" i="3"/>
  <c r="I15" i="3"/>
  <c r="I16" i="3"/>
  <c r="I17" i="3"/>
  <c r="I18" i="3"/>
  <c r="I19" i="3"/>
  <c r="I20" i="3"/>
  <c r="I21" i="3"/>
  <c r="I22" i="3"/>
  <c r="I23" i="3"/>
  <c r="I4" i="3"/>
  <c r="H5" i="3"/>
  <c r="H6" i="3"/>
  <c r="H7" i="3"/>
  <c r="H8" i="3"/>
  <c r="H9" i="3"/>
  <c r="H10" i="3"/>
  <c r="H11" i="3"/>
  <c r="H12" i="3"/>
  <c r="H13" i="3"/>
  <c r="H14" i="3"/>
  <c r="H15" i="3"/>
  <c r="H16" i="3"/>
  <c r="H17" i="3"/>
  <c r="H18" i="3"/>
  <c r="H19" i="3"/>
  <c r="H20" i="3"/>
  <c r="H21" i="3"/>
  <c r="H22" i="3"/>
  <c r="H23" i="3"/>
  <c r="H4" i="3"/>
  <c r="I3" i="3"/>
  <c r="H3" i="3"/>
  <c r="H39" i="5" l="1"/>
  <c r="H8" i="5"/>
  <c r="H15" i="5"/>
  <c r="H23" i="5"/>
  <c r="H35" i="5"/>
  <c r="H27" i="5"/>
  <c r="H28" i="5"/>
  <c r="H38" i="5"/>
  <c r="H9" i="5"/>
  <c r="H16" i="5"/>
  <c r="H24" i="5"/>
  <c r="H32" i="5"/>
  <c r="H37" i="5"/>
  <c r="P37" i="5" s="1"/>
  <c r="H10" i="5"/>
  <c r="H17" i="5"/>
  <c r="H25" i="5"/>
  <c r="H42" i="5"/>
  <c r="P42" i="5" s="1"/>
  <c r="H36" i="5"/>
  <c r="H11" i="5"/>
  <c r="H18" i="5"/>
  <c r="H26" i="5"/>
  <c r="H19" i="5"/>
  <c r="H20" i="5"/>
  <c r="H41" i="5"/>
  <c r="P41" i="5" s="1"/>
  <c r="H31" i="5"/>
  <c r="H13" i="5"/>
  <c r="H21" i="5"/>
  <c r="H6" i="5"/>
  <c r="H40" i="5"/>
  <c r="P40" i="5" s="1"/>
  <c r="H7" i="5"/>
  <c r="H14" i="5"/>
  <c r="H22" i="5"/>
  <c r="H12" i="5"/>
  <c r="O41" i="6"/>
  <c r="K62" i="11" s="1"/>
  <c r="P41" i="6"/>
  <c r="P57" i="6"/>
  <c r="T21" i="8"/>
  <c r="T20" i="8"/>
  <c r="C73" i="11"/>
  <c r="S21" i="8"/>
  <c r="T13" i="8"/>
  <c r="S13" i="8"/>
  <c r="P38" i="3"/>
  <c r="P39" i="3"/>
  <c r="P30" i="3"/>
  <c r="H33" i="5" l="1"/>
  <c r="H29" i="5"/>
  <c r="H43" i="5"/>
  <c r="G74" i="11" s="1"/>
  <c r="O74" i="11" s="1"/>
  <c r="F5" i="3"/>
  <c r="E5" i="3"/>
  <c r="D5" i="3"/>
  <c r="E13" i="5"/>
  <c r="F13" i="5" s="1"/>
  <c r="D13" i="5"/>
  <c r="E9" i="5"/>
  <c r="F9" i="5" s="1"/>
  <c r="D9" i="5"/>
  <c r="B42" i="6"/>
  <c r="E6" i="6"/>
  <c r="F6" i="6" s="1"/>
  <c r="D6" i="6"/>
  <c r="E5" i="6"/>
  <c r="F5" i="6" s="1"/>
  <c r="D5" i="6"/>
  <c r="J13" i="5" l="1"/>
  <c r="L13" i="5"/>
  <c r="K13" i="5"/>
  <c r="I13" i="5"/>
  <c r="L9" i="5"/>
  <c r="K9" i="5"/>
  <c r="J9" i="5"/>
  <c r="I9" i="5"/>
  <c r="G42" i="6"/>
  <c r="E40" i="6"/>
  <c r="F40" i="6" s="1"/>
  <c r="D40" i="6"/>
  <c r="E39" i="6"/>
  <c r="F39" i="6" s="1"/>
  <c r="D39" i="6"/>
  <c r="E38" i="6"/>
  <c r="F38" i="6" s="1"/>
  <c r="D38" i="6"/>
  <c r="E37" i="6"/>
  <c r="F37" i="6" s="1"/>
  <c r="D37" i="6"/>
  <c r="E36" i="6"/>
  <c r="F36" i="6" s="1"/>
  <c r="D36" i="6"/>
  <c r="E35" i="6"/>
  <c r="F35" i="6" s="1"/>
  <c r="D35" i="6"/>
  <c r="E34" i="6"/>
  <c r="F34" i="6" s="1"/>
  <c r="D34" i="6"/>
  <c r="E33" i="6"/>
  <c r="F33" i="6" s="1"/>
  <c r="D33" i="6"/>
  <c r="E32" i="6"/>
  <c r="F32" i="6" s="1"/>
  <c r="D32" i="6"/>
  <c r="E31" i="6"/>
  <c r="F31" i="6" s="1"/>
  <c r="D31" i="6"/>
  <c r="E30" i="6"/>
  <c r="F30" i="6" s="1"/>
  <c r="D30" i="6"/>
  <c r="E29" i="6"/>
  <c r="D29" i="6"/>
  <c r="E28" i="6"/>
  <c r="F28" i="6" s="1"/>
  <c r="D28" i="6"/>
  <c r="E27" i="6"/>
  <c r="F27" i="6" s="1"/>
  <c r="D27" i="6"/>
  <c r="E26" i="6"/>
  <c r="F26" i="6" s="1"/>
  <c r="D26" i="6"/>
  <c r="E25" i="6"/>
  <c r="F25" i="6" s="1"/>
  <c r="D25" i="6"/>
  <c r="E24" i="6"/>
  <c r="F24" i="6" s="1"/>
  <c r="D24" i="6"/>
  <c r="D23" i="6"/>
  <c r="E22" i="6"/>
  <c r="F22" i="6" s="1"/>
  <c r="D22" i="6"/>
  <c r="E21" i="6"/>
  <c r="F21" i="6" s="1"/>
  <c r="D21" i="6"/>
  <c r="E20" i="6"/>
  <c r="D20" i="6"/>
  <c r="E19" i="6"/>
  <c r="F19" i="6" s="1"/>
  <c r="D19" i="6"/>
  <c r="E18" i="6"/>
  <c r="F18" i="6" s="1"/>
  <c r="D18" i="6"/>
  <c r="E17" i="6"/>
  <c r="F17" i="6" s="1"/>
  <c r="D17" i="6"/>
  <c r="E16" i="6"/>
  <c r="F16" i="6" s="1"/>
  <c r="D16" i="6"/>
  <c r="E15" i="6"/>
  <c r="F15" i="6" s="1"/>
  <c r="D15" i="6"/>
  <c r="E14" i="6"/>
  <c r="D14" i="6"/>
  <c r="E13" i="6"/>
  <c r="F13" i="6" s="1"/>
  <c r="D13" i="6"/>
  <c r="E12" i="6"/>
  <c r="F12" i="6" s="1"/>
  <c r="D12" i="6"/>
  <c r="E11" i="6"/>
  <c r="F11" i="6" s="1"/>
  <c r="D11" i="6"/>
  <c r="E10" i="6"/>
  <c r="D10" i="6"/>
  <c r="E9" i="6"/>
  <c r="F9" i="6" s="1"/>
  <c r="D9" i="6"/>
  <c r="E8" i="6"/>
  <c r="F8" i="6" s="1"/>
  <c r="D8" i="6"/>
  <c r="E7" i="6"/>
  <c r="F7" i="6" s="1"/>
  <c r="F42" i="6" s="1"/>
  <c r="D7" i="6"/>
  <c r="F36" i="9"/>
  <c r="M46" i="11"/>
  <c r="C134" i="11"/>
  <c r="C96" i="11"/>
  <c r="M6" i="11"/>
  <c r="O13" i="5" l="1"/>
  <c r="P13" i="5" s="1"/>
  <c r="O9" i="5"/>
  <c r="P9" i="5" s="1"/>
  <c r="H42" i="6"/>
  <c r="K59" i="11" s="1"/>
  <c r="K84" i="11"/>
  <c r="G84" i="11"/>
  <c r="M172" i="11" l="1"/>
  <c r="K172" i="11"/>
  <c r="G172" i="11"/>
  <c r="F172" i="11"/>
  <c r="E172" i="11"/>
  <c r="C172" i="11"/>
  <c r="B172" i="11"/>
  <c r="M160" i="11"/>
  <c r="K160" i="11"/>
  <c r="G160" i="11"/>
  <c r="F160" i="11"/>
  <c r="C160" i="11"/>
  <c r="B160" i="11"/>
  <c r="E160" i="11"/>
  <c r="F134" i="11"/>
  <c r="B134" i="11"/>
  <c r="M128" i="11"/>
  <c r="K128" i="11"/>
  <c r="G128" i="11"/>
  <c r="E128" i="11"/>
  <c r="O128" i="11" s="1"/>
  <c r="M121" i="11"/>
  <c r="K121" i="11"/>
  <c r="G121" i="11"/>
  <c r="E121" i="11"/>
  <c r="O121" i="11" s="1"/>
  <c r="M120" i="11"/>
  <c r="K120" i="11"/>
  <c r="G120" i="11"/>
  <c r="E120" i="11"/>
  <c r="O120" i="11" s="1"/>
  <c r="M119" i="11"/>
  <c r="K119" i="11"/>
  <c r="G119" i="11"/>
  <c r="E119" i="11"/>
  <c r="M118" i="11"/>
  <c r="K118" i="11"/>
  <c r="G118" i="11"/>
  <c r="E118" i="11"/>
  <c r="M115" i="11"/>
  <c r="K115" i="11"/>
  <c r="G115" i="11"/>
  <c r="E115" i="11"/>
  <c r="O115" i="11" s="1"/>
  <c r="F96" i="11"/>
  <c r="B96" i="11"/>
  <c r="K85" i="11"/>
  <c r="G85" i="11"/>
  <c r="E85" i="11"/>
  <c r="O85" i="11" s="1"/>
  <c r="M84" i="11"/>
  <c r="E84" i="11"/>
  <c r="F81" i="11"/>
  <c r="B81" i="11"/>
  <c r="C78" i="11"/>
  <c r="O78" i="11" s="1"/>
  <c r="C71" i="11"/>
  <c r="O71" i="11" s="1"/>
  <c r="F69" i="11"/>
  <c r="B69" i="11"/>
  <c r="M68" i="11"/>
  <c r="O68" i="11" s="1"/>
  <c r="M64" i="11"/>
  <c r="F63" i="11"/>
  <c r="B63" i="11"/>
  <c r="M56" i="11"/>
  <c r="G56" i="11"/>
  <c r="F56" i="11"/>
  <c r="E56" i="11"/>
  <c r="B56" i="11"/>
  <c r="K46" i="11"/>
  <c r="G46" i="11"/>
  <c r="F46" i="11"/>
  <c r="E46" i="11"/>
  <c r="C46" i="11"/>
  <c r="B46" i="11"/>
  <c r="K12" i="11"/>
  <c r="K14" i="11" s="1"/>
  <c r="M8" i="11"/>
  <c r="G8" i="11"/>
  <c r="E8" i="11"/>
  <c r="M5" i="11"/>
  <c r="M13" i="11" s="1"/>
  <c r="O13" i="11" s="1"/>
  <c r="G5" i="11"/>
  <c r="G12" i="11" s="1"/>
  <c r="E5" i="11"/>
  <c r="E12" i="11" s="1"/>
  <c r="O172" i="11" l="1"/>
  <c r="O84" i="11"/>
  <c r="O118" i="11"/>
  <c r="O119" i="11"/>
  <c r="E14" i="11"/>
  <c r="E57" i="11" s="1"/>
  <c r="K95" i="11"/>
  <c r="K55" i="11"/>
  <c r="O46" i="11"/>
  <c r="O160" i="11"/>
  <c r="F82" i="11"/>
  <c r="K134" i="11"/>
  <c r="B82" i="11"/>
  <c r="B173" i="11" s="1"/>
  <c r="F57" i="11"/>
  <c r="E134" i="11"/>
  <c r="F173" i="11"/>
  <c r="G134" i="11"/>
  <c r="B57" i="11"/>
  <c r="M134" i="11"/>
  <c r="K57" i="11"/>
  <c r="K92" i="11"/>
  <c r="M12" i="11"/>
  <c r="M14" i="11" s="1"/>
  <c r="M95" i="11" s="1"/>
  <c r="M65" i="11"/>
  <c r="G14" i="11"/>
  <c r="G55" i="11" s="1"/>
  <c r="C55" i="11" s="1"/>
  <c r="O55" i="11" s="1"/>
  <c r="F183" i="11" l="1"/>
  <c r="E95" i="11"/>
  <c r="K96" i="11"/>
  <c r="O12" i="11"/>
  <c r="O14" i="11"/>
  <c r="O134" i="11"/>
  <c r="M69" i="11"/>
  <c r="O65" i="11"/>
  <c r="E92" i="11"/>
  <c r="M57" i="11"/>
  <c r="M92" i="11"/>
  <c r="M96" i="11" s="1"/>
  <c r="G92" i="11"/>
  <c r="G57" i="11"/>
  <c r="E23" i="9"/>
  <c r="F23" i="9" s="1"/>
  <c r="E15" i="9"/>
  <c r="F15" i="9" s="1"/>
  <c r="E14" i="9"/>
  <c r="F14" i="9" s="1"/>
  <c r="E13" i="9"/>
  <c r="F13" i="9" s="1"/>
  <c r="D12" i="9"/>
  <c r="E8" i="9"/>
  <c r="F8" i="9" s="1"/>
  <c r="E7" i="9"/>
  <c r="F7" i="9" s="1"/>
  <c r="E6" i="9"/>
  <c r="F6" i="9" s="1"/>
  <c r="E4" i="9"/>
  <c r="F4" i="9" s="1"/>
  <c r="B20" i="9"/>
  <c r="B47" i="9"/>
  <c r="F45" i="9"/>
  <c r="F44" i="9"/>
  <c r="F43" i="9"/>
  <c r="F42" i="9"/>
  <c r="B36" i="9"/>
  <c r="F34" i="9"/>
  <c r="F33" i="9"/>
  <c r="F32" i="9"/>
  <c r="F30" i="9"/>
  <c r="F29" i="9"/>
  <c r="F28" i="9"/>
  <c r="F27" i="9"/>
  <c r="B25" i="9"/>
  <c r="E22" i="9"/>
  <c r="F22" i="9" s="1"/>
  <c r="D22" i="9"/>
  <c r="E18" i="9"/>
  <c r="F18" i="9" s="1"/>
  <c r="E17" i="9"/>
  <c r="F17" i="9" s="1"/>
  <c r="E16" i="9"/>
  <c r="F16" i="9" s="1"/>
  <c r="D16" i="9"/>
  <c r="E12" i="9"/>
  <c r="F12" i="9" s="1"/>
  <c r="E11" i="9"/>
  <c r="F11" i="9" s="1"/>
  <c r="D11" i="9"/>
  <c r="E10" i="9"/>
  <c r="F10" i="9" s="1"/>
  <c r="D10" i="9"/>
  <c r="E9" i="9"/>
  <c r="F9" i="9" s="1"/>
  <c r="D9" i="9"/>
  <c r="D6" i="9"/>
  <c r="E5" i="9"/>
  <c r="F5" i="9" s="1"/>
  <c r="D5" i="9"/>
  <c r="H12" i="8"/>
  <c r="D12" i="8"/>
  <c r="I12" i="8" s="1"/>
  <c r="J13" i="8"/>
  <c r="H19" i="8"/>
  <c r="H20" i="8"/>
  <c r="I20" i="8" s="1"/>
  <c r="H18" i="8"/>
  <c r="I18" i="8" s="1"/>
  <c r="H5" i="8"/>
  <c r="H6" i="8"/>
  <c r="H7" i="8"/>
  <c r="H8" i="8"/>
  <c r="H13" i="8" s="1"/>
  <c r="H9" i="8"/>
  <c r="H10" i="8"/>
  <c r="H11" i="8"/>
  <c r="D5" i="8"/>
  <c r="I5" i="8" s="1"/>
  <c r="I56" i="8"/>
  <c r="G34" i="8"/>
  <c r="G49" i="8" s="1"/>
  <c r="I33" i="8"/>
  <c r="I34" i="8" s="1"/>
  <c r="I49" i="8" s="1"/>
  <c r="G30" i="8"/>
  <c r="I29" i="8"/>
  <c r="I30" i="8" s="1"/>
  <c r="G27" i="8"/>
  <c r="I27" i="8"/>
  <c r="G20" i="8"/>
  <c r="G19" i="8"/>
  <c r="G18" i="8"/>
  <c r="D11" i="8"/>
  <c r="G11" i="8" s="1"/>
  <c r="D10" i="8"/>
  <c r="G10" i="8" s="1"/>
  <c r="D9" i="8"/>
  <c r="G9" i="8" s="1"/>
  <c r="D8" i="8"/>
  <c r="I8" i="8" s="1"/>
  <c r="D7" i="8"/>
  <c r="I7" i="8" s="1"/>
  <c r="D6" i="8"/>
  <c r="I6" i="8" s="1"/>
  <c r="D4" i="8"/>
  <c r="O92" i="11" l="1"/>
  <c r="G95" i="11"/>
  <c r="O95" i="11" s="1"/>
  <c r="E96" i="11"/>
  <c r="D13" i="9"/>
  <c r="D7" i="9"/>
  <c r="D14" i="9"/>
  <c r="D4" i="9"/>
  <c r="D8" i="9"/>
  <c r="D15" i="9"/>
  <c r="B38" i="9"/>
  <c r="F20" i="9"/>
  <c r="M59" i="11" s="1"/>
  <c r="F25" i="9"/>
  <c r="M70" i="11"/>
  <c r="M81" i="11" s="1"/>
  <c r="F47" i="9"/>
  <c r="H21" i="8"/>
  <c r="H23" i="8" s="1"/>
  <c r="C70" i="11" s="1"/>
  <c r="I19" i="8"/>
  <c r="I21" i="8" s="1"/>
  <c r="I9" i="8"/>
  <c r="I11" i="8"/>
  <c r="I48" i="8"/>
  <c r="G6" i="8"/>
  <c r="G21" i="8"/>
  <c r="G7" i="8"/>
  <c r="G8" i="8"/>
  <c r="I10" i="8"/>
  <c r="G96" i="11" l="1"/>
  <c r="O96" i="11" s="1"/>
  <c r="C53" i="11"/>
  <c r="M61" i="11"/>
  <c r="G47" i="8"/>
  <c r="C81" i="11"/>
  <c r="I39" i="8"/>
  <c r="I23" i="8"/>
  <c r="G39" i="8"/>
  <c r="F38" i="9"/>
  <c r="I13" i="8"/>
  <c r="I38" i="8" s="1"/>
  <c r="G13" i="8"/>
  <c r="G38" i="8" s="1"/>
  <c r="I47" i="8"/>
  <c r="I57" i="8" s="1"/>
  <c r="C56" i="11" l="1"/>
  <c r="O53" i="11"/>
  <c r="C82" i="11"/>
  <c r="M63" i="11"/>
  <c r="M82" i="11" s="1"/>
  <c r="M173" i="11" s="1"/>
  <c r="O61" i="11"/>
  <c r="G23" i="8"/>
  <c r="G41" i="8"/>
  <c r="G46" i="8"/>
  <c r="G51" i="8" s="1"/>
  <c r="G55" i="8" s="1"/>
  <c r="G59" i="8" s="1"/>
  <c r="I41" i="8"/>
  <c r="I46" i="8"/>
  <c r="M175" i="11" l="1"/>
  <c r="M177" i="11" s="1"/>
  <c r="M180" i="11" s="1"/>
  <c r="M183" i="11"/>
  <c r="C173" i="11"/>
  <c r="C57" i="11"/>
  <c r="O56" i="11"/>
  <c r="I51" i="8"/>
  <c r="I54" i="8"/>
  <c r="C183" i="11" l="1"/>
  <c r="O57" i="11"/>
  <c r="C175" i="11"/>
  <c r="I55" i="8"/>
  <c r="I59" i="8" s="1"/>
  <c r="C177" i="11" l="1"/>
  <c r="C180" i="11"/>
  <c r="B58" i="6"/>
  <c r="F56" i="6"/>
  <c r="F55" i="6"/>
  <c r="F54" i="6"/>
  <c r="F53" i="6"/>
  <c r="F52" i="6"/>
  <c r="F51" i="6"/>
  <c r="F50" i="6"/>
  <c r="F49" i="6"/>
  <c r="F48" i="6"/>
  <c r="E45" i="6"/>
  <c r="F45" i="6" s="1"/>
  <c r="D45" i="6"/>
  <c r="E44" i="6"/>
  <c r="F44" i="6" s="1"/>
  <c r="D44" i="6"/>
  <c r="B60" i="6" l="1"/>
  <c r="F46" i="6"/>
  <c r="K64" i="11" s="1"/>
  <c r="K69" i="11" s="1"/>
  <c r="F58" i="6"/>
  <c r="K70" i="11" s="1"/>
  <c r="K81" i="11" s="1"/>
  <c r="F60" i="6" l="1"/>
  <c r="K63" i="11"/>
  <c r="K82" i="11" s="1"/>
  <c r="K173" i="11" s="1"/>
  <c r="B43" i="5"/>
  <c r="F39" i="5"/>
  <c r="F38" i="5"/>
  <c r="F36" i="5"/>
  <c r="F35" i="5"/>
  <c r="B33" i="5"/>
  <c r="E32" i="5"/>
  <c r="F32" i="5" s="1"/>
  <c r="D32" i="5"/>
  <c r="E31" i="5"/>
  <c r="F31" i="5" s="1"/>
  <c r="D31" i="5"/>
  <c r="F28" i="5"/>
  <c r="D28" i="5"/>
  <c r="E27" i="5"/>
  <c r="F27" i="5" s="1"/>
  <c r="D27" i="5"/>
  <c r="E26" i="5"/>
  <c r="F26" i="5" s="1"/>
  <c r="D26" i="5"/>
  <c r="E25" i="5"/>
  <c r="F25" i="5" s="1"/>
  <c r="D25" i="5"/>
  <c r="E24" i="5"/>
  <c r="F24" i="5" s="1"/>
  <c r="D24" i="5"/>
  <c r="E23" i="5"/>
  <c r="F23" i="5" s="1"/>
  <c r="D23" i="5"/>
  <c r="E22" i="5"/>
  <c r="F22" i="5" s="1"/>
  <c r="D22" i="5"/>
  <c r="E21" i="5"/>
  <c r="F21" i="5" s="1"/>
  <c r="D21" i="5"/>
  <c r="E20" i="5"/>
  <c r="F20" i="5" s="1"/>
  <c r="D20" i="5"/>
  <c r="E19" i="5"/>
  <c r="F19" i="5" s="1"/>
  <c r="D19" i="5"/>
  <c r="E18" i="5"/>
  <c r="F18" i="5" s="1"/>
  <c r="D18" i="5"/>
  <c r="E17" i="5"/>
  <c r="F17" i="5" s="1"/>
  <c r="D17" i="5"/>
  <c r="E16" i="5"/>
  <c r="F16" i="5" s="1"/>
  <c r="D16" i="5"/>
  <c r="E15" i="5"/>
  <c r="F15" i="5" s="1"/>
  <c r="D15" i="5"/>
  <c r="E14" i="5"/>
  <c r="F14" i="5" s="1"/>
  <c r="D14" i="5"/>
  <c r="E12" i="5"/>
  <c r="F12" i="5" s="1"/>
  <c r="D12" i="5"/>
  <c r="E11" i="5"/>
  <c r="F11" i="5" s="1"/>
  <c r="D11" i="5"/>
  <c r="E10" i="5"/>
  <c r="F10" i="5" s="1"/>
  <c r="D10" i="5"/>
  <c r="E8" i="5"/>
  <c r="F8" i="5" s="1"/>
  <c r="D8" i="5"/>
  <c r="E7" i="5"/>
  <c r="F7" i="5" s="1"/>
  <c r="D7" i="5"/>
  <c r="E6" i="5"/>
  <c r="F6" i="5" s="1"/>
  <c r="D6" i="5"/>
  <c r="K175" i="11" l="1"/>
  <c r="K183" i="11"/>
  <c r="L19" i="5"/>
  <c r="K19" i="5"/>
  <c r="J19" i="5"/>
  <c r="I19" i="5"/>
  <c r="O19" i="5" s="1"/>
  <c r="P19" i="5" s="1"/>
  <c r="F43" i="5"/>
  <c r="G70" i="11" s="1"/>
  <c r="L35" i="5"/>
  <c r="J35" i="5"/>
  <c r="K35" i="5"/>
  <c r="L20" i="5"/>
  <c r="K20" i="5"/>
  <c r="J20" i="5"/>
  <c r="I20" i="5"/>
  <c r="O20" i="5" s="1"/>
  <c r="P20" i="5" s="1"/>
  <c r="L12" i="5"/>
  <c r="K12" i="5"/>
  <c r="J12" i="5"/>
  <c r="I12" i="5"/>
  <c r="J17" i="5"/>
  <c r="L17" i="5"/>
  <c r="K17" i="5"/>
  <c r="I17" i="5"/>
  <c r="L21" i="5"/>
  <c r="K21" i="5"/>
  <c r="J21" i="5"/>
  <c r="I21" i="5"/>
  <c r="O21" i="5" s="1"/>
  <c r="P21" i="5" s="1"/>
  <c r="J25" i="5"/>
  <c r="L25" i="5"/>
  <c r="K25" i="5"/>
  <c r="I25" i="5"/>
  <c r="L39" i="5"/>
  <c r="K39" i="5"/>
  <c r="J39" i="5"/>
  <c r="J11" i="5"/>
  <c r="L11" i="5"/>
  <c r="K11" i="5"/>
  <c r="I11" i="5"/>
  <c r="K23" i="5"/>
  <c r="L23" i="5"/>
  <c r="J23" i="5"/>
  <c r="I23" i="5"/>
  <c r="L16" i="5"/>
  <c r="J16" i="5"/>
  <c r="K16" i="5"/>
  <c r="I16" i="5"/>
  <c r="L28" i="5"/>
  <c r="K28" i="5"/>
  <c r="J28" i="5"/>
  <c r="I28" i="5"/>
  <c r="L31" i="5"/>
  <c r="K31" i="5"/>
  <c r="J31" i="5"/>
  <c r="L15" i="5"/>
  <c r="K15" i="5"/>
  <c r="J15" i="5"/>
  <c r="I15" i="5"/>
  <c r="L27" i="5"/>
  <c r="K27" i="5"/>
  <c r="J27" i="5"/>
  <c r="I27" i="5"/>
  <c r="K36" i="5"/>
  <c r="J36" i="5"/>
  <c r="L36" i="5"/>
  <c r="L8" i="5"/>
  <c r="K8" i="5"/>
  <c r="J8" i="5"/>
  <c r="I8" i="5"/>
  <c r="J14" i="5"/>
  <c r="L14" i="5"/>
  <c r="K14" i="5"/>
  <c r="I14" i="5"/>
  <c r="L22" i="5"/>
  <c r="K22" i="5"/>
  <c r="J22" i="5"/>
  <c r="I22" i="5"/>
  <c r="J26" i="5"/>
  <c r="L26" i="5"/>
  <c r="K26" i="5"/>
  <c r="I26" i="5"/>
  <c r="J6" i="5"/>
  <c r="L6" i="5"/>
  <c r="K6" i="5"/>
  <c r="I6" i="5"/>
  <c r="L7" i="5"/>
  <c r="K7" i="5"/>
  <c r="J7" i="5"/>
  <c r="I7" i="5"/>
  <c r="K24" i="5"/>
  <c r="L24" i="5"/>
  <c r="J24" i="5"/>
  <c r="I24" i="5"/>
  <c r="L38" i="5"/>
  <c r="K38" i="5"/>
  <c r="J38" i="5"/>
  <c r="J10" i="5"/>
  <c r="L10" i="5"/>
  <c r="K10" i="5"/>
  <c r="I10" i="5"/>
  <c r="J18" i="5"/>
  <c r="L18" i="5"/>
  <c r="K18" i="5"/>
  <c r="I18" i="5"/>
  <c r="O18" i="5" s="1"/>
  <c r="P18" i="5" s="1"/>
  <c r="J32" i="5"/>
  <c r="L32" i="5"/>
  <c r="K32" i="5"/>
  <c r="K177" i="11"/>
  <c r="K180" i="11"/>
  <c r="G59" i="11"/>
  <c r="B45" i="5"/>
  <c r="F33" i="5"/>
  <c r="G64" i="11" s="1"/>
  <c r="O64" i="11" s="1"/>
  <c r="O39" i="5" l="1"/>
  <c r="P39" i="5" s="1"/>
  <c r="O22" i="5"/>
  <c r="P22" i="5" s="1"/>
  <c r="O38" i="5"/>
  <c r="P38" i="5" s="1"/>
  <c r="O27" i="5"/>
  <c r="P27" i="5" s="1"/>
  <c r="O14" i="5"/>
  <c r="P14" i="5" s="1"/>
  <c r="O17" i="5"/>
  <c r="P17" i="5" s="1"/>
  <c r="J43" i="5"/>
  <c r="O6" i="5"/>
  <c r="I29" i="5"/>
  <c r="O23" i="5"/>
  <c r="P23" i="5" s="1"/>
  <c r="L43" i="5"/>
  <c r="O7" i="5"/>
  <c r="P7" i="5" s="1"/>
  <c r="J33" i="5"/>
  <c r="O31" i="5"/>
  <c r="O16" i="5"/>
  <c r="P16" i="5" s="1"/>
  <c r="K29" i="5"/>
  <c r="L29" i="5"/>
  <c r="O8" i="5"/>
  <c r="P8" i="5" s="1"/>
  <c r="K33" i="5"/>
  <c r="O12" i="5"/>
  <c r="P12" i="5" s="1"/>
  <c r="O36" i="5"/>
  <c r="P36" i="5" s="1"/>
  <c r="O26" i="5"/>
  <c r="P26" i="5" s="1"/>
  <c r="L33" i="5"/>
  <c r="O11" i="5"/>
  <c r="P11" i="5" s="1"/>
  <c r="O25" i="5"/>
  <c r="P25" i="5" s="1"/>
  <c r="J29" i="5"/>
  <c r="O32" i="5"/>
  <c r="P32" i="5" s="1"/>
  <c r="O10" i="5"/>
  <c r="P10" i="5" s="1"/>
  <c r="O24" i="5"/>
  <c r="P24" i="5" s="1"/>
  <c r="O15" i="5"/>
  <c r="P15" i="5" s="1"/>
  <c r="O28" i="5"/>
  <c r="P28" i="5" s="1"/>
  <c r="O35" i="5"/>
  <c r="K43" i="5"/>
  <c r="F45" i="5"/>
  <c r="P31" i="5" l="1"/>
  <c r="P33" i="5" s="1"/>
  <c r="O33" i="5"/>
  <c r="G66" i="11" s="1"/>
  <c r="P35" i="5"/>
  <c r="P43" i="5" s="1"/>
  <c r="O43" i="5"/>
  <c r="G73" i="11" s="1"/>
  <c r="O29" i="5"/>
  <c r="G62" i="11" s="1"/>
  <c r="P6" i="5"/>
  <c r="P29" i="5" s="1"/>
  <c r="B42" i="3"/>
  <c r="B32" i="3"/>
  <c r="G63" i="11" l="1"/>
  <c r="O62" i="11"/>
  <c r="G81" i="11"/>
  <c r="O73" i="11"/>
  <c r="G69" i="11"/>
  <c r="O66" i="11"/>
  <c r="G82" i="11"/>
  <c r="G173" i="11" s="1"/>
  <c r="F41" i="3"/>
  <c r="F40" i="3"/>
  <c r="F39" i="3"/>
  <c r="F37" i="3"/>
  <c r="F36" i="3"/>
  <c r="F35" i="3"/>
  <c r="F34" i="3"/>
  <c r="E31" i="3"/>
  <c r="F31" i="3" s="1"/>
  <c r="D31" i="3"/>
  <c r="E30" i="3"/>
  <c r="F30" i="3" s="1"/>
  <c r="D30" i="3"/>
  <c r="B24" i="3"/>
  <c r="B46" i="3" s="1"/>
  <c r="F23" i="3"/>
  <c r="D23" i="3"/>
  <c r="F22" i="3"/>
  <c r="D22" i="3"/>
  <c r="E21" i="3"/>
  <c r="F21" i="3" s="1"/>
  <c r="D21" i="3"/>
  <c r="E20" i="3"/>
  <c r="F20" i="3" s="1"/>
  <c r="D20" i="3"/>
  <c r="E19" i="3"/>
  <c r="F19" i="3" s="1"/>
  <c r="D19" i="3"/>
  <c r="E18" i="3"/>
  <c r="F18" i="3" s="1"/>
  <c r="D18" i="3"/>
  <c r="E17" i="3"/>
  <c r="F17" i="3" s="1"/>
  <c r="D17" i="3"/>
  <c r="E16" i="3"/>
  <c r="F16" i="3" s="1"/>
  <c r="D16" i="3"/>
  <c r="E15" i="3"/>
  <c r="F15" i="3" s="1"/>
  <c r="D15" i="3"/>
  <c r="E14" i="3"/>
  <c r="F14" i="3" s="1"/>
  <c r="D14" i="3"/>
  <c r="E13" i="3"/>
  <c r="F13" i="3" s="1"/>
  <c r="D13" i="3"/>
  <c r="E12" i="3"/>
  <c r="F12" i="3" s="1"/>
  <c r="D12" i="3"/>
  <c r="E11" i="3"/>
  <c r="F11" i="3" s="1"/>
  <c r="D11" i="3"/>
  <c r="E10" i="3"/>
  <c r="F10" i="3" s="1"/>
  <c r="D10" i="3"/>
  <c r="E9" i="3"/>
  <c r="F9" i="3" s="1"/>
  <c r="D9" i="3"/>
  <c r="E8" i="3"/>
  <c r="F8" i="3" s="1"/>
  <c r="D8" i="3"/>
  <c r="E7" i="3"/>
  <c r="F7" i="3" s="1"/>
  <c r="D7" i="3"/>
  <c r="E6" i="3"/>
  <c r="F6" i="3" s="1"/>
  <c r="D6" i="3"/>
  <c r="E4" i="3"/>
  <c r="F4" i="3" s="1"/>
  <c r="D4" i="3"/>
  <c r="G175" i="11" l="1"/>
  <c r="G180" i="11" s="1"/>
  <c r="G183" i="11"/>
  <c r="F42" i="3"/>
  <c r="E70" i="11" s="1"/>
  <c r="F32" i="3"/>
  <c r="F24" i="3"/>
  <c r="G177" i="11" l="1"/>
  <c r="E81" i="11"/>
  <c r="O81" i="11" s="1"/>
  <c r="O70" i="11"/>
  <c r="E69" i="11"/>
  <c r="O69" i="11" s="1"/>
  <c r="F46" i="3"/>
  <c r="E59" i="11"/>
  <c r="O59" i="11" s="1"/>
  <c r="E63" i="11" l="1"/>
  <c r="E82" i="11" l="1"/>
  <c r="O63" i="11"/>
  <c r="E173" i="11" l="1"/>
  <c r="E183" i="11" s="1"/>
  <c r="O82" i="11"/>
  <c r="E175" i="11" l="1"/>
  <c r="O173" i="11"/>
  <c r="O175" i="11" l="1"/>
  <c r="E177" i="11"/>
  <c r="O177" i="11" s="1"/>
  <c r="E180" i="11"/>
  <c r="O18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Miles</author>
    <author>Renea Ostermiller</author>
    <author>Heather</author>
  </authors>
  <commentList>
    <comment ref="C15" authorId="0" shapeId="0" xr:uid="{CF694062-79BC-4BD1-9277-1E55B9CE251E}">
      <text>
        <r>
          <rPr>
            <b/>
            <sz val="9"/>
            <color indexed="81"/>
            <rFont val="Tahoma"/>
            <family val="2"/>
          </rPr>
          <t>Mike Miles:</t>
        </r>
        <r>
          <rPr>
            <sz val="9"/>
            <color indexed="81"/>
            <rFont val="Tahoma"/>
            <family val="2"/>
          </rPr>
          <t xml:space="preserve">
awared 2022
where is this award letter?</t>
        </r>
      </text>
    </comment>
    <comment ref="E15" authorId="0" shapeId="0" xr:uid="{1DEF4CA6-9CB3-473D-A15F-F80981957BDB}">
      <text>
        <r>
          <rPr>
            <b/>
            <sz val="9"/>
            <color indexed="81"/>
            <rFont val="Tahoma"/>
            <family val="2"/>
          </rPr>
          <t>Mike Miles:</t>
        </r>
        <r>
          <rPr>
            <sz val="9"/>
            <color indexed="81"/>
            <rFont val="Tahoma"/>
            <family val="2"/>
          </rPr>
          <t xml:space="preserve">
awarded 2022
75K is from CSGF new grants for view sonics</t>
        </r>
      </text>
    </comment>
    <comment ref="G15" authorId="1" shapeId="0" xr:uid="{F68168F9-56E7-4199-A501-B41422648EC1}">
      <text>
        <r>
          <rPr>
            <b/>
            <sz val="9"/>
            <color indexed="81"/>
            <rFont val="Tahoma"/>
            <family val="2"/>
          </rPr>
          <t>Renea Ostermiller:</t>
        </r>
        <r>
          <rPr>
            <sz val="9"/>
            <color indexed="81"/>
            <rFont val="Tahoma"/>
            <family val="2"/>
          </rPr>
          <t xml:space="preserve">
New grants - 50K view sonics
300000 CSGF</t>
        </r>
      </text>
    </comment>
    <comment ref="I15" authorId="0" shapeId="0" xr:uid="{5A42C025-83F8-4EC3-948F-37252FC7A556}">
      <text>
        <r>
          <rPr>
            <b/>
            <sz val="9"/>
            <color indexed="81"/>
            <rFont val="Tahoma"/>
            <family val="2"/>
          </rPr>
          <t>Mike Miles:</t>
        </r>
        <r>
          <rPr>
            <sz val="9"/>
            <color indexed="81"/>
            <rFont val="Tahoma"/>
            <family val="2"/>
          </rPr>
          <t xml:space="preserve">
undesignated</t>
        </r>
      </text>
    </comment>
    <comment ref="K15" authorId="1" shapeId="0" xr:uid="{3B23D079-2004-4C9A-91F9-D74C9856D222}">
      <text>
        <r>
          <rPr>
            <b/>
            <sz val="9"/>
            <color indexed="81"/>
            <rFont val="Tahoma"/>
            <family val="2"/>
          </rPr>
          <t>Renea Ostermiller:</t>
        </r>
        <r>
          <rPr>
            <sz val="9"/>
            <color indexed="81"/>
            <rFont val="Tahoma"/>
            <family val="2"/>
          </rPr>
          <t xml:space="preserve">
New grants for view sonics</t>
        </r>
      </text>
    </comment>
    <comment ref="M15" authorId="0" shapeId="0" xr:uid="{A20CDA9C-A08B-4F1D-A4A8-6478D7A6D559}">
      <text>
        <r>
          <rPr>
            <b/>
            <sz val="9"/>
            <color indexed="81"/>
            <rFont val="Tahoma"/>
            <family val="2"/>
          </rPr>
          <t>Mike Miles:</t>
        </r>
        <r>
          <rPr>
            <sz val="9"/>
            <color indexed="81"/>
            <rFont val="Tahoma"/>
            <family val="2"/>
          </rPr>
          <t xml:space="preserve">
awarded 2022
where is the award letter</t>
        </r>
      </text>
    </comment>
    <comment ref="E20" authorId="1" shapeId="0" xr:uid="{DAAD6CC2-92A5-4AE0-8141-8F837906185B}">
      <text>
        <r>
          <rPr>
            <b/>
            <sz val="9"/>
            <color indexed="81"/>
            <rFont val="Tahoma"/>
            <family val="2"/>
          </rPr>
          <t>Renea Ostermiller:</t>
        </r>
        <r>
          <rPr>
            <sz val="9"/>
            <color indexed="81"/>
            <rFont val="Tahoma"/>
            <family val="2"/>
          </rPr>
          <t xml:space="preserve">
 $100,000 from probable CSP grant</t>
        </r>
      </text>
    </comment>
    <comment ref="M20" authorId="1" shapeId="0" xr:uid="{6FA3EEB5-FBC5-450B-9AC1-AC6378A52EC0}">
      <text>
        <r>
          <rPr>
            <b/>
            <sz val="9"/>
            <color indexed="81"/>
            <rFont val="Tahoma"/>
            <family val="2"/>
          </rPr>
          <t>Renea Ostermiller:</t>
        </r>
        <r>
          <rPr>
            <sz val="9"/>
            <color indexed="81"/>
            <rFont val="Tahoma"/>
            <family val="2"/>
          </rPr>
          <t xml:space="preserve">
Is red not received yet?</t>
        </r>
      </text>
    </comment>
    <comment ref="C30" authorId="1" shapeId="0" xr:uid="{E19E5079-05E9-4500-ADA6-28E694D1ECA6}">
      <text>
        <r>
          <rPr>
            <b/>
            <sz val="9"/>
            <color indexed="81"/>
            <rFont val="Tahoma"/>
            <family val="2"/>
          </rPr>
          <t>Renea Ostermiller:</t>
        </r>
        <r>
          <rPr>
            <sz val="9"/>
            <color indexed="81"/>
            <rFont val="Tahoma"/>
            <family val="2"/>
          </rPr>
          <t xml:space="preserve">
Esser</t>
        </r>
      </text>
    </comment>
    <comment ref="C31" authorId="1" shapeId="0" xr:uid="{3CFCC66E-98C6-4A1E-B486-D610EBEF7295}">
      <text>
        <r>
          <rPr>
            <b/>
            <sz val="9"/>
            <color indexed="81"/>
            <rFont val="Tahoma"/>
            <family val="2"/>
          </rPr>
          <t>Renea Ostermiller:</t>
        </r>
        <r>
          <rPr>
            <sz val="9"/>
            <color indexed="81"/>
            <rFont val="Tahoma"/>
            <family val="2"/>
          </rPr>
          <t xml:space="preserve">
TN</t>
        </r>
      </text>
    </comment>
    <comment ref="M54" authorId="1" shapeId="0" xr:uid="{F9EC5952-E525-46F9-8569-685FF32049DC}">
      <text>
        <r>
          <rPr>
            <b/>
            <sz val="9"/>
            <color indexed="81"/>
            <rFont val="Tahoma"/>
            <family val="2"/>
          </rPr>
          <t>Renea Ostermiller:</t>
        </r>
        <r>
          <rPr>
            <sz val="9"/>
            <color indexed="81"/>
            <rFont val="Tahoma"/>
            <family val="2"/>
          </rPr>
          <t xml:space="preserve">
Check network for funding
</t>
        </r>
      </text>
    </comment>
    <comment ref="A62" authorId="2" shapeId="0" xr:uid="{9BFC7A60-DCB6-45CC-B68F-21E141B06028}">
      <text>
        <r>
          <rPr>
            <b/>
            <sz val="9"/>
            <color indexed="81"/>
            <rFont val="Tahoma"/>
            <family val="2"/>
          </rPr>
          <t>Heather:</t>
        </r>
        <r>
          <rPr>
            <sz val="9"/>
            <color indexed="81"/>
            <rFont val="Tahoma"/>
            <family val="2"/>
          </rPr>
          <t xml:space="preserve">
Includes Unemployment + Workers Comp</t>
        </r>
      </text>
    </comment>
    <comment ref="P92" authorId="1" shapeId="0" xr:uid="{9E4DD47B-B661-4CE7-B9FD-6E8B7242F489}">
      <text>
        <r>
          <rPr>
            <b/>
            <sz val="9"/>
            <color indexed="81"/>
            <rFont val="Tahoma"/>
            <family val="2"/>
          </rPr>
          <t>Renea Ostermiller:</t>
        </r>
        <r>
          <rPr>
            <sz val="9"/>
            <color indexed="81"/>
            <rFont val="Tahoma"/>
            <family val="2"/>
          </rPr>
          <t xml:space="preserve">
Should center based support be added?
For Mendez
Add revenue and expense</t>
        </r>
      </text>
    </comment>
    <comment ref="A105" authorId="1" shapeId="0" xr:uid="{9E9536C9-6643-4CAA-B2CB-39D345688731}">
      <text>
        <r>
          <rPr>
            <b/>
            <sz val="9"/>
            <color indexed="81"/>
            <rFont val="Tahoma"/>
            <family val="2"/>
          </rPr>
          <t>Renea Ostermiller:</t>
        </r>
        <r>
          <rPr>
            <sz val="9"/>
            <color indexed="81"/>
            <rFont val="Tahoma"/>
            <family val="2"/>
          </rPr>
          <t xml:space="preserve">
Instructional technology</t>
        </r>
      </text>
    </comment>
    <comment ref="K135" authorId="0" shapeId="0" xr:uid="{3E56B208-F3B6-4CE8-8378-46533373FBD9}">
      <text>
        <r>
          <rPr>
            <b/>
            <sz val="9"/>
            <color indexed="81"/>
            <rFont val="Tahoma"/>
            <family val="2"/>
          </rPr>
          <t>Mike Miles:</t>
        </r>
        <r>
          <rPr>
            <sz val="9"/>
            <color indexed="81"/>
            <rFont val="Tahoma"/>
            <family val="2"/>
          </rPr>
          <t xml:space="preserve">
additional grant funds needed</t>
        </r>
      </text>
    </comment>
    <comment ref="A140" authorId="2" shapeId="0" xr:uid="{32EC5494-2A77-48BE-B704-DE544DFA4F4E}">
      <text>
        <r>
          <rPr>
            <b/>
            <sz val="9"/>
            <color indexed="81"/>
            <rFont val="Tahoma"/>
            <family val="2"/>
          </rPr>
          <t>Heather:</t>
        </r>
        <r>
          <rPr>
            <sz val="9"/>
            <color indexed="81"/>
            <rFont val="Tahoma"/>
            <family val="2"/>
          </rPr>
          <t xml:space="preserve">
Need to keep original budgets</t>
        </r>
      </text>
    </comment>
    <comment ref="M175" authorId="2" shapeId="0" xr:uid="{F901E64C-42B8-4B94-BE9D-A97E17F3C9F8}">
      <text>
        <r>
          <rPr>
            <b/>
            <sz val="9"/>
            <color indexed="81"/>
            <rFont val="Tahoma"/>
            <family val="2"/>
          </rPr>
          <t>Heather:</t>
        </r>
        <r>
          <rPr>
            <sz val="9"/>
            <color indexed="81"/>
            <rFont val="Tahoma"/>
            <family val="2"/>
          </rPr>
          <t xml:space="preserve">
Leave net as $50,000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Renea Ostermiller</author>
  </authors>
  <commentList>
    <comment ref="L3" authorId="0" shapeId="0" xr:uid="{C77016AD-1E2C-4B05-85FA-9E1A42DFDBC8}">
      <text>
        <r>
          <rPr>
            <b/>
            <sz val="9"/>
            <color indexed="81"/>
            <rFont val="Tahoma"/>
            <family val="2"/>
          </rPr>
          <t>Renea Ostermiller:</t>
        </r>
        <r>
          <rPr>
            <sz val="9"/>
            <color indexed="81"/>
            <rFont val="Tahoma"/>
            <family val="2"/>
          </rPr>
          <t xml:space="preserve">
Cost for health, dental, vision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Renea Ostermiller</author>
  </authors>
  <commentList>
    <comment ref="H3" authorId="0" shapeId="0" xr:uid="{2ECAF53D-C996-45A4-9F09-234455541624}">
      <text>
        <r>
          <rPr>
            <b/>
            <sz val="9"/>
            <color indexed="81"/>
            <rFont val="Tahoma"/>
            <family val="2"/>
          </rPr>
          <t>Renea Ostermiller:</t>
        </r>
        <r>
          <rPr>
            <sz val="9"/>
            <color indexed="81"/>
            <rFont val="Tahoma"/>
            <family val="2"/>
          </rPr>
          <t xml:space="preserve">
Cost for health, dental, vision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Renea Ostermiller</author>
  </authors>
  <commentList>
    <comment ref="H3" authorId="0" shapeId="0" xr:uid="{1118638D-5F45-4A2C-8263-B115676B0166}">
      <text>
        <r>
          <rPr>
            <b/>
            <sz val="9"/>
            <color indexed="81"/>
            <rFont val="Tahoma"/>
            <family val="2"/>
          </rPr>
          <t>Renea Ostermiller:</t>
        </r>
        <r>
          <rPr>
            <sz val="9"/>
            <color indexed="81"/>
            <rFont val="Tahoma"/>
            <family val="2"/>
          </rPr>
          <t xml:space="preserve">
Cost for health, dental, vision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Renea Ostermiller</author>
  </authors>
  <commentList>
    <comment ref="H3" authorId="0" shapeId="0" xr:uid="{23AE394E-C156-4D66-8A60-DB62D0B32A9B}">
      <text>
        <r>
          <rPr>
            <b/>
            <sz val="9"/>
            <color indexed="81"/>
            <rFont val="Tahoma"/>
            <family val="2"/>
          </rPr>
          <t>Renea Ostermiller:</t>
        </r>
        <r>
          <rPr>
            <sz val="9"/>
            <color indexed="81"/>
            <rFont val="Tahoma"/>
            <family val="2"/>
          </rPr>
          <t xml:space="preserve">
Cost for health, dental, vision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Renea Ostermiller</author>
  </authors>
  <commentList>
    <comment ref="H4" authorId="0" shapeId="0" xr:uid="{C58166DE-9EA5-4297-B3CD-7BC35FAB4E35}">
      <text>
        <r>
          <rPr>
            <b/>
            <sz val="9"/>
            <color indexed="81"/>
            <rFont val="Tahoma"/>
            <family val="2"/>
          </rPr>
          <t>Renea Ostermiller:</t>
        </r>
        <r>
          <rPr>
            <sz val="9"/>
            <color indexed="81"/>
            <rFont val="Tahoma"/>
            <family val="2"/>
          </rPr>
          <t xml:space="preserve">
Cost for health, dental, vision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Renea Ostermiller</author>
  </authors>
  <commentList>
    <comment ref="H3" authorId="0" shapeId="0" xr:uid="{22E09053-2EE6-4A3D-BBC3-2919F63C16A4}">
      <text>
        <r>
          <rPr>
            <b/>
            <sz val="9"/>
            <color indexed="81"/>
            <rFont val="Tahoma"/>
            <family val="2"/>
          </rPr>
          <t>Renea Ostermiller:</t>
        </r>
        <r>
          <rPr>
            <sz val="9"/>
            <color indexed="81"/>
            <rFont val="Tahoma"/>
            <family val="2"/>
          </rPr>
          <t xml:space="preserve">
Cost for health, dental, vision</t>
        </r>
      </text>
    </comment>
  </commentList>
</comments>
</file>

<file path=xl/sharedStrings.xml><?xml version="1.0" encoding="utf-8"?>
<sst xmlns="http://schemas.openxmlformats.org/spreadsheetml/2006/main" count="558" uniqueCount="356">
  <si>
    <t>TFS Unit 1 FY24 BUDGETS</t>
  </si>
  <si>
    <t>Unit Budget</t>
  </si>
  <si>
    <t>Smith MS</t>
  </si>
  <si>
    <t>Jones Clark ES</t>
  </si>
  <si>
    <t>Prescott K-8</t>
  </si>
  <si>
    <t>Mendez</t>
  </si>
  <si>
    <t>Average daily Attendance</t>
  </si>
  <si>
    <t>Physical Count</t>
  </si>
  <si>
    <t>Funded Pupil Count</t>
  </si>
  <si>
    <t>Per Pupil Revenue</t>
  </si>
  <si>
    <t>Per Pupil Mill/1882</t>
  </si>
  <si>
    <t>Account Description</t>
  </si>
  <si>
    <t>2023-2024 Budget</t>
  </si>
  <si>
    <t>REVENUE</t>
  </si>
  <si>
    <t>Pupil Activity Fund Raisers</t>
  </si>
  <si>
    <t>1882 Partnership Texas/ Colorado Mill Levy Equalization Funding</t>
  </si>
  <si>
    <t>State Revenue</t>
  </si>
  <si>
    <t>Charter School Growth Fund</t>
  </si>
  <si>
    <t>Capital Construction</t>
  </si>
  <si>
    <t>Replication Grant/ School Improvement Grant</t>
  </si>
  <si>
    <t>TEA Start-Up Grant (CSP)</t>
  </si>
  <si>
    <t>TEA School Action Fund Grant (SAF)</t>
  </si>
  <si>
    <t>Title IA</t>
  </si>
  <si>
    <t>Title IA - Homeless</t>
  </si>
  <si>
    <t>Title IA - Parent Activities/Home Improvement</t>
  </si>
  <si>
    <t>Title IIA</t>
  </si>
  <si>
    <t>Title IIIA  ELLA</t>
  </si>
  <si>
    <t>Title IV</t>
  </si>
  <si>
    <t>IDEA Part B - SPED</t>
  </si>
  <si>
    <t>IDEA (ARP)</t>
  </si>
  <si>
    <t>ESSER II</t>
  </si>
  <si>
    <t xml:space="preserve"> ESSER III  (summer school and 2 interventionists)</t>
  </si>
  <si>
    <t>RISE Grant Roll-Over Ending 30 Sept 22</t>
  </si>
  <si>
    <t>Read Act - FY21</t>
  </si>
  <si>
    <t>IMTA (Instructional Material Technology Allotment)</t>
  </si>
  <si>
    <t>Teacher Incentive Allotment/ Other staff incentives</t>
  </si>
  <si>
    <t>ECEA</t>
  </si>
  <si>
    <t>ECEA - Gifted &amp; Talented</t>
  </si>
  <si>
    <t>ELPA PD Revenue</t>
  </si>
  <si>
    <t>ELPA Revenue</t>
  </si>
  <si>
    <t>Universal Screening Grant</t>
  </si>
  <si>
    <t>At-Risk Per Pupil/ Elementary Emergency Reflief Fund</t>
  </si>
  <si>
    <t>On Behalf PERA / TRS</t>
  </si>
  <si>
    <t>Erate Revenue</t>
  </si>
  <si>
    <t>Federal Funds and Grants</t>
  </si>
  <si>
    <t>Sale of Land</t>
  </si>
  <si>
    <t xml:space="preserve">Ernest Money </t>
  </si>
  <si>
    <t>TFS Network Share</t>
  </si>
  <si>
    <t xml:space="preserve"> Other Funding/Undesignated</t>
  </si>
  <si>
    <t xml:space="preserve">Network Fees From the Campus </t>
  </si>
  <si>
    <t>Local Funds</t>
  </si>
  <si>
    <t>TOTAL REVENUES</t>
  </si>
  <si>
    <t>EXPENSES</t>
  </si>
  <si>
    <t xml:space="preserve">Instructional - Salaries  </t>
  </si>
  <si>
    <t>Instructional - Stipends</t>
  </si>
  <si>
    <t>Instructional - Incentive Pay</t>
  </si>
  <si>
    <t>Instructional - Salaries &amp; Benefits</t>
  </si>
  <si>
    <t>SPED - Salaries</t>
  </si>
  <si>
    <t>SPED Center Support Salaries</t>
  </si>
  <si>
    <t>SPED Center Support - Benefits  (See Staffing Sheet for Details)</t>
  </si>
  <si>
    <t>SPED - Salaries &amp; Benefits</t>
  </si>
  <si>
    <t>Admin - Salaries</t>
  </si>
  <si>
    <t>Admin - Bonuses</t>
  </si>
  <si>
    <t>Admin - Stipends</t>
  </si>
  <si>
    <t>SRT evaluation team (2 - 1099 contracted consultants)</t>
  </si>
  <si>
    <t>Admin - Salaries &amp; Benefits</t>
  </si>
  <si>
    <t>Payroll Expenses</t>
  </si>
  <si>
    <t>Copy Clerks (1099)</t>
  </si>
  <si>
    <t xml:space="preserve">Dyad Consultants </t>
  </si>
  <si>
    <t>Dyad Consultants Electives</t>
  </si>
  <si>
    <t>On Behalf PERA/TRS</t>
  </si>
  <si>
    <t>5th Quarter Summer School (summer 2023)</t>
  </si>
  <si>
    <t>Admin Dues &amp; Fees</t>
  </si>
  <si>
    <t>Facilities Dues &amp; Fees</t>
  </si>
  <si>
    <t>Food Service Fees (authorizer)</t>
  </si>
  <si>
    <t>SPED Fee (authorizer)Fee Liason Fee</t>
  </si>
  <si>
    <t>District administrative fee (authorizer)</t>
  </si>
  <si>
    <t>District Services Fee (authorizer)/itemized below</t>
  </si>
  <si>
    <t xml:space="preserve">Support </t>
  </si>
  <si>
    <t>Services from Others (authorizer)</t>
  </si>
  <si>
    <t>CDE Admin Fee</t>
  </si>
  <si>
    <t>Network capital improvements</t>
  </si>
  <si>
    <t>Furniture and equipment for East office</t>
  </si>
  <si>
    <t>Non-Capital Equipment (Instruc 0010)</t>
  </si>
  <si>
    <t xml:space="preserve">  Instruction - Technology</t>
  </si>
  <si>
    <t xml:space="preserve">  IT / Software Fees</t>
  </si>
  <si>
    <t>Technical Services</t>
  </si>
  <si>
    <t>Dyad equipment and materials/ Supplies</t>
  </si>
  <si>
    <t>After-school activities</t>
  </si>
  <si>
    <t xml:space="preserve">  Supplies and equip. -- Athletics</t>
  </si>
  <si>
    <t xml:space="preserve">  Supplies and equip. -- Choir/Band</t>
  </si>
  <si>
    <t xml:space="preserve">  Supplies and equip. -- Other extracurricular</t>
  </si>
  <si>
    <t>Textbooks</t>
  </si>
  <si>
    <t xml:space="preserve">  Instruction Electronic Media - Testing Material</t>
  </si>
  <si>
    <t>Uniforms</t>
  </si>
  <si>
    <t>Instructional Supplies</t>
  </si>
  <si>
    <t xml:space="preserve">  Instruction Teacher Supplies - Teacher Discretionary</t>
  </si>
  <si>
    <t>SPED Supplies (Nursing)</t>
  </si>
  <si>
    <t>Network staff supplies</t>
  </si>
  <si>
    <t xml:space="preserve">  Board supplies</t>
  </si>
  <si>
    <t>Admin Supplies</t>
  </si>
  <si>
    <t xml:space="preserve">  School Leadership- Other Supplies</t>
  </si>
  <si>
    <t>Principal Discretionary Supplies</t>
  </si>
  <si>
    <t>Custodial Supplies</t>
  </si>
  <si>
    <t>Gas &amp; Electric /Utilities</t>
  </si>
  <si>
    <t>Transportation - Fuel</t>
  </si>
  <si>
    <t>Transportation Purchased Services</t>
  </si>
  <si>
    <t>School Admin Advertising/ Communications</t>
  </si>
  <si>
    <t>Supplies and Materials</t>
  </si>
  <si>
    <r>
      <t xml:space="preserve">Student travel </t>
    </r>
    <r>
      <rPr>
        <sz val="11"/>
        <color rgb="FF0000FF"/>
        <rFont val="Calibri"/>
        <family val="2"/>
      </rPr>
      <t xml:space="preserve"> (additional grant dollars needed ($250,000))</t>
    </r>
  </si>
  <si>
    <t>Student field trips</t>
  </si>
  <si>
    <t xml:space="preserve">  Board PD and Travel</t>
  </si>
  <si>
    <t xml:space="preserve">  Admin Travel</t>
  </si>
  <si>
    <t>School Admin Student Data Base - APS</t>
  </si>
  <si>
    <t>Admin CLDE Professional Development - APS</t>
  </si>
  <si>
    <t>Internet Service</t>
  </si>
  <si>
    <t>Telephone</t>
  </si>
  <si>
    <t>Central Support Services Internet</t>
  </si>
  <si>
    <t>Central Support Services Telephone</t>
  </si>
  <si>
    <t>Contracted Substitutes (0010)</t>
  </si>
  <si>
    <t>SPED Professional Services</t>
  </si>
  <si>
    <t>Instruction Purchased service-PD ($40,000 for Teacher PD)</t>
  </si>
  <si>
    <t>Property &amp; Liability Insurance</t>
  </si>
  <si>
    <t xml:space="preserve">  Core Team DNO insurance</t>
  </si>
  <si>
    <t>Instruction Technology Purchased Services</t>
  </si>
  <si>
    <t>Legal Services</t>
  </si>
  <si>
    <t>Business Services Fees</t>
  </si>
  <si>
    <t>Business Services Banking</t>
  </si>
  <si>
    <t xml:space="preserve">  Network Technical Services</t>
  </si>
  <si>
    <t>Accounting Services</t>
  </si>
  <si>
    <t>Purchased Professional Services / Background Checks</t>
  </si>
  <si>
    <t xml:space="preserve">  Misc purchased services</t>
  </si>
  <si>
    <t>Professional Services</t>
  </si>
  <si>
    <t xml:space="preserve">  Copiers</t>
  </si>
  <si>
    <t>School Admin Vehicle Lease</t>
  </si>
  <si>
    <t>Custodial Services</t>
  </si>
  <si>
    <t>Waste Removal / Trash Services</t>
  </si>
  <si>
    <t>Water &amp; Sewer</t>
  </si>
  <si>
    <t>Security Services</t>
  </si>
  <si>
    <t>Grounds Maintenance and CAM</t>
  </si>
  <si>
    <t>Repair &amp; Maintenance (Equipment)</t>
  </si>
  <si>
    <t>Building Lease/Mortgage</t>
  </si>
  <si>
    <t>Debt Service/Bond Intercept</t>
  </si>
  <si>
    <t>Capital Lease Improvements</t>
  </si>
  <si>
    <t>Other Operating Expenses</t>
  </si>
  <si>
    <t>Total Expenses</t>
  </si>
  <si>
    <t>Net (Revenue - Expenses)</t>
  </si>
  <si>
    <t>Beginning Balance (unaudited projected balance)</t>
  </si>
  <si>
    <t>Ending Fund Balance (unaudited projected balance)</t>
  </si>
  <si>
    <t>Tabor</t>
  </si>
  <si>
    <t>N/A</t>
  </si>
  <si>
    <t>SPED</t>
  </si>
  <si>
    <t>UnRestricted Fund Balance</t>
  </si>
  <si>
    <t>TFS Coperni Project Implementation Costs  (Year I)</t>
  </si>
  <si>
    <t>2022-2023</t>
  </si>
  <si>
    <t xml:space="preserve">2023-2024 </t>
  </si>
  <si>
    <t>2023-2024</t>
  </si>
  <si>
    <t>Salary</t>
  </si>
  <si>
    <t>Annual cost w/benefits</t>
  </si>
  <si>
    <t>New Positions</t>
  </si>
  <si>
    <t>NLT hire date</t>
  </si>
  <si>
    <t>est. Cost (prorated)</t>
  </si>
  <si>
    <t>Total Salaries</t>
  </si>
  <si>
    <t>Salaries and Benefits</t>
  </si>
  <si>
    <t>Bonus</t>
  </si>
  <si>
    <r>
      <rPr>
        <b/>
        <sz val="14"/>
        <color theme="1"/>
        <rFont val="Calibri"/>
        <family val="2"/>
        <scheme val="minor"/>
      </rPr>
      <t xml:space="preserve">The Unit: </t>
    </r>
    <r>
      <rPr>
        <sz val="11"/>
        <rFont val="Calibri"/>
        <family val="2"/>
      </rPr>
      <t xml:space="preserve"> 1 Unit for every ten schools.  The Unit provides most of the central office support for the schools tied to that unit.  </t>
    </r>
    <r>
      <rPr>
        <b/>
        <i/>
        <sz val="11"/>
        <color rgb="FFFF0000"/>
        <rFont val="Calibri"/>
        <family val="2"/>
        <scheme val="minor"/>
      </rPr>
      <t>These are recurring expenditures for the network and not grant funded.</t>
    </r>
  </si>
  <si>
    <t>TFS Core Staff</t>
  </si>
  <si>
    <t>Deputy Chief of Schools and Ops</t>
  </si>
  <si>
    <t>Coperni Project Lead</t>
  </si>
  <si>
    <t>Director of Instruction</t>
  </si>
  <si>
    <t>Finance Manager</t>
  </si>
  <si>
    <t>HR/ Talent Manager</t>
  </si>
  <si>
    <t>Operations Manager</t>
  </si>
  <si>
    <t>Technology Coordinator</t>
  </si>
  <si>
    <t xml:space="preserve">Dyad Coordinator </t>
  </si>
  <si>
    <t xml:space="preserve">Non-recurring Costs </t>
  </si>
  <si>
    <t>Annual Salary</t>
  </si>
  <si>
    <r>
      <rPr>
        <b/>
        <sz val="14"/>
        <color theme="1"/>
        <rFont val="Calibri"/>
        <family val="2"/>
        <scheme val="minor"/>
      </rPr>
      <t xml:space="preserve">The Stand-up Team:  </t>
    </r>
    <r>
      <rPr>
        <sz val="11"/>
        <rFont val="Calibri"/>
        <family val="2"/>
      </rPr>
      <t xml:space="preserve">1 </t>
    </r>
    <r>
      <rPr>
        <sz val="10"/>
        <color theme="1"/>
        <rFont val="Calibri"/>
        <family val="2"/>
        <scheme val="minor"/>
      </rPr>
      <t>Stand-up Team for every three schools.  These teams ensure the school is outfitted and logistically prepared to start school. They then support implementation of processes and procedures during the first eight months.  Stand-up teams start working on the next set of schools after spring break.</t>
    </r>
  </si>
  <si>
    <t>ST member 1: Equipment and Materials</t>
  </si>
  <si>
    <t>ST member 2: Procedures and Processes</t>
  </si>
  <si>
    <t>ST member 3: Office Management</t>
  </si>
  <si>
    <t>Annual Salary and Bonus</t>
  </si>
  <si>
    <t>est. Cost</t>
  </si>
  <si>
    <r>
      <t xml:space="preserve">TFS Teacher Corps: </t>
    </r>
    <r>
      <rPr>
        <sz val="11"/>
        <rFont val="Calibri"/>
        <family val="2"/>
      </rPr>
      <t>teachers recruited to serve at least one year.  Approx. 5 per new school.</t>
    </r>
  </si>
  <si>
    <t xml:space="preserve">TFS Teacher Corps </t>
  </si>
  <si>
    <r>
      <rPr>
        <b/>
        <sz val="14"/>
        <color theme="1"/>
        <rFont val="Calibri"/>
        <family val="2"/>
        <scheme val="minor"/>
      </rPr>
      <t xml:space="preserve">TFS Principal Corps: </t>
    </r>
    <r>
      <rPr>
        <sz val="11"/>
        <rFont val="Calibri"/>
        <family val="2"/>
      </rPr>
      <t xml:space="preserve"> educators who will serve as assistant principals to learn how to be principals.  Approx. 6 per Unit.</t>
    </r>
  </si>
  <si>
    <t>TFS Principal Corps</t>
  </si>
  <si>
    <t>Cost for each startup</t>
  </si>
  <si>
    <t>No. of new schools</t>
  </si>
  <si>
    <t>Total Cost</t>
  </si>
  <si>
    <r>
      <rPr>
        <b/>
        <sz val="12"/>
        <color theme="1"/>
        <rFont val="Calibri"/>
        <family val="2"/>
        <scheme val="minor"/>
      </rPr>
      <t>Startup Equip. and Materials:</t>
    </r>
    <r>
      <rPr>
        <b/>
        <sz val="14"/>
        <color theme="1"/>
        <rFont val="Calibri"/>
        <family val="2"/>
        <scheme val="minor"/>
      </rPr>
      <t xml:space="preserve"> </t>
    </r>
    <r>
      <rPr>
        <sz val="11"/>
        <rFont val="Calibri"/>
        <family val="2"/>
      </rPr>
      <t xml:space="preserve">technology, furniture, curricula, and Dyad equipment </t>
    </r>
  </si>
  <si>
    <t>Recurring</t>
  </si>
  <si>
    <t>Non-recurring</t>
  </si>
  <si>
    <t xml:space="preserve">Total  </t>
  </si>
  <si>
    <t>Stand-up Teams</t>
  </si>
  <si>
    <t>Other personnel</t>
  </si>
  <si>
    <t>Equipment</t>
  </si>
  <si>
    <t>School Budgets</t>
  </si>
  <si>
    <t>TFS Network Support</t>
  </si>
  <si>
    <t>State grants or philanthropy</t>
  </si>
  <si>
    <t>DOE Grant</t>
  </si>
  <si>
    <r>
      <t xml:space="preserve">Smith MS Teacher 2023-2024 Base Salaries </t>
    </r>
    <r>
      <rPr>
        <i/>
        <sz val="12"/>
        <color theme="1"/>
        <rFont val="Calibri"/>
        <family val="2"/>
        <scheme val="minor"/>
      </rPr>
      <t>(revised 20 Mar 2023)</t>
    </r>
  </si>
  <si>
    <t>Position</t>
  </si>
  <si>
    <t>No. of teachers</t>
  </si>
  <si>
    <t>Salary Range</t>
  </si>
  <si>
    <t>Minimum for 3yrs of Experience (Avg. Base Salary)</t>
  </si>
  <si>
    <t>Estimated Salary Costs</t>
  </si>
  <si>
    <t>Minimum</t>
  </si>
  <si>
    <t>Maximum</t>
  </si>
  <si>
    <t>6th Grade Read/Write</t>
  </si>
  <si>
    <t>6th Grade Science of Reading</t>
  </si>
  <si>
    <t>6th Grade Math</t>
  </si>
  <si>
    <t>6th Grade Science</t>
  </si>
  <si>
    <t xml:space="preserve">6th Grade Art of Thinking </t>
  </si>
  <si>
    <t>7th Grade Read/Write</t>
  </si>
  <si>
    <t>7th Grade Math</t>
  </si>
  <si>
    <t>7th Grade Science</t>
  </si>
  <si>
    <t>7th Grade Art of Thinking</t>
  </si>
  <si>
    <t>7th Grade Social Studies</t>
  </si>
  <si>
    <t>8th Grade Read/Write</t>
  </si>
  <si>
    <t xml:space="preserve">8th Grade Math </t>
  </si>
  <si>
    <t>8th Grade Science</t>
  </si>
  <si>
    <t xml:space="preserve">8th Grade Art of Thinking </t>
  </si>
  <si>
    <t>8th Grade Social Studies</t>
  </si>
  <si>
    <t>Elective teachers</t>
  </si>
  <si>
    <t xml:space="preserve">Reading Interventionist </t>
  </si>
  <si>
    <t>ELD interventionist</t>
  </si>
  <si>
    <t xml:space="preserve">Learning Coach </t>
  </si>
  <si>
    <t>Teacher Apprentice</t>
  </si>
  <si>
    <t>Special Education</t>
  </si>
  <si>
    <t>Special Education support</t>
  </si>
  <si>
    <t>Principal</t>
  </si>
  <si>
    <t>Assistant Principal</t>
  </si>
  <si>
    <t xml:space="preserve">Counselor </t>
  </si>
  <si>
    <t>School Nurse</t>
  </si>
  <si>
    <t>Dyad Coordinator</t>
  </si>
  <si>
    <t>Office manager</t>
  </si>
  <si>
    <t>Assistant office manager</t>
  </si>
  <si>
    <t>Copy clerk</t>
  </si>
  <si>
    <t>TOTAL</t>
  </si>
  <si>
    <t>No.</t>
  </si>
  <si>
    <t>Minimum for High Performers with 3yrs of Exp.</t>
  </si>
  <si>
    <t>Kindergarten</t>
  </si>
  <si>
    <t>1st Grade</t>
  </si>
  <si>
    <t>2nd Grade Read/Write</t>
  </si>
  <si>
    <t>2nd Grade Science of Reading</t>
  </si>
  <si>
    <t>2nd Grade Math</t>
  </si>
  <si>
    <t>2nd Grade Science</t>
  </si>
  <si>
    <t>3rd Grade Read/Write</t>
  </si>
  <si>
    <t>3rd Grade Science of Reading</t>
  </si>
  <si>
    <t>3rd Grade Math</t>
  </si>
  <si>
    <t xml:space="preserve">3rd Grade Science </t>
  </si>
  <si>
    <t>3rd Grade Art of Thinking</t>
  </si>
  <si>
    <t>4th Grade Read/Write</t>
  </si>
  <si>
    <t>4th Grade Math</t>
  </si>
  <si>
    <t xml:space="preserve">4th Grade Science </t>
  </si>
  <si>
    <t>4th Grade Art of Thinking</t>
  </si>
  <si>
    <t>5th Grade Read/Write</t>
  </si>
  <si>
    <t>5th Grade Math</t>
  </si>
  <si>
    <t xml:space="preserve">5th Grade Science </t>
  </si>
  <si>
    <t>5th Grade Art of Thinking</t>
  </si>
  <si>
    <t>Electives</t>
  </si>
  <si>
    <t>Reading Interventionist (K-5)</t>
  </si>
  <si>
    <t>Counselor (.5)</t>
  </si>
  <si>
    <t>Nurse</t>
  </si>
  <si>
    <r>
      <t xml:space="preserve">Prescott Teacher 2023-2024 Base Salaries </t>
    </r>
    <r>
      <rPr>
        <i/>
        <sz val="12"/>
        <color theme="1"/>
        <rFont val="Calibri"/>
        <family val="2"/>
        <scheme val="minor"/>
      </rPr>
      <t xml:space="preserve"> (revised 4 Mar 2023)</t>
    </r>
  </si>
  <si>
    <t xml:space="preserve">Prescott  </t>
  </si>
  <si>
    <t>Grant Funded</t>
  </si>
  <si>
    <t>PreK</t>
  </si>
  <si>
    <t>PreK assistant</t>
  </si>
  <si>
    <t>2nd Grade ELA</t>
  </si>
  <si>
    <t>3rd Grade ELA</t>
  </si>
  <si>
    <t>3rd/4th Grade Science</t>
  </si>
  <si>
    <t>3rd/4th Grade Art of Thinking</t>
  </si>
  <si>
    <t>3rd/4th Grade Social Studies</t>
  </si>
  <si>
    <t>4th Grade ELA</t>
  </si>
  <si>
    <t>4th Grade Science of Reading</t>
  </si>
  <si>
    <t>5th Grade ELA</t>
  </si>
  <si>
    <t>5th/7th Grade Science of Reading</t>
  </si>
  <si>
    <t>5th/6th Grade Science</t>
  </si>
  <si>
    <t>5th/6th Grade Art of Thinking</t>
  </si>
  <si>
    <t>5th/6th Grade Social Studies</t>
  </si>
  <si>
    <t>6th Grade ELA</t>
  </si>
  <si>
    <t>6th/8th Grade Science of Reading</t>
  </si>
  <si>
    <t>7th Grade ELA</t>
  </si>
  <si>
    <t>7th/8th Grade Science</t>
  </si>
  <si>
    <t>7th/8th Grade Art of Thinking</t>
  </si>
  <si>
    <t>7th/8th Grade Social Studies</t>
  </si>
  <si>
    <t>8th Grade ELA</t>
  </si>
  <si>
    <t>8th Grade Math</t>
  </si>
  <si>
    <t>Elective classes</t>
  </si>
  <si>
    <t xml:space="preserve">Learning Coach   </t>
  </si>
  <si>
    <t>Special Education Support</t>
  </si>
  <si>
    <t>Asst. Principal</t>
  </si>
  <si>
    <t>Dean of Students</t>
  </si>
  <si>
    <t>Counselor</t>
  </si>
  <si>
    <t>Office Manager</t>
  </si>
  <si>
    <t>Asst. Office Manager</t>
  </si>
  <si>
    <t>Cafeteria manager</t>
  </si>
  <si>
    <r>
      <t xml:space="preserve"> Mendez Middle School Compensation -- 2023-2024 </t>
    </r>
    <r>
      <rPr>
        <i/>
        <sz val="11"/>
        <color theme="1"/>
        <rFont val="Calibri"/>
        <family val="2"/>
        <scheme val="minor"/>
      </rPr>
      <t>(revised 22 Mar 2023)</t>
    </r>
  </si>
  <si>
    <t>TOTAL by position</t>
  </si>
  <si>
    <t>7th/8th  Grade Art of Thinking</t>
  </si>
  <si>
    <t>8th Grade Art of Thinking</t>
  </si>
  <si>
    <t>Subtotal</t>
  </si>
  <si>
    <t>Total Staff (w/o Dyad)</t>
  </si>
  <si>
    <t>CENTER  BASED</t>
  </si>
  <si>
    <t>Life Skills Teacher</t>
  </si>
  <si>
    <t>Life Skills support</t>
  </si>
  <si>
    <t>Behavior unit teacher</t>
  </si>
  <si>
    <t>Behavior unit support</t>
  </si>
  <si>
    <t>Health</t>
  </si>
  <si>
    <t>TRS</t>
  </si>
  <si>
    <t>Medicare</t>
  </si>
  <si>
    <t>Workers Comp</t>
  </si>
  <si>
    <t>Unemployment</t>
  </si>
  <si>
    <t>Life</t>
  </si>
  <si>
    <t>Total Comp</t>
  </si>
  <si>
    <t>Total Benefits</t>
  </si>
  <si>
    <t xml:space="preserve">Total </t>
  </si>
  <si>
    <t>Compensation</t>
  </si>
  <si>
    <t>401K</t>
  </si>
  <si>
    <t>SGF</t>
  </si>
  <si>
    <t>Permian Strategic Partner</t>
  </si>
  <si>
    <t>New Schools Baton Rouge</t>
  </si>
  <si>
    <r>
      <t xml:space="preserve">Fehl Price ES Teacher 2023-2024 Base Salaries </t>
    </r>
    <r>
      <rPr>
        <i/>
        <sz val="12"/>
        <color theme="1"/>
        <rFont val="Calibri"/>
        <family val="2"/>
        <scheme val="minor"/>
      </rPr>
      <t>(revised 23 April 2023)</t>
    </r>
  </si>
  <si>
    <r>
      <t xml:space="preserve">Jones Clark ES Teacher 2023-2024 Base Salaries </t>
    </r>
    <r>
      <rPr>
        <i/>
        <sz val="12"/>
        <color theme="1"/>
        <rFont val="Calibri"/>
        <family val="2"/>
        <scheme val="minor"/>
      </rPr>
      <t>(revised 23 April 2023)</t>
    </r>
  </si>
  <si>
    <t>Fehl Price ES</t>
  </si>
  <si>
    <t>Network Support (Calculated from Tab Network Fees) 10% flat fee</t>
  </si>
  <si>
    <t>Network Support from the Campus</t>
  </si>
  <si>
    <t>Instructional - Payroll Benefits (See Staffing Sheet for Details)</t>
  </si>
  <si>
    <t xml:space="preserve">  SPED - Incentive Pay</t>
  </si>
  <si>
    <t>SPED - Payroll Benefits (See Staffing Sheet for Details)</t>
  </si>
  <si>
    <t>ADMIN- Payroll Benefits  (See Staffing Sheet for Details)</t>
  </si>
  <si>
    <t>All Staff Health Benefits</t>
  </si>
  <si>
    <t>All staff -- 401K</t>
  </si>
  <si>
    <t>LSAE Curriculum Developers (LCD) and SOR ($300,000)</t>
  </si>
  <si>
    <t>LSAE Curriculum  Developers - Payroll Benefits</t>
  </si>
  <si>
    <t>Network TOSAs (6)</t>
  </si>
  <si>
    <t>Network TOSAs - Payroll Benefits  (See Staffing Sheet for Details)</t>
  </si>
  <si>
    <t>Furniture and equipment</t>
  </si>
  <si>
    <t>Admin Non Capital Equipment</t>
  </si>
  <si>
    <t>Instruction Based Technology Equipment</t>
  </si>
  <si>
    <t>Chromebooks</t>
  </si>
  <si>
    <t xml:space="preserve">Electronic Media (Instruc 0010) </t>
  </si>
  <si>
    <t xml:space="preserve">  Instruction Curriculum (instructional maps and LCD lesson plans)</t>
  </si>
  <si>
    <t>Student Incentive Supplies (Habits of Success)</t>
  </si>
  <si>
    <t>Central Support Supplies (Physics in a Box)</t>
  </si>
  <si>
    <t>Audit Services</t>
  </si>
  <si>
    <t>Rental of Equipment (Printers)</t>
  </si>
  <si>
    <t>Foundation School Program Texas/ Colorado PPR (Per Pupil Revenue)</t>
  </si>
  <si>
    <t>21St Century Comm Learning Center</t>
  </si>
  <si>
    <t>USDA School Lunch Program</t>
  </si>
  <si>
    <t>MISC Revenue (Curr. Devel. From schools)</t>
  </si>
  <si>
    <t>Center Based Support</t>
  </si>
  <si>
    <t xml:space="preserve">  Equalization Fee</t>
  </si>
  <si>
    <t>Proposed Budget 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</si>
</sst>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409]d\-mmm\-yy;@"/>
    <numFmt numFmtId="168" formatCode="&quot;$&quot;#,##0.00"/>
    <numFmt numFmtId="169" formatCode="_(* #,##0_);_(* \(#,##0\);_(* &quot;-&quot;??_);_(@_)"/>
  </numFmts>
  <fonts count="32" x14ac:knownFonts="1">
    <font>
      <sz val="1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6"/>
      <name val="Calibri"/>
      <family val="2"/>
    </font>
    <font>
      <b/>
      <sz val="14"/>
      <name val="Calibri"/>
      <family val="2"/>
    </font>
    <font>
      <b/>
      <sz val="11"/>
      <name val="Calibri"/>
      <family val="2"/>
    </font>
    <font>
      <b/>
      <sz val="9"/>
      <name val="Calibri"/>
      <family val="2"/>
    </font>
    <font>
      <b/>
      <sz val="11"/>
      <name val="Calibri"/>
      <family val="2"/>
      <scheme val="minor"/>
    </font>
    <font>
      <sz val="14"/>
      <name val="Calibri"/>
      <family val="2"/>
    </font>
    <font>
      <sz val="12"/>
      <name val="Calibri"/>
      <family val="2"/>
    </font>
    <font>
      <b/>
      <sz val="9"/>
      <color indexed="81"/>
      <name val="Tahoma"/>
      <family val="2"/>
    </font>
    <font>
      <sz val="9"/>
      <color indexed="81"/>
      <name val="Tahoma"/>
      <family val="2"/>
    </font>
    <font>
      <b/>
      <sz val="11"/>
      <color theme="1"/>
      <name val="Calibri"/>
      <family val="2"/>
      <scheme val="minor"/>
    </font>
    <font>
      <sz val="11"/>
      <color rgb="FF0000FF"/>
      <name val="Calibri"/>
      <family val="2"/>
    </font>
    <font>
      <b/>
      <sz val="16"/>
      <color theme="1"/>
      <name val="Calibri"/>
      <family val="2"/>
      <scheme val="minor"/>
    </font>
    <font>
      <b/>
      <sz val="12"/>
      <color theme="1"/>
      <name val="Calibri"/>
      <family val="2"/>
      <scheme val="minor"/>
    </font>
    <font>
      <b/>
      <sz val="14"/>
      <color theme="1"/>
      <name val="Calibri"/>
      <family val="2"/>
      <scheme val="minor"/>
    </font>
    <font>
      <b/>
      <sz val="11"/>
      <color rgb="FF0000FF"/>
      <name val="Calibri"/>
      <family val="2"/>
    </font>
    <font>
      <sz val="10"/>
      <color theme="1"/>
      <name val="Calibri"/>
      <family val="2"/>
      <scheme val="minor"/>
    </font>
    <font>
      <sz val="11"/>
      <color rgb="FF0000FF"/>
      <name val="Calibri"/>
      <family val="2"/>
      <scheme val="minor"/>
    </font>
    <font>
      <b/>
      <i/>
      <sz val="11"/>
      <color rgb="FFFF0000"/>
      <name val="Calibri"/>
      <family val="2"/>
      <scheme val="minor"/>
    </font>
    <font>
      <b/>
      <sz val="9"/>
      <color rgb="FF0000FF"/>
      <name val="Calibri"/>
      <family val="2"/>
    </font>
    <font>
      <sz val="11"/>
      <color rgb="FFFF0000"/>
      <name val="Calibri"/>
      <family val="2"/>
    </font>
    <font>
      <i/>
      <sz val="11"/>
      <color theme="1"/>
      <name val="Calibri"/>
      <family val="2"/>
      <scheme val="minor"/>
    </font>
    <font>
      <i/>
      <sz val="12"/>
      <color theme="1"/>
      <name val="Calibri"/>
      <family val="2"/>
      <scheme val="minor"/>
    </font>
    <font>
      <b/>
      <sz val="12"/>
      <color theme="1"/>
      <name val="Calibri"/>
      <family val="2"/>
    </font>
  </fonts>
  <fills count="23">
    <fill>
      <patternFill patternType="none"/>
    </fill>
    <fill>
      <patternFill patternType="gray125"/>
    </fill>
    <fill>
      <patternFill patternType="solid">
        <fgColor theme="6"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DDDDD"/>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CC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66FFFF"/>
        <bgColor indexed="64"/>
      </patternFill>
    </fill>
    <fill>
      <patternFill patternType="solid">
        <fgColor rgb="FFFFFFCC"/>
        <bgColor indexed="64"/>
      </patternFill>
    </fill>
    <fill>
      <patternFill patternType="solid">
        <fgColor rgb="FF66FFFF"/>
        <bgColor rgb="FFD9E2F3"/>
      </patternFill>
    </fill>
    <fill>
      <patternFill patternType="solid">
        <fgColor rgb="FFFCE4D6"/>
        <bgColor indexed="64"/>
      </patternFill>
    </fill>
    <fill>
      <patternFill patternType="solid">
        <fgColor rgb="FFE2EFDA"/>
        <bgColor indexed="64"/>
      </patternFill>
    </fill>
    <fill>
      <patternFill patternType="solid">
        <fgColor rgb="FFCC66FF"/>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thin">
        <color rgb="FF000000"/>
      </top>
      <bottom style="thin">
        <color rgb="FF000000"/>
      </bottom>
      <diagonal/>
    </border>
  </borders>
  <cellStyleXfs count="13">
    <xf numFmtId="0" fontId="0" fillId="0" borderId="0"/>
    <xf numFmtId="44" fontId="8" fillId="0" borderId="0" applyFont="0" applyFill="0" applyBorder="0" applyAlignment="0" applyProtection="0"/>
    <xf numFmtId="9" fontId="8" fillId="0" borderId="0" applyFont="0" applyFill="0" applyBorder="0" applyAlignment="0" applyProtection="0"/>
    <xf numFmtId="0" fontId="7" fillId="0" borderId="0"/>
    <xf numFmtId="0" fontId="6" fillId="0" borderId="0"/>
    <xf numFmtId="0" fontId="5" fillId="0" borderId="0"/>
    <xf numFmtId="0" fontId="5" fillId="0" borderId="0"/>
    <xf numFmtId="0" fontId="8" fillId="0" borderId="0"/>
    <xf numFmtId="4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3" fillId="0" borderId="0"/>
    <xf numFmtId="0" fontId="3" fillId="0" borderId="0"/>
  </cellStyleXfs>
  <cellXfs count="428">
    <xf numFmtId="0" fontId="0" fillId="0" borderId="0" xfId="0"/>
    <xf numFmtId="42" fontId="9" fillId="2" borderId="1" xfId="1" applyNumberFormat="1" applyFont="1" applyFill="1" applyBorder="1"/>
    <xf numFmtId="42" fontId="10" fillId="3" borderId="3" xfId="1" applyNumberFormat="1" applyFont="1" applyFill="1" applyBorder="1" applyAlignment="1">
      <alignment horizontal="center"/>
    </xf>
    <xf numFmtId="42" fontId="9" fillId="5" borderId="2" xfId="1" applyNumberFormat="1" applyFont="1" applyFill="1" applyBorder="1" applyAlignment="1">
      <alignment horizontal="center"/>
    </xf>
    <xf numFmtId="42" fontId="12" fillId="2" borderId="1" xfId="1" applyNumberFormat="1" applyFont="1" applyFill="1" applyBorder="1"/>
    <xf numFmtId="42" fontId="12" fillId="3" borderId="3" xfId="1" applyNumberFormat="1" applyFont="1" applyFill="1" applyBorder="1" applyAlignment="1">
      <alignment horizontal="center"/>
    </xf>
    <xf numFmtId="42" fontId="12" fillId="2" borderId="6" xfId="1" applyNumberFormat="1" applyFont="1" applyFill="1" applyBorder="1" applyAlignment="1">
      <alignment horizontal="right"/>
    </xf>
    <xf numFmtId="42" fontId="12" fillId="3" borderId="9" xfId="1" applyNumberFormat="1" applyFont="1" applyFill="1" applyBorder="1" applyAlignment="1">
      <alignment horizontal="center"/>
    </xf>
    <xf numFmtId="42" fontId="12" fillId="2" borderId="10" xfId="1" applyNumberFormat="1" applyFont="1" applyFill="1" applyBorder="1" applyAlignment="1">
      <alignment horizontal="right"/>
    </xf>
    <xf numFmtId="42" fontId="12" fillId="3" borderId="13" xfId="1" applyNumberFormat="1" applyFont="1" applyFill="1" applyBorder="1" applyAlignment="1">
      <alignment horizontal="center"/>
    </xf>
    <xf numFmtId="42" fontId="12" fillId="2" borderId="16" xfId="1" applyNumberFormat="1" applyFont="1" applyFill="1" applyBorder="1" applyAlignment="1">
      <alignment horizontal="right"/>
    </xf>
    <xf numFmtId="42" fontId="12" fillId="3" borderId="17" xfId="1" applyNumberFormat="1" applyFont="1" applyFill="1" applyBorder="1" applyAlignment="1">
      <alignment horizontal="center"/>
    </xf>
    <xf numFmtId="42" fontId="13" fillId="6" borderId="4" xfId="1" applyNumberFormat="1" applyFont="1" applyFill="1" applyBorder="1" applyAlignment="1">
      <alignment horizontal="left" wrapText="1"/>
    </xf>
    <xf numFmtId="42" fontId="13" fillId="3" borderId="21" xfId="1" applyNumberFormat="1" applyFont="1" applyFill="1" applyBorder="1" applyAlignment="1">
      <alignment horizontal="center" wrapText="1"/>
    </xf>
    <xf numFmtId="42" fontId="9" fillId="3" borderId="2" xfId="1" applyNumberFormat="1" applyFont="1" applyFill="1" applyBorder="1"/>
    <xf numFmtId="42" fontId="9" fillId="3" borderId="3" xfId="1" applyNumberFormat="1" applyFont="1" applyFill="1" applyBorder="1"/>
    <xf numFmtId="42" fontId="8" fillId="0" borderId="0" xfId="1" applyNumberFormat="1" applyFont="1" applyFill="1" applyBorder="1"/>
    <xf numFmtId="42" fontId="8" fillId="0" borderId="5" xfId="1" applyNumberFormat="1" applyFont="1" applyFill="1" applyBorder="1"/>
    <xf numFmtId="42" fontId="8" fillId="3" borderId="0" xfId="1" applyNumberFormat="1" applyFont="1" applyFill="1" applyBorder="1" applyAlignment="1">
      <alignment horizontal="right" indent="1"/>
    </xf>
    <xf numFmtId="42" fontId="11" fillId="0" borderId="24" xfId="1" applyNumberFormat="1" applyFont="1" applyFill="1" applyBorder="1" applyAlignment="1">
      <alignment horizontal="left"/>
    </xf>
    <xf numFmtId="42" fontId="8" fillId="3" borderId="25" xfId="1" applyNumberFormat="1" applyFont="1" applyFill="1" applyBorder="1" applyAlignment="1">
      <alignment horizontal="right" indent="1"/>
    </xf>
    <xf numFmtId="42" fontId="11" fillId="0" borderId="26" xfId="1" applyNumberFormat="1" applyFont="1" applyFill="1" applyBorder="1" applyAlignment="1">
      <alignment horizontal="left"/>
    </xf>
    <xf numFmtId="42" fontId="8" fillId="3" borderId="27" xfId="1" applyNumberFormat="1" applyFont="1" applyFill="1" applyBorder="1" applyAlignment="1">
      <alignment horizontal="right" indent="1"/>
    </xf>
    <xf numFmtId="42" fontId="11" fillId="4" borderId="1" xfId="1" applyNumberFormat="1" applyFont="1" applyFill="1" applyBorder="1" applyAlignment="1">
      <alignment horizontal="right"/>
    </xf>
    <xf numFmtId="42" fontId="11" fillId="3" borderId="3" xfId="1" applyNumberFormat="1" applyFont="1" applyFill="1" applyBorder="1"/>
    <xf numFmtId="42" fontId="11" fillId="4" borderId="2" xfId="1" applyNumberFormat="1" applyFont="1" applyFill="1" applyBorder="1"/>
    <xf numFmtId="42" fontId="8" fillId="7" borderId="6" xfId="1" applyNumberFormat="1" applyFont="1" applyFill="1" applyBorder="1"/>
    <xf numFmtId="42" fontId="8" fillId="3" borderId="9" xfId="1" applyNumberFormat="1" applyFont="1" applyFill="1" applyBorder="1"/>
    <xf numFmtId="42" fontId="8" fillId="5" borderId="7" xfId="1" applyNumberFormat="1" applyFont="1" applyFill="1" applyBorder="1"/>
    <xf numFmtId="42" fontId="8" fillId="7" borderId="10" xfId="1" applyNumberFormat="1" applyFont="1" applyFill="1" applyBorder="1"/>
    <xf numFmtId="42" fontId="8" fillId="3" borderId="13" xfId="1" applyNumberFormat="1" applyFont="1" applyFill="1" applyBorder="1" applyAlignment="1">
      <alignment horizontal="right" indent="1"/>
    </xf>
    <xf numFmtId="42" fontId="8" fillId="3" borderId="13" xfId="1" applyNumberFormat="1" applyFont="1" applyFill="1" applyBorder="1"/>
    <xf numFmtId="42" fontId="8" fillId="7" borderId="10" xfId="1" applyNumberFormat="1" applyFont="1" applyFill="1" applyBorder="1" applyAlignment="1">
      <alignment horizontal="left"/>
    </xf>
    <xf numFmtId="0" fontId="8" fillId="7" borderId="10" xfId="0" applyFont="1" applyFill="1" applyBorder="1"/>
    <xf numFmtId="42" fontId="8" fillId="7" borderId="16" xfId="1" applyNumberFormat="1" applyFont="1" applyFill="1" applyBorder="1" applyAlignment="1">
      <alignment horizontal="left"/>
    </xf>
    <xf numFmtId="42" fontId="8" fillId="3" borderId="17" xfId="1" applyNumberFormat="1" applyFont="1" applyFill="1" applyBorder="1" applyAlignment="1">
      <alignment horizontal="right" indent="1"/>
    </xf>
    <xf numFmtId="42" fontId="8" fillId="3" borderId="17" xfId="1" applyNumberFormat="1" applyFont="1" applyFill="1" applyBorder="1"/>
    <xf numFmtId="42" fontId="11" fillId="3" borderId="3" xfId="1" applyNumberFormat="1" applyFont="1" applyFill="1" applyBorder="1" applyAlignment="1">
      <alignment horizontal="right" indent="1"/>
    </xf>
    <xf numFmtId="42" fontId="11" fillId="4" borderId="2" xfId="1" applyNumberFormat="1" applyFont="1" applyFill="1" applyBorder="1" applyAlignment="1">
      <alignment horizontal="right" indent="1"/>
    </xf>
    <xf numFmtId="42" fontId="11" fillId="7" borderId="16" xfId="1" applyNumberFormat="1" applyFont="1" applyFill="1" applyBorder="1" applyAlignment="1">
      <alignment horizontal="left"/>
    </xf>
    <xf numFmtId="42" fontId="11" fillId="4" borderId="4" xfId="1" applyNumberFormat="1" applyFont="1" applyFill="1" applyBorder="1" applyAlignment="1">
      <alignment horizontal="right"/>
    </xf>
    <xf numFmtId="44" fontId="8" fillId="3" borderId="21" xfId="1" applyFont="1" applyFill="1" applyBorder="1"/>
    <xf numFmtId="42" fontId="11" fillId="4" borderId="19" xfId="1" applyNumberFormat="1" applyFont="1" applyFill="1" applyBorder="1"/>
    <xf numFmtId="42" fontId="10" fillId="6" borderId="4" xfId="1" applyNumberFormat="1" applyFont="1" applyFill="1" applyBorder="1" applyAlignment="1">
      <alignment horizontal="right"/>
    </xf>
    <xf numFmtId="44" fontId="14" fillId="3" borderId="21" xfId="1" applyFont="1" applyFill="1" applyBorder="1"/>
    <xf numFmtId="42" fontId="10" fillId="6" borderId="19" xfId="1" applyNumberFormat="1" applyFont="1" applyFill="1" applyBorder="1" applyAlignment="1">
      <alignment horizontal="right" indent="1"/>
    </xf>
    <xf numFmtId="42" fontId="8" fillId="0" borderId="6" xfId="1" applyNumberFormat="1" applyFont="1" applyFill="1" applyBorder="1"/>
    <xf numFmtId="42" fontId="8" fillId="0" borderId="10" xfId="1" applyNumberFormat="1" applyFont="1" applyFill="1" applyBorder="1"/>
    <xf numFmtId="42" fontId="8" fillId="0" borderId="16" xfId="1" applyNumberFormat="1" applyFont="1" applyFill="1" applyBorder="1"/>
    <xf numFmtId="42" fontId="11" fillId="3" borderId="21" xfId="1" applyNumberFormat="1" applyFont="1" applyFill="1" applyBorder="1"/>
    <xf numFmtId="42" fontId="11" fillId="7" borderId="16" xfId="1" applyNumberFormat="1" applyFont="1" applyFill="1" applyBorder="1"/>
    <xf numFmtId="49" fontId="8" fillId="7" borderId="10" xfId="0" applyNumberFormat="1" applyFont="1" applyFill="1" applyBorder="1" applyAlignment="1">
      <alignment horizontal="left"/>
    </xf>
    <xf numFmtId="42" fontId="8" fillId="7" borderId="16" xfId="1" applyNumberFormat="1" applyFont="1" applyFill="1" applyBorder="1"/>
    <xf numFmtId="0" fontId="8" fillId="7" borderId="6" xfId="0" applyFont="1" applyFill="1" applyBorder="1" applyAlignment="1">
      <alignment horizontal="left"/>
    </xf>
    <xf numFmtId="42" fontId="10" fillId="6" borderId="1" xfId="1" applyNumberFormat="1" applyFont="1" applyFill="1" applyBorder="1" applyAlignment="1">
      <alignment horizontal="right" indent="1"/>
    </xf>
    <xf numFmtId="42" fontId="10" fillId="6" borderId="2" xfId="1" applyNumberFormat="1" applyFont="1" applyFill="1" applyBorder="1" applyAlignment="1">
      <alignment horizontal="right" indent="1"/>
    </xf>
    <xf numFmtId="42" fontId="10" fillId="3" borderId="3" xfId="1" applyNumberFormat="1" applyFont="1" applyFill="1" applyBorder="1" applyAlignment="1">
      <alignment horizontal="right" indent="1"/>
    </xf>
    <xf numFmtId="42" fontId="11" fillId="3" borderId="6" xfId="1" applyNumberFormat="1" applyFont="1" applyFill="1" applyBorder="1" applyAlignment="1">
      <alignment horizontal="right"/>
    </xf>
    <xf numFmtId="42" fontId="11" fillId="3" borderId="9" xfId="1" applyNumberFormat="1" applyFont="1" applyFill="1" applyBorder="1" applyAlignment="1">
      <alignment horizontal="right" indent="1"/>
    </xf>
    <xf numFmtId="42" fontId="11" fillId="8" borderId="10" xfId="1" applyNumberFormat="1" applyFont="1" applyFill="1" applyBorder="1" applyAlignment="1">
      <alignment horizontal="right"/>
    </xf>
    <xf numFmtId="42" fontId="11" fillId="3" borderId="13" xfId="1" applyNumberFormat="1" applyFont="1" applyFill="1" applyBorder="1" applyAlignment="1">
      <alignment horizontal="right" indent="1"/>
    </xf>
    <xf numFmtId="42" fontId="11" fillId="0" borderId="10" xfId="1" applyNumberFormat="1" applyFont="1" applyFill="1" applyBorder="1" applyAlignment="1">
      <alignment horizontal="right" indent="1"/>
    </xf>
    <xf numFmtId="42" fontId="11" fillId="3" borderId="13" xfId="1" applyNumberFormat="1" applyFont="1" applyFill="1" applyBorder="1"/>
    <xf numFmtId="42" fontId="11" fillId="0" borderId="26" xfId="1" applyNumberFormat="1" applyFont="1" applyFill="1" applyBorder="1" applyAlignment="1">
      <alignment horizontal="right" indent="1"/>
    </xf>
    <xf numFmtId="42" fontId="11" fillId="3" borderId="27" xfId="1" applyNumberFormat="1" applyFont="1" applyFill="1" applyBorder="1"/>
    <xf numFmtId="42" fontId="11" fillId="0" borderId="4" xfId="1" applyNumberFormat="1" applyFont="1" applyBorder="1" applyAlignment="1">
      <alignment horizontal="right"/>
    </xf>
    <xf numFmtId="42" fontId="8" fillId="3" borderId="21" xfId="1" applyNumberFormat="1" applyFont="1" applyFill="1" applyBorder="1"/>
    <xf numFmtId="42" fontId="8" fillId="5" borderId="19" xfId="1" applyNumberFormat="1" applyFont="1" applyFill="1" applyBorder="1"/>
    <xf numFmtId="42" fontId="11" fillId="0" borderId="22" xfId="1" applyNumberFormat="1" applyFont="1" applyBorder="1" applyAlignment="1">
      <alignment horizontal="right"/>
    </xf>
    <xf numFmtId="42" fontId="8" fillId="3" borderId="23" xfId="1" applyNumberFormat="1" applyFont="1" applyFill="1" applyBorder="1"/>
    <xf numFmtId="42" fontId="8" fillId="5" borderId="28" xfId="1" applyNumberFormat="1" applyFont="1" applyFill="1" applyBorder="1"/>
    <xf numFmtId="42" fontId="8" fillId="0" borderId="2" xfId="1" applyNumberFormat="1" applyFont="1" applyBorder="1" applyAlignment="1">
      <alignment horizontal="right"/>
    </xf>
    <xf numFmtId="42" fontId="8" fillId="3" borderId="3" xfId="1" applyNumberFormat="1" applyFont="1" applyFill="1" applyBorder="1"/>
    <xf numFmtId="42" fontId="8" fillId="5" borderId="3" xfId="1" applyNumberFormat="1" applyFont="1" applyFill="1" applyBorder="1"/>
    <xf numFmtId="0" fontId="19" fillId="7" borderId="10" xfId="0" applyFont="1" applyFill="1" applyBorder="1"/>
    <xf numFmtId="0" fontId="6" fillId="0" borderId="0" xfId="4"/>
    <xf numFmtId="0" fontId="21" fillId="9" borderId="12" xfId="4" applyFont="1" applyFill="1" applyBorder="1" applyAlignment="1">
      <alignment horizontal="center" vertical="center"/>
    </xf>
    <xf numFmtId="0" fontId="6" fillId="0" borderId="12" xfId="4" applyBorder="1"/>
    <xf numFmtId="0" fontId="6" fillId="0" borderId="12" xfId="4" applyBorder="1" applyAlignment="1">
      <alignment horizontal="center"/>
    </xf>
    <xf numFmtId="165" fontId="6" fillId="0" borderId="12" xfId="4" applyNumberFormat="1" applyBorder="1" applyAlignment="1">
      <alignment horizontal="center" vertical="center"/>
    </xf>
    <xf numFmtId="165" fontId="18" fillId="0" borderId="12" xfId="4" applyNumberFormat="1" applyFont="1" applyBorder="1" applyAlignment="1">
      <alignment horizontal="center" vertical="center"/>
    </xf>
    <xf numFmtId="0" fontId="0" fillId="0" borderId="12" xfId="4" applyFont="1" applyBorder="1" applyAlignment="1">
      <alignment wrapText="1"/>
    </xf>
    <xf numFmtId="0" fontId="6" fillId="0" borderId="12" xfId="4" applyBorder="1" applyAlignment="1">
      <alignment wrapText="1"/>
    </xf>
    <xf numFmtId="0" fontId="6" fillId="0" borderId="12" xfId="4" applyBorder="1" applyAlignment="1">
      <alignment horizontal="center" vertical="center"/>
    </xf>
    <xf numFmtId="0" fontId="0" fillId="0" borderId="12" xfId="4" applyFont="1" applyBorder="1"/>
    <xf numFmtId="0" fontId="6" fillId="0" borderId="0" xfId="4" applyAlignment="1">
      <alignment horizontal="center"/>
    </xf>
    <xf numFmtId="165" fontId="21" fillId="10" borderId="12" xfId="4" applyNumberFormat="1" applyFont="1" applyFill="1" applyBorder="1" applyAlignment="1">
      <alignment horizontal="center"/>
    </xf>
    <xf numFmtId="165" fontId="18" fillId="0" borderId="12" xfId="4" applyNumberFormat="1" applyFont="1" applyBorder="1" applyAlignment="1">
      <alignment horizontal="center"/>
    </xf>
    <xf numFmtId="0" fontId="18" fillId="0" borderId="12" xfId="4" applyFont="1" applyBorder="1" applyAlignment="1">
      <alignment horizontal="center" vertical="center"/>
    </xf>
    <xf numFmtId="0" fontId="18" fillId="0" borderId="0" xfId="4" applyFont="1" applyAlignment="1">
      <alignment horizontal="center" vertical="center"/>
    </xf>
    <xf numFmtId="0" fontId="22" fillId="11" borderId="12" xfId="4" applyFont="1" applyFill="1" applyBorder="1" applyAlignment="1">
      <alignment horizontal="center" vertical="center"/>
    </xf>
    <xf numFmtId="0" fontId="21" fillId="12" borderId="12" xfId="4" applyFont="1" applyFill="1" applyBorder="1" applyAlignment="1">
      <alignment horizontal="center"/>
    </xf>
    <xf numFmtId="165" fontId="21" fillId="11" borderId="12" xfId="4" applyNumberFormat="1" applyFont="1" applyFill="1" applyBorder="1" applyAlignment="1">
      <alignment horizontal="center"/>
    </xf>
    <xf numFmtId="0" fontId="0" fillId="7" borderId="0" xfId="0" applyFill="1"/>
    <xf numFmtId="1" fontId="6" fillId="0" borderId="12" xfId="4" applyNumberFormat="1" applyBorder="1" applyAlignment="1">
      <alignment horizontal="center" vertical="center"/>
    </xf>
    <xf numFmtId="165" fontId="18" fillId="0" borderId="8" xfId="4" applyNumberFormat="1" applyFont="1" applyBorder="1" applyAlignment="1">
      <alignment horizontal="center" vertical="center"/>
    </xf>
    <xf numFmtId="165" fontId="18" fillId="0" borderId="18" xfId="4" applyNumberFormat="1" applyFont="1" applyBorder="1" applyAlignment="1">
      <alignment horizontal="center" vertical="center"/>
    </xf>
    <xf numFmtId="1" fontId="6" fillId="0" borderId="0" xfId="4" applyNumberFormat="1" applyAlignment="1">
      <alignment horizontal="center"/>
    </xf>
    <xf numFmtId="166" fontId="6" fillId="0" borderId="12" xfId="4" applyNumberFormat="1" applyBorder="1" applyAlignment="1">
      <alignment horizontal="center"/>
    </xf>
    <xf numFmtId="165" fontId="6" fillId="0" borderId="0" xfId="4" applyNumberFormat="1" applyAlignment="1">
      <alignment horizontal="center"/>
    </xf>
    <xf numFmtId="1" fontId="21" fillId="12" borderId="12" xfId="4" applyNumberFormat="1" applyFont="1" applyFill="1" applyBorder="1" applyAlignment="1">
      <alignment horizontal="center" vertical="center"/>
    </xf>
    <xf numFmtId="165" fontId="21" fillId="0" borderId="0" xfId="4" applyNumberFormat="1" applyFont="1" applyAlignment="1">
      <alignment horizontal="center"/>
    </xf>
    <xf numFmtId="42" fontId="23" fillId="3" borderId="17" xfId="1" applyNumberFormat="1" applyFont="1" applyFill="1" applyBorder="1"/>
    <xf numFmtId="42" fontId="9" fillId="5" borderId="12" xfId="1" applyNumberFormat="1" applyFont="1" applyFill="1" applyBorder="1" applyAlignment="1">
      <alignment horizontal="center"/>
    </xf>
    <xf numFmtId="42" fontId="12" fillId="5" borderId="30" xfId="1" applyNumberFormat="1" applyFont="1" applyFill="1" applyBorder="1" applyAlignment="1">
      <alignment horizontal="center"/>
    </xf>
    <xf numFmtId="9" fontId="12" fillId="5" borderId="8" xfId="2" applyFont="1" applyFill="1" applyBorder="1" applyAlignment="1">
      <alignment horizontal="center"/>
    </xf>
    <xf numFmtId="1" fontId="12" fillId="5" borderId="12" xfId="1" applyNumberFormat="1" applyFont="1" applyFill="1" applyBorder="1" applyAlignment="1">
      <alignment horizontal="center"/>
    </xf>
    <xf numFmtId="42" fontId="11" fillId="5" borderId="32" xfId="1" applyNumberFormat="1" applyFont="1" applyFill="1" applyBorder="1"/>
    <xf numFmtId="42" fontId="11" fillId="4" borderId="3" xfId="1" applyNumberFormat="1" applyFont="1" applyFill="1" applyBorder="1"/>
    <xf numFmtId="42" fontId="8" fillId="5" borderId="12" xfId="1" applyNumberFormat="1" applyFont="1" applyFill="1" applyBorder="1"/>
    <xf numFmtId="42" fontId="11" fillId="4" borderId="3" xfId="1" applyNumberFormat="1" applyFont="1" applyFill="1" applyBorder="1" applyAlignment="1">
      <alignment horizontal="right" indent="1"/>
    </xf>
    <xf numFmtId="42" fontId="11" fillId="4" borderId="21" xfId="1" applyNumberFormat="1" applyFont="1" applyFill="1" applyBorder="1"/>
    <xf numFmtId="42" fontId="10" fillId="6" borderId="21" xfId="1" applyNumberFormat="1" applyFont="1" applyFill="1" applyBorder="1" applyAlignment="1">
      <alignment horizontal="right" indent="1"/>
    </xf>
    <xf numFmtId="42" fontId="10" fillId="6" borderId="3" xfId="1" applyNumberFormat="1" applyFont="1" applyFill="1" applyBorder="1" applyAlignment="1">
      <alignment horizontal="right" indent="1"/>
    </xf>
    <xf numFmtId="42" fontId="11" fillId="3" borderId="8" xfId="1" applyNumberFormat="1" applyFont="1" applyFill="1" applyBorder="1" applyAlignment="1">
      <alignment horizontal="right" indent="1"/>
    </xf>
    <xf numFmtId="42" fontId="11" fillId="5" borderId="12" xfId="1" applyNumberFormat="1" applyFont="1" applyFill="1" applyBorder="1"/>
    <xf numFmtId="164" fontId="12" fillId="5" borderId="12" xfId="1" applyNumberFormat="1" applyFont="1" applyFill="1" applyBorder="1" applyAlignment="1">
      <alignment horizontal="center"/>
    </xf>
    <xf numFmtId="42" fontId="13" fillId="6" borderId="20" xfId="1" applyNumberFormat="1" applyFont="1" applyFill="1" applyBorder="1" applyAlignment="1">
      <alignment horizontal="center" vertical="center" wrapText="1"/>
    </xf>
    <xf numFmtId="42" fontId="11" fillId="5" borderId="8" xfId="1" applyNumberFormat="1" applyFont="1" applyFill="1" applyBorder="1"/>
    <xf numFmtId="42" fontId="12" fillId="5" borderId="2" xfId="1" applyNumberFormat="1" applyFont="1" applyFill="1" applyBorder="1" applyAlignment="1">
      <alignment horizontal="center" wrapText="1"/>
    </xf>
    <xf numFmtId="9" fontId="12" fillId="5" borderId="35" xfId="2" applyFont="1" applyFill="1" applyBorder="1" applyAlignment="1">
      <alignment horizontal="center"/>
    </xf>
    <xf numFmtId="1" fontId="12" fillId="5" borderId="36" xfId="1" applyNumberFormat="1" applyFont="1" applyFill="1" applyBorder="1" applyAlignment="1">
      <alignment horizontal="center"/>
    </xf>
    <xf numFmtId="164" fontId="12" fillId="5" borderId="36" xfId="1" applyNumberFormat="1" applyFont="1" applyFill="1" applyBorder="1" applyAlignment="1">
      <alignment horizontal="center"/>
    </xf>
    <xf numFmtId="164" fontId="12" fillId="5" borderId="37" xfId="1" applyNumberFormat="1" applyFont="1" applyFill="1" applyBorder="1" applyAlignment="1">
      <alignment horizontal="center"/>
    </xf>
    <xf numFmtId="42" fontId="13" fillId="6" borderId="19" xfId="1" applyNumberFormat="1" applyFont="1" applyFill="1" applyBorder="1" applyAlignment="1">
      <alignment horizontal="center" vertical="center" wrapText="1"/>
    </xf>
    <xf numFmtId="42" fontId="8" fillId="5" borderId="34" xfId="1" applyNumberFormat="1" applyFont="1" applyFill="1" applyBorder="1"/>
    <xf numFmtId="42" fontId="11" fillId="5" borderId="38" xfId="1" applyNumberFormat="1" applyFont="1" applyFill="1" applyBorder="1"/>
    <xf numFmtId="42" fontId="11" fillId="5" borderId="39" xfId="1" applyNumberFormat="1" applyFont="1" applyFill="1" applyBorder="1"/>
    <xf numFmtId="42" fontId="8" fillId="5" borderId="35" xfId="1" applyNumberFormat="1" applyFont="1" applyFill="1" applyBorder="1"/>
    <xf numFmtId="42" fontId="8" fillId="5" borderId="36" xfId="1" applyNumberFormat="1" applyFont="1" applyFill="1" applyBorder="1"/>
    <xf numFmtId="42" fontId="8" fillId="5" borderId="37" xfId="1" applyNumberFormat="1" applyFont="1" applyFill="1" applyBorder="1"/>
    <xf numFmtId="42" fontId="23" fillId="5" borderId="37" xfId="1" applyNumberFormat="1" applyFont="1" applyFill="1" applyBorder="1"/>
    <xf numFmtId="42" fontId="11" fillId="3" borderId="35" xfId="1" applyNumberFormat="1" applyFont="1" applyFill="1" applyBorder="1" applyAlignment="1">
      <alignment horizontal="right" indent="1"/>
    </xf>
    <xf numFmtId="42" fontId="11" fillId="5" borderId="36" xfId="1" applyNumberFormat="1" applyFont="1" applyFill="1" applyBorder="1" applyAlignment="1">
      <alignment horizontal="right" indent="1"/>
    </xf>
    <xf numFmtId="42" fontId="11" fillId="5" borderId="36" xfId="1" applyNumberFormat="1" applyFont="1" applyFill="1" applyBorder="1"/>
    <xf numFmtId="42" fontId="12" fillId="5" borderId="12" xfId="1" applyNumberFormat="1" applyFont="1" applyFill="1" applyBorder="1" applyAlignment="1">
      <alignment horizontal="center" wrapText="1"/>
    </xf>
    <xf numFmtId="9" fontId="12" fillId="5" borderId="12" xfId="2" applyFont="1" applyFill="1" applyBorder="1" applyAlignment="1">
      <alignment horizontal="center"/>
    </xf>
    <xf numFmtId="42" fontId="13" fillId="6" borderId="12" xfId="1" applyNumberFormat="1" applyFont="1" applyFill="1" applyBorder="1" applyAlignment="1">
      <alignment horizontal="center" vertical="center" wrapText="1"/>
    </xf>
    <xf numFmtId="42" fontId="9" fillId="3" borderId="12" xfId="1" applyNumberFormat="1" applyFont="1" applyFill="1" applyBorder="1"/>
    <xf numFmtId="42" fontId="11" fillId="4" borderId="12" xfId="1" applyNumberFormat="1" applyFont="1" applyFill="1" applyBorder="1"/>
    <xf numFmtId="42" fontId="23" fillId="5" borderId="12" xfId="1" applyNumberFormat="1" applyFont="1" applyFill="1" applyBorder="1"/>
    <xf numFmtId="42" fontId="11" fillId="3" borderId="12" xfId="1" applyNumberFormat="1" applyFont="1" applyFill="1" applyBorder="1" applyAlignment="1">
      <alignment horizontal="right" indent="1"/>
    </xf>
    <xf numFmtId="42" fontId="9" fillId="13" borderId="12" xfId="1" applyNumberFormat="1" applyFont="1" applyFill="1" applyBorder="1" applyAlignment="1">
      <alignment horizontal="center"/>
    </xf>
    <xf numFmtId="42" fontId="12" fillId="13" borderId="12" xfId="1" applyNumberFormat="1" applyFont="1" applyFill="1" applyBorder="1" applyAlignment="1">
      <alignment horizontal="center" wrapText="1"/>
    </xf>
    <xf numFmtId="9" fontId="12" fillId="13" borderId="12" xfId="2" applyFont="1" applyFill="1" applyBorder="1" applyAlignment="1">
      <alignment horizontal="center"/>
    </xf>
    <xf numFmtId="1" fontId="12" fillId="13" borderId="12" xfId="1" applyNumberFormat="1" applyFont="1" applyFill="1" applyBorder="1" applyAlignment="1">
      <alignment horizontal="center"/>
    </xf>
    <xf numFmtId="164" fontId="12" fillId="13" borderId="12" xfId="1" applyNumberFormat="1" applyFont="1" applyFill="1" applyBorder="1" applyAlignment="1">
      <alignment horizontal="center"/>
    </xf>
    <xf numFmtId="42" fontId="13" fillId="13" borderId="12" xfId="1" applyNumberFormat="1" applyFont="1" applyFill="1" applyBorder="1" applyAlignment="1">
      <alignment horizontal="center" vertical="center" wrapText="1"/>
    </xf>
    <xf numFmtId="42" fontId="9" fillId="13" borderId="12" xfId="1" applyNumberFormat="1" applyFont="1" applyFill="1" applyBorder="1"/>
    <xf numFmtId="42" fontId="8" fillId="13" borderId="12" xfId="1" applyNumberFormat="1" applyFont="1" applyFill="1" applyBorder="1"/>
    <xf numFmtId="42" fontId="11" fillId="13" borderId="12" xfId="1" applyNumberFormat="1" applyFont="1" applyFill="1" applyBorder="1"/>
    <xf numFmtId="42" fontId="11" fillId="13" borderId="12" xfId="1" applyNumberFormat="1" applyFont="1" applyFill="1" applyBorder="1" applyAlignment="1">
      <alignment horizontal="right" indent="1"/>
    </xf>
    <xf numFmtId="42" fontId="10" fillId="13" borderId="12" xfId="1" applyNumberFormat="1" applyFont="1" applyFill="1" applyBorder="1" applyAlignment="1">
      <alignment horizontal="right" indent="1"/>
    </xf>
    <xf numFmtId="42" fontId="23" fillId="13" borderId="12" xfId="1" applyNumberFormat="1" applyFont="1" applyFill="1" applyBorder="1"/>
    <xf numFmtId="0" fontId="5" fillId="0" borderId="0" xfId="5"/>
    <xf numFmtId="0" fontId="5" fillId="0" borderId="12" xfId="5" applyBorder="1"/>
    <xf numFmtId="0" fontId="5" fillId="0" borderId="12" xfId="5" applyBorder="1" applyAlignment="1">
      <alignment horizontal="center" vertical="center"/>
    </xf>
    <xf numFmtId="165" fontId="5" fillId="0" borderId="12" xfId="5" applyNumberFormat="1" applyBorder="1" applyAlignment="1">
      <alignment horizontal="center" vertical="center"/>
    </xf>
    <xf numFmtId="165" fontId="18" fillId="0" borderId="12" xfId="5" applyNumberFormat="1" applyFont="1" applyBorder="1" applyAlignment="1">
      <alignment horizontal="center" vertical="center"/>
    </xf>
    <xf numFmtId="165" fontId="18" fillId="0" borderId="12" xfId="5" applyNumberFormat="1" applyFont="1" applyBorder="1" applyAlignment="1">
      <alignment horizontal="center"/>
    </xf>
    <xf numFmtId="0" fontId="5" fillId="0" borderId="12" xfId="5" applyBorder="1" applyAlignment="1">
      <alignment wrapText="1"/>
    </xf>
    <xf numFmtId="0" fontId="5" fillId="0" borderId="12" xfId="5" applyBorder="1" applyAlignment="1">
      <alignment horizontal="center"/>
    </xf>
    <xf numFmtId="165" fontId="21" fillId="10" borderId="12" xfId="5" applyNumberFormat="1" applyFont="1" applyFill="1" applyBorder="1" applyAlignment="1">
      <alignment horizontal="center" vertical="center"/>
    </xf>
    <xf numFmtId="0" fontId="5" fillId="0" borderId="0" xfId="5" applyAlignment="1">
      <alignment horizontal="center"/>
    </xf>
    <xf numFmtId="165" fontId="5" fillId="0" borderId="12" xfId="5" applyNumberFormat="1" applyBorder="1" applyAlignment="1">
      <alignment horizontal="center"/>
    </xf>
    <xf numFmtId="165" fontId="21" fillId="0" borderId="0" xfId="5" applyNumberFormat="1" applyFont="1" applyAlignment="1">
      <alignment horizontal="center" vertical="center"/>
    </xf>
    <xf numFmtId="0" fontId="18" fillId="12" borderId="12" xfId="5" applyFont="1" applyFill="1" applyBorder="1" applyAlignment="1">
      <alignment horizontal="center"/>
    </xf>
    <xf numFmtId="165" fontId="21" fillId="11" borderId="12" xfId="5" applyNumberFormat="1" applyFont="1" applyFill="1" applyBorder="1" applyAlignment="1">
      <alignment horizontal="center" vertical="center"/>
    </xf>
    <xf numFmtId="42" fontId="9" fillId="5" borderId="3" xfId="1" applyNumberFormat="1" applyFont="1" applyFill="1" applyBorder="1" applyAlignment="1">
      <alignment horizontal="center"/>
    </xf>
    <xf numFmtId="42" fontId="8" fillId="5" borderId="21" xfId="1" applyNumberFormat="1" applyFont="1" applyFill="1" applyBorder="1"/>
    <xf numFmtId="42" fontId="8" fillId="5" borderId="23" xfId="1" applyNumberFormat="1" applyFont="1" applyFill="1" applyBorder="1"/>
    <xf numFmtId="42" fontId="12" fillId="5" borderId="40" xfId="1" applyNumberFormat="1" applyFont="1" applyFill="1" applyBorder="1" applyAlignment="1">
      <alignment horizontal="center" wrapText="1"/>
    </xf>
    <xf numFmtId="9" fontId="12" fillId="5" borderId="41" xfId="2" applyFont="1" applyFill="1" applyBorder="1" applyAlignment="1">
      <alignment horizontal="center"/>
    </xf>
    <xf numFmtId="1" fontId="12" fillId="5" borderId="14" xfId="1" applyNumberFormat="1" applyFont="1" applyFill="1" applyBorder="1" applyAlignment="1">
      <alignment horizontal="center"/>
    </xf>
    <xf numFmtId="164" fontId="12" fillId="5" borderId="14" xfId="1" applyNumberFormat="1" applyFont="1" applyFill="1" applyBorder="1" applyAlignment="1">
      <alignment horizontal="center"/>
    </xf>
    <xf numFmtId="164" fontId="12" fillId="5" borderId="42" xfId="1" applyNumberFormat="1" applyFont="1" applyFill="1" applyBorder="1" applyAlignment="1">
      <alignment horizontal="center"/>
    </xf>
    <xf numFmtId="42" fontId="13" fillId="6" borderId="43" xfId="1" applyNumberFormat="1" applyFont="1" applyFill="1" applyBorder="1" applyAlignment="1">
      <alignment horizontal="center" vertical="center" wrapText="1"/>
    </xf>
    <xf numFmtId="42" fontId="8" fillId="5" borderId="44" xfId="1" applyNumberFormat="1" applyFont="1" applyFill="1" applyBorder="1"/>
    <xf numFmtId="42" fontId="11" fillId="5" borderId="45" xfId="1" applyNumberFormat="1" applyFont="1" applyFill="1" applyBorder="1"/>
    <xf numFmtId="42" fontId="11" fillId="5" borderId="46" xfId="1" applyNumberFormat="1" applyFont="1" applyFill="1" applyBorder="1"/>
    <xf numFmtId="42" fontId="8" fillId="5" borderId="41" xfId="1" applyNumberFormat="1" applyFont="1" applyFill="1" applyBorder="1"/>
    <xf numFmtId="42" fontId="8" fillId="5" borderId="14" xfId="1" applyNumberFormat="1" applyFont="1" applyFill="1" applyBorder="1"/>
    <xf numFmtId="42" fontId="8" fillId="5" borderId="42" xfId="1" applyNumberFormat="1" applyFont="1" applyFill="1" applyBorder="1"/>
    <xf numFmtId="42" fontId="23" fillId="5" borderId="42" xfId="1" applyNumberFormat="1" applyFont="1" applyFill="1" applyBorder="1"/>
    <xf numFmtId="42" fontId="11" fillId="3" borderId="41" xfId="1" applyNumberFormat="1" applyFont="1" applyFill="1" applyBorder="1" applyAlignment="1">
      <alignment horizontal="right" indent="1"/>
    </xf>
    <xf numFmtId="42" fontId="11" fillId="5" borderId="14" xfId="1" applyNumberFormat="1" applyFont="1" applyFill="1" applyBorder="1" applyAlignment="1">
      <alignment horizontal="right" indent="1"/>
    </xf>
    <xf numFmtId="42" fontId="11" fillId="5" borderId="14" xfId="1" applyNumberFormat="1" applyFont="1" applyFill="1" applyBorder="1"/>
    <xf numFmtId="0" fontId="21" fillId="14" borderId="41" xfId="5" applyFont="1" applyFill="1" applyBorder="1" applyAlignment="1">
      <alignment horizontal="center"/>
    </xf>
    <xf numFmtId="0" fontId="5" fillId="4" borderId="0" xfId="5" applyFill="1" applyAlignment="1">
      <alignment vertical="center"/>
    </xf>
    <xf numFmtId="0" fontId="5" fillId="4" borderId="8" xfId="5" applyFill="1" applyBorder="1" applyAlignment="1">
      <alignment vertical="center"/>
    </xf>
    <xf numFmtId="0" fontId="18" fillId="4" borderId="8" xfId="5" applyFont="1" applyFill="1" applyBorder="1" applyAlignment="1">
      <alignment horizontal="center" vertical="center" wrapText="1"/>
    </xf>
    <xf numFmtId="0" fontId="18" fillId="4" borderId="33" xfId="5" applyFont="1" applyFill="1" applyBorder="1" applyAlignment="1">
      <alignment horizontal="center" vertical="center" wrapText="1"/>
    </xf>
    <xf numFmtId="0" fontId="18" fillId="4" borderId="33" xfId="5" applyFont="1" applyFill="1" applyBorder="1" applyAlignment="1">
      <alignment horizontal="center" vertical="center"/>
    </xf>
    <xf numFmtId="0" fontId="5" fillId="0" borderId="0" xfId="5" applyAlignment="1">
      <alignment vertical="center"/>
    </xf>
    <xf numFmtId="167" fontId="5" fillId="0" borderId="12" xfId="5" applyNumberFormat="1" applyBorder="1" applyAlignment="1">
      <alignment horizontal="center" vertical="center"/>
    </xf>
    <xf numFmtId="0" fontId="5" fillId="0" borderId="0" xfId="5" applyAlignment="1">
      <alignment horizontal="left" vertical="top" wrapText="1"/>
    </xf>
    <xf numFmtId="165" fontId="18" fillId="10" borderId="12" xfId="5" applyNumberFormat="1" applyFont="1" applyFill="1" applyBorder="1" applyAlignment="1">
      <alignment horizontal="center" vertical="center"/>
    </xf>
    <xf numFmtId="0" fontId="5" fillId="0" borderId="18" xfId="5" applyBorder="1"/>
    <xf numFmtId="0" fontId="22" fillId="11" borderId="12" xfId="5" applyFont="1" applyFill="1" applyBorder="1" applyAlignment="1">
      <alignment horizontal="center" vertical="top" wrapText="1"/>
    </xf>
    <xf numFmtId="0" fontId="22" fillId="0" borderId="42" xfId="5" applyFont="1" applyBorder="1" applyAlignment="1">
      <alignment horizontal="center" vertical="top" wrapText="1"/>
    </xf>
    <xf numFmtId="165" fontId="5" fillId="0" borderId="18" xfId="5" applyNumberFormat="1" applyBorder="1" applyAlignment="1">
      <alignment horizontal="center" vertical="center"/>
    </xf>
    <xf numFmtId="0" fontId="5" fillId="0" borderId="18" xfId="5" applyBorder="1" applyAlignment="1">
      <alignment horizontal="center" vertical="center"/>
    </xf>
    <xf numFmtId="167" fontId="5" fillId="0" borderId="18" xfId="5" applyNumberFormat="1" applyBorder="1" applyAlignment="1">
      <alignment horizontal="center" vertical="center"/>
    </xf>
    <xf numFmtId="165" fontId="18" fillId="0" borderId="18" xfId="5" applyNumberFormat="1" applyFont="1" applyBorder="1" applyAlignment="1">
      <alignment horizontal="center" vertical="center"/>
    </xf>
    <xf numFmtId="0" fontId="25" fillId="0" borderId="14" xfId="5" applyFont="1" applyBorder="1" applyAlignment="1">
      <alignment horizontal="left" vertical="top" wrapText="1"/>
    </xf>
    <xf numFmtId="0" fontId="22" fillId="0" borderId="12" xfId="5" applyFont="1" applyBorder="1" applyAlignment="1">
      <alignment wrapText="1"/>
    </xf>
    <xf numFmtId="0" fontId="5" fillId="0" borderId="12" xfId="5" applyBorder="1" applyAlignment="1">
      <alignment horizontal="left" vertical="center"/>
    </xf>
    <xf numFmtId="15" fontId="5" fillId="0" borderId="12" xfId="5" applyNumberFormat="1" applyBorder="1" applyAlignment="1">
      <alignment horizontal="center" vertical="center"/>
    </xf>
    <xf numFmtId="0" fontId="22" fillId="0" borderId="0" xfId="5" applyFont="1"/>
    <xf numFmtId="6" fontId="5" fillId="0" borderId="12" xfId="5" applyNumberFormat="1" applyBorder="1" applyAlignment="1">
      <alignment horizontal="center" vertical="center"/>
    </xf>
    <xf numFmtId="0" fontId="5" fillId="4" borderId="12" xfId="5" applyFill="1" applyBorder="1" applyAlignment="1">
      <alignment vertical="center"/>
    </xf>
    <xf numFmtId="0" fontId="18" fillId="4" borderId="12" xfId="5" applyFont="1" applyFill="1" applyBorder="1" applyAlignment="1">
      <alignment horizontal="center" vertical="center" wrapText="1"/>
    </xf>
    <xf numFmtId="0" fontId="18" fillId="4" borderId="12" xfId="5" applyFont="1" applyFill="1" applyBorder="1" applyAlignment="1">
      <alignment horizontal="center" vertical="center"/>
    </xf>
    <xf numFmtId="3" fontId="5" fillId="0" borderId="12" xfId="5" applyNumberFormat="1" applyBorder="1" applyAlignment="1">
      <alignment horizontal="center" vertical="center"/>
    </xf>
    <xf numFmtId="0" fontId="21" fillId="9" borderId="12" xfId="5" applyFont="1" applyFill="1" applyBorder="1" applyAlignment="1">
      <alignment horizontal="center"/>
    </xf>
    <xf numFmtId="0" fontId="21" fillId="14" borderId="12" xfId="5" applyFont="1" applyFill="1" applyBorder="1" applyAlignment="1">
      <alignment horizontal="center"/>
    </xf>
    <xf numFmtId="0" fontId="21" fillId="0" borderId="0" xfId="5" applyFont="1" applyAlignment="1">
      <alignment horizontal="right"/>
    </xf>
    <xf numFmtId="0" fontId="18" fillId="0" borderId="12" xfId="5" applyFont="1" applyBorder="1" applyAlignment="1">
      <alignment horizontal="center"/>
    </xf>
    <xf numFmtId="0" fontId="5" fillId="0" borderId="12" xfId="5" applyBorder="1" applyAlignment="1">
      <alignment vertical="center"/>
    </xf>
    <xf numFmtId="165" fontId="21" fillId="11" borderId="12" xfId="5" applyNumberFormat="1" applyFont="1" applyFill="1" applyBorder="1" applyAlignment="1">
      <alignment horizontal="center"/>
    </xf>
    <xf numFmtId="0" fontId="22" fillId="0" borderId="18" xfId="5" applyFont="1" applyBorder="1" applyAlignment="1">
      <alignment horizontal="center" vertical="top" wrapText="1"/>
    </xf>
    <xf numFmtId="0" fontId="25" fillId="0" borderId="44" xfId="5" applyFont="1" applyBorder="1" applyAlignment="1">
      <alignment horizontal="left" vertical="top" wrapText="1"/>
    </xf>
    <xf numFmtId="165" fontId="5" fillId="0" borderId="33" xfId="5" applyNumberFormat="1" applyBorder="1" applyAlignment="1">
      <alignment horizontal="center" vertical="center"/>
    </xf>
    <xf numFmtId="167" fontId="5" fillId="0" borderId="33" xfId="5" applyNumberFormat="1" applyBorder="1" applyAlignment="1">
      <alignment horizontal="center" vertical="center"/>
    </xf>
    <xf numFmtId="165" fontId="5" fillId="0" borderId="0" xfId="5" applyNumberFormat="1" applyAlignment="1">
      <alignment horizontal="center" vertical="center"/>
    </xf>
    <xf numFmtId="168" fontId="5" fillId="0" borderId="0" xfId="5" applyNumberFormat="1"/>
    <xf numFmtId="0" fontId="21" fillId="0" borderId="12" xfId="5" applyFont="1" applyBorder="1"/>
    <xf numFmtId="0" fontId="21" fillId="0" borderId="12" xfId="5" applyFont="1" applyBorder="1" applyAlignment="1">
      <alignment horizontal="right"/>
    </xf>
    <xf numFmtId="0" fontId="18" fillId="0" borderId="12" xfId="5" applyFont="1" applyBorder="1"/>
    <xf numFmtId="165" fontId="18" fillId="11" borderId="12" xfId="5" applyNumberFormat="1" applyFont="1" applyFill="1" applyBorder="1" applyAlignment="1">
      <alignment horizontal="center"/>
    </xf>
    <xf numFmtId="165" fontId="18" fillId="11" borderId="12" xfId="5" applyNumberFormat="1" applyFont="1" applyFill="1" applyBorder="1" applyAlignment="1">
      <alignment horizontal="center" vertical="center"/>
    </xf>
    <xf numFmtId="42" fontId="11" fillId="13" borderId="0" xfId="1" applyNumberFormat="1" applyFont="1" applyFill="1" applyBorder="1"/>
    <xf numFmtId="42" fontId="12" fillId="13" borderId="0" xfId="1" applyNumberFormat="1" applyFont="1" applyFill="1" applyBorder="1"/>
    <xf numFmtId="42" fontId="12" fillId="13" borderId="0" xfId="1" applyNumberFormat="1" applyFont="1" applyFill="1" applyBorder="1" applyAlignment="1"/>
    <xf numFmtId="42" fontId="13" fillId="13" borderId="0" xfId="1" applyNumberFormat="1" applyFont="1" applyFill="1" applyBorder="1"/>
    <xf numFmtId="42" fontId="8" fillId="13" borderId="0" xfId="1" applyNumberFormat="1" applyFont="1" applyFill="1" applyBorder="1"/>
    <xf numFmtId="42" fontId="15" fillId="13" borderId="0" xfId="1" applyNumberFormat="1" applyFont="1" applyFill="1" applyBorder="1"/>
    <xf numFmtId="42" fontId="9" fillId="15" borderId="3" xfId="1" applyNumberFormat="1" applyFont="1" applyFill="1" applyBorder="1" applyAlignment="1">
      <alignment horizontal="center"/>
    </xf>
    <xf numFmtId="42" fontId="12" fillId="15" borderId="29" xfId="1" applyNumberFormat="1" applyFont="1" applyFill="1" applyBorder="1" applyAlignment="1">
      <alignment horizontal="center"/>
    </xf>
    <xf numFmtId="9" fontId="27" fillId="15" borderId="8" xfId="2" applyFont="1" applyFill="1" applyBorder="1" applyAlignment="1">
      <alignment horizontal="center"/>
    </xf>
    <xf numFmtId="1" fontId="12" fillId="15" borderId="12" xfId="1" applyNumberFormat="1" applyFont="1" applyFill="1" applyBorder="1" applyAlignment="1">
      <alignment horizontal="center"/>
    </xf>
    <xf numFmtId="1" fontId="27" fillId="15" borderId="12" xfId="1" applyNumberFormat="1" applyFont="1" applyFill="1" applyBorder="1" applyAlignment="1">
      <alignment horizontal="center"/>
    </xf>
    <xf numFmtId="164" fontId="12" fillId="15" borderId="12" xfId="1" applyNumberFormat="1" applyFont="1" applyFill="1" applyBorder="1" applyAlignment="1">
      <alignment horizontal="center"/>
    </xf>
    <xf numFmtId="164" fontId="12" fillId="15" borderId="18" xfId="1" applyNumberFormat="1" applyFont="1" applyFill="1" applyBorder="1" applyAlignment="1">
      <alignment horizontal="center"/>
    </xf>
    <xf numFmtId="42" fontId="8" fillId="15" borderId="33" xfId="1" applyNumberFormat="1" applyFont="1" applyFill="1" applyBorder="1"/>
    <xf numFmtId="42" fontId="23" fillId="15" borderId="31" xfId="1" applyNumberFormat="1" applyFont="1" applyFill="1" applyBorder="1"/>
    <xf numFmtId="42" fontId="23" fillId="15" borderId="32" xfId="1" applyNumberFormat="1" applyFont="1" applyFill="1" applyBorder="1"/>
    <xf numFmtId="42" fontId="8" fillId="15" borderId="8" xfId="1" applyNumberFormat="1" applyFont="1" applyFill="1" applyBorder="1"/>
    <xf numFmtId="42" fontId="8" fillId="15" borderId="12" xfId="1" applyNumberFormat="1" applyFont="1" applyFill="1" applyBorder="1"/>
    <xf numFmtId="42" fontId="8" fillId="15" borderId="18" xfId="1" applyNumberFormat="1" applyFont="1" applyFill="1" applyBorder="1"/>
    <xf numFmtId="42" fontId="8" fillId="15" borderId="11" xfId="1" applyNumberFormat="1" applyFont="1" applyFill="1" applyBorder="1"/>
    <xf numFmtId="42" fontId="11" fillId="15" borderId="12" xfId="1" applyNumberFormat="1" applyFont="1" applyFill="1" applyBorder="1" applyAlignment="1">
      <alignment horizontal="right" indent="1"/>
    </xf>
    <xf numFmtId="42" fontId="11" fillId="15" borderId="32" xfId="1" applyNumberFormat="1" applyFont="1" applyFill="1" applyBorder="1"/>
    <xf numFmtId="42" fontId="8" fillId="15" borderId="21" xfId="1" applyNumberFormat="1" applyFont="1" applyFill="1" applyBorder="1" applyAlignment="1">
      <alignment horizontal="right"/>
    </xf>
    <xf numFmtId="42" fontId="8" fillId="15" borderId="23" xfId="1" applyNumberFormat="1" applyFont="1" applyFill="1" applyBorder="1" applyAlignment="1">
      <alignment horizontal="right"/>
    </xf>
    <xf numFmtId="42" fontId="8" fillId="15" borderId="3" xfId="1" applyNumberFormat="1" applyFont="1" applyFill="1" applyBorder="1"/>
    <xf numFmtId="42" fontId="28" fillId="15" borderId="12" xfId="1" applyNumberFormat="1" applyFont="1" applyFill="1" applyBorder="1"/>
    <xf numFmtId="0" fontId="5" fillId="0" borderId="0" xfId="6"/>
    <xf numFmtId="0" fontId="21" fillId="9" borderId="12" xfId="6" applyFont="1" applyFill="1" applyBorder="1" applyAlignment="1">
      <alignment horizontal="center" vertical="center"/>
    </xf>
    <xf numFmtId="0" fontId="5" fillId="0" borderId="12" xfId="6" applyBorder="1"/>
    <xf numFmtId="0" fontId="5" fillId="0" borderId="12" xfId="6" applyBorder="1" applyAlignment="1">
      <alignment horizontal="center"/>
    </xf>
    <xf numFmtId="165" fontId="5" fillId="0" borderId="12" xfId="6" applyNumberFormat="1" applyBorder="1" applyAlignment="1">
      <alignment horizontal="center"/>
    </xf>
    <xf numFmtId="165" fontId="5" fillId="0" borderId="12" xfId="6" applyNumberFormat="1" applyBorder="1" applyAlignment="1">
      <alignment horizontal="center" vertical="center"/>
    </xf>
    <xf numFmtId="165" fontId="18" fillId="0" borderId="12" xfId="6" applyNumberFormat="1" applyFont="1" applyBorder="1" applyAlignment="1">
      <alignment horizontal="center" vertical="center"/>
    </xf>
    <xf numFmtId="165" fontId="18" fillId="0" borderId="12" xfId="6" applyNumberFormat="1" applyFont="1" applyBorder="1" applyAlignment="1">
      <alignment horizontal="center"/>
    </xf>
    <xf numFmtId="0" fontId="5" fillId="0" borderId="12" xfId="6" applyBorder="1" applyAlignment="1">
      <alignment wrapText="1"/>
    </xf>
    <xf numFmtId="0" fontId="5" fillId="0" borderId="12" xfId="6" applyBorder="1" applyAlignment="1">
      <alignment horizontal="center" vertical="center"/>
    </xf>
    <xf numFmtId="0" fontId="5" fillId="9" borderId="12" xfId="6" applyFill="1" applyBorder="1" applyAlignment="1">
      <alignment horizontal="center"/>
    </xf>
    <xf numFmtId="165" fontId="18" fillId="0" borderId="12" xfId="6" applyNumberFormat="1" applyFont="1" applyBorder="1"/>
    <xf numFmtId="0" fontId="5" fillId="0" borderId="0" xfId="6" applyAlignment="1">
      <alignment horizontal="center"/>
    </xf>
    <xf numFmtId="0" fontId="21" fillId="10" borderId="12" xfId="6" applyFont="1" applyFill="1" applyBorder="1" applyAlignment="1">
      <alignment horizontal="center"/>
    </xf>
    <xf numFmtId="165" fontId="21" fillId="10" borderId="12" xfId="6" applyNumberFormat="1" applyFont="1" applyFill="1" applyBorder="1" applyAlignment="1">
      <alignment horizontal="center" vertical="center"/>
    </xf>
    <xf numFmtId="165" fontId="18" fillId="0" borderId="0" xfId="6" applyNumberFormat="1" applyFont="1"/>
    <xf numFmtId="0" fontId="18" fillId="0" borderId="12" xfId="6" applyFont="1" applyBorder="1" applyAlignment="1">
      <alignment horizontal="right" vertical="center"/>
    </xf>
    <xf numFmtId="0" fontId="18" fillId="12" borderId="12" xfId="6" applyFont="1" applyFill="1" applyBorder="1" applyAlignment="1">
      <alignment horizontal="center" vertical="center"/>
    </xf>
    <xf numFmtId="0" fontId="22" fillId="11" borderId="12" xfId="6" applyFont="1" applyFill="1" applyBorder="1" applyAlignment="1">
      <alignment horizontal="center" vertical="center"/>
    </xf>
    <xf numFmtId="165" fontId="21" fillId="11" borderId="12" xfId="6" applyNumberFormat="1" applyFont="1" applyFill="1" applyBorder="1" applyAlignment="1">
      <alignment horizontal="center" vertical="center"/>
    </xf>
    <xf numFmtId="0" fontId="18" fillId="0" borderId="0" xfId="6" applyFont="1"/>
    <xf numFmtId="42" fontId="8" fillId="15" borderId="37" xfId="1" applyNumberFormat="1" applyFont="1" applyFill="1" applyBorder="1"/>
    <xf numFmtId="42" fontId="8" fillId="15" borderId="36" xfId="1" applyNumberFormat="1" applyFont="1" applyFill="1" applyBorder="1"/>
    <xf numFmtId="42" fontId="8" fillId="15" borderId="17" xfId="1" applyNumberFormat="1" applyFont="1" applyFill="1" applyBorder="1"/>
    <xf numFmtId="42" fontId="23" fillId="15" borderId="12" xfId="1" applyNumberFormat="1" applyFont="1" applyFill="1" applyBorder="1"/>
    <xf numFmtId="42" fontId="8" fillId="15" borderId="41" xfId="1" applyNumberFormat="1" applyFont="1" applyFill="1" applyBorder="1"/>
    <xf numFmtId="42" fontId="9" fillId="13" borderId="3" xfId="1" applyNumberFormat="1" applyFont="1" applyFill="1" applyBorder="1" applyAlignment="1">
      <alignment horizontal="center"/>
    </xf>
    <xf numFmtId="42" fontId="12" fillId="13" borderId="29" xfId="1" applyNumberFormat="1" applyFont="1" applyFill="1" applyBorder="1" applyAlignment="1">
      <alignment horizontal="center"/>
    </xf>
    <xf numFmtId="9" fontId="27" fillId="13" borderId="8" xfId="2" applyFont="1" applyFill="1" applyBorder="1" applyAlignment="1">
      <alignment horizontal="center"/>
    </xf>
    <xf numFmtId="1" fontId="27" fillId="13" borderId="12" xfId="1" applyNumberFormat="1" applyFont="1" applyFill="1" applyBorder="1" applyAlignment="1">
      <alignment horizontal="center"/>
    </xf>
    <xf numFmtId="164" fontId="12" fillId="13" borderId="18" xfId="1" applyNumberFormat="1" applyFont="1" applyFill="1" applyBorder="1" applyAlignment="1">
      <alignment horizontal="center"/>
    </xf>
    <xf numFmtId="42" fontId="13" fillId="13" borderId="20" xfId="1" applyNumberFormat="1" applyFont="1" applyFill="1" applyBorder="1" applyAlignment="1">
      <alignment horizontal="center" vertical="center" wrapText="1"/>
    </xf>
    <xf numFmtId="42" fontId="9" fillId="13" borderId="3" xfId="1" applyNumberFormat="1" applyFont="1" applyFill="1" applyBorder="1"/>
    <xf numFmtId="42" fontId="8" fillId="13" borderId="33" xfId="1" applyNumberFormat="1" applyFont="1" applyFill="1" applyBorder="1"/>
    <xf numFmtId="42" fontId="23" fillId="13" borderId="31" xfId="1" applyNumberFormat="1" applyFont="1" applyFill="1" applyBorder="1"/>
    <xf numFmtId="42" fontId="23" fillId="13" borderId="32" xfId="1" applyNumberFormat="1" applyFont="1" applyFill="1" applyBorder="1"/>
    <xf numFmtId="42" fontId="11" fillId="13" borderId="3" xfId="1" applyNumberFormat="1" applyFont="1" applyFill="1" applyBorder="1"/>
    <xf numFmtId="42" fontId="8" fillId="13" borderId="8" xfId="1" applyNumberFormat="1" applyFont="1" applyFill="1" applyBorder="1"/>
    <xf numFmtId="42" fontId="28" fillId="13" borderId="12" xfId="1" applyNumberFormat="1" applyFont="1" applyFill="1" applyBorder="1"/>
    <xf numFmtId="42" fontId="8" fillId="13" borderId="18" xfId="1" applyNumberFormat="1" applyFont="1" applyFill="1" applyBorder="1"/>
    <xf numFmtId="42" fontId="11" fillId="13" borderId="3" xfId="1" applyNumberFormat="1" applyFont="1" applyFill="1" applyBorder="1" applyAlignment="1">
      <alignment horizontal="right" indent="1"/>
    </xf>
    <xf numFmtId="42" fontId="10" fillId="13" borderId="0" xfId="1" applyNumberFormat="1" applyFont="1" applyFill="1" applyBorder="1" applyAlignment="1">
      <alignment horizontal="right" indent="1"/>
    </xf>
    <xf numFmtId="42" fontId="9" fillId="13" borderId="23" xfId="1" applyNumberFormat="1" applyFont="1" applyFill="1" applyBorder="1"/>
    <xf numFmtId="42" fontId="8" fillId="13" borderId="17" xfId="1" applyNumberFormat="1" applyFont="1" applyFill="1" applyBorder="1"/>
    <xf numFmtId="42" fontId="8" fillId="13" borderId="36" xfId="1" applyNumberFormat="1" applyFont="1" applyFill="1" applyBorder="1"/>
    <xf numFmtId="42" fontId="11" fillId="13" borderId="21" xfId="1" applyNumberFormat="1" applyFont="1" applyFill="1" applyBorder="1"/>
    <xf numFmtId="42" fontId="8" fillId="13" borderId="41" xfId="1" applyNumberFormat="1" applyFont="1" applyFill="1" applyBorder="1"/>
    <xf numFmtId="42" fontId="8" fillId="13" borderId="11" xfId="1" applyNumberFormat="1" applyFont="1" applyFill="1" applyBorder="1"/>
    <xf numFmtId="42" fontId="10" fillId="13" borderId="3" xfId="1" applyNumberFormat="1" applyFont="1" applyFill="1" applyBorder="1" applyAlignment="1">
      <alignment horizontal="right" indent="1"/>
    </xf>
    <xf numFmtId="42" fontId="11" fillId="13" borderId="8" xfId="1" applyNumberFormat="1" applyFont="1" applyFill="1" applyBorder="1" applyAlignment="1">
      <alignment horizontal="right" indent="1"/>
    </xf>
    <xf numFmtId="42" fontId="11" fillId="13" borderId="32" xfId="1" applyNumberFormat="1" applyFont="1" applyFill="1" applyBorder="1"/>
    <xf numFmtId="42" fontId="8" fillId="13" borderId="21" xfId="1" applyNumberFormat="1" applyFont="1" applyFill="1" applyBorder="1" applyAlignment="1">
      <alignment horizontal="right"/>
    </xf>
    <xf numFmtId="42" fontId="8" fillId="13" borderId="23" xfId="1" applyNumberFormat="1" applyFont="1" applyFill="1" applyBorder="1" applyAlignment="1">
      <alignment horizontal="right"/>
    </xf>
    <xf numFmtId="42" fontId="8" fillId="13" borderId="3" xfId="1" applyNumberFormat="1" applyFont="1" applyFill="1" applyBorder="1"/>
    <xf numFmtId="0" fontId="5" fillId="16" borderId="33" xfId="5" applyFill="1" applyBorder="1" applyAlignment="1">
      <alignment horizontal="center" vertical="center"/>
    </xf>
    <xf numFmtId="0" fontId="5" fillId="16" borderId="12" xfId="5" applyFill="1" applyBorder="1" applyAlignment="1">
      <alignment horizontal="center" vertical="center"/>
    </xf>
    <xf numFmtId="0" fontId="21" fillId="9" borderId="12" xfId="3" applyFont="1" applyFill="1" applyBorder="1" applyAlignment="1">
      <alignment horizontal="center" vertical="center"/>
    </xf>
    <xf numFmtId="0" fontId="7" fillId="0" borderId="12" xfId="3" applyBorder="1"/>
    <xf numFmtId="0" fontId="7" fillId="0" borderId="12" xfId="3" applyBorder="1" applyAlignment="1">
      <alignment horizontal="center" vertical="center"/>
    </xf>
    <xf numFmtId="165" fontId="7" fillId="0" borderId="12" xfId="3" applyNumberFormat="1" applyBorder="1" applyAlignment="1">
      <alignment horizontal="center" vertical="center"/>
    </xf>
    <xf numFmtId="165" fontId="18" fillId="0" borderId="12" xfId="3" applyNumberFormat="1" applyFont="1" applyBorder="1" applyAlignment="1">
      <alignment horizontal="center" vertical="center"/>
    </xf>
    <xf numFmtId="165" fontId="18" fillId="0" borderId="12" xfId="3" applyNumberFormat="1" applyFont="1" applyBorder="1" applyAlignment="1">
      <alignment horizontal="center"/>
    </xf>
    <xf numFmtId="165" fontId="7" fillId="0" borderId="0" xfId="3" applyNumberFormat="1" applyAlignment="1">
      <alignment horizontal="center" vertical="center"/>
    </xf>
    <xf numFmtId="165" fontId="18" fillId="0" borderId="0" xfId="3" applyNumberFormat="1" applyFont="1" applyAlignment="1">
      <alignment horizontal="center" vertical="center"/>
    </xf>
    <xf numFmtId="0" fontId="7" fillId="0" borderId="12" xfId="3" applyBorder="1" applyAlignment="1">
      <alignment wrapText="1"/>
    </xf>
    <xf numFmtId="0" fontId="7" fillId="0" borderId="12" xfId="3" applyBorder="1" applyAlignment="1">
      <alignment horizontal="center" vertical="center" wrapText="1"/>
    </xf>
    <xf numFmtId="0" fontId="7" fillId="0" borderId="12" xfId="3" applyBorder="1" applyAlignment="1">
      <alignment horizontal="left"/>
    </xf>
    <xf numFmtId="0" fontId="7" fillId="0" borderId="12" xfId="3" applyBorder="1" applyAlignment="1">
      <alignment horizontal="center"/>
    </xf>
    <xf numFmtId="0" fontId="7" fillId="9" borderId="12" xfId="3" applyFill="1" applyBorder="1" applyAlignment="1">
      <alignment horizontal="center" vertical="center"/>
    </xf>
    <xf numFmtId="165" fontId="21" fillId="17" borderId="12" xfId="5" applyNumberFormat="1" applyFont="1" applyFill="1" applyBorder="1" applyAlignment="1">
      <alignment horizontal="center" vertical="center"/>
    </xf>
    <xf numFmtId="1" fontId="5" fillId="0" borderId="12" xfId="5" applyNumberFormat="1" applyBorder="1" applyAlignment="1">
      <alignment horizontal="center"/>
    </xf>
    <xf numFmtId="165" fontId="18" fillId="16" borderId="12" xfId="3" applyNumberFormat="1" applyFont="1" applyFill="1" applyBorder="1" applyAlignment="1">
      <alignment horizontal="center"/>
    </xf>
    <xf numFmtId="0" fontId="4" fillId="9" borderId="12" xfId="4" applyFont="1" applyFill="1" applyBorder="1"/>
    <xf numFmtId="1" fontId="6" fillId="9" borderId="12" xfId="4" applyNumberFormat="1" applyFill="1" applyBorder="1" applyAlignment="1">
      <alignment horizontal="center" vertical="center"/>
    </xf>
    <xf numFmtId="0" fontId="6" fillId="9" borderId="12" xfId="4" applyFill="1" applyBorder="1" applyAlignment="1">
      <alignment horizontal="center"/>
    </xf>
    <xf numFmtId="0" fontId="4" fillId="18" borderId="12" xfId="4" applyFont="1" applyFill="1" applyBorder="1"/>
    <xf numFmtId="0" fontId="3" fillId="17" borderId="12" xfId="11" applyFill="1" applyBorder="1" applyAlignment="1">
      <alignment horizontal="center" wrapText="1"/>
    </xf>
    <xf numFmtId="0" fontId="31" fillId="19" borderId="47" xfId="12" applyFont="1" applyFill="1" applyBorder="1" applyAlignment="1">
      <alignment horizontal="center" wrapText="1"/>
    </xf>
    <xf numFmtId="169" fontId="3" fillId="17" borderId="12" xfId="10" applyNumberFormat="1" applyFont="1" applyFill="1" applyBorder="1"/>
    <xf numFmtId="0" fontId="3" fillId="17" borderId="12" xfId="11" applyFill="1" applyBorder="1"/>
    <xf numFmtId="0" fontId="31" fillId="19" borderId="47" xfId="12" applyFont="1" applyFill="1" applyBorder="1" applyAlignment="1">
      <alignment horizontal="center"/>
    </xf>
    <xf numFmtId="165" fontId="6" fillId="0" borderId="0" xfId="4" applyNumberFormat="1"/>
    <xf numFmtId="168" fontId="6" fillId="0" borderId="0" xfId="4" applyNumberFormat="1"/>
    <xf numFmtId="169" fontId="6" fillId="0" borderId="0" xfId="10" applyNumberFormat="1" applyFont="1"/>
    <xf numFmtId="169" fontId="3" fillId="17" borderId="12" xfId="10" applyNumberFormat="1" applyFont="1" applyFill="1" applyBorder="1" applyAlignment="1">
      <alignment horizontal="center" wrapText="1"/>
    </xf>
    <xf numFmtId="169" fontId="6" fillId="0" borderId="0" xfId="4" applyNumberFormat="1"/>
    <xf numFmtId="43" fontId="6" fillId="0" borderId="0" xfId="4" applyNumberFormat="1"/>
    <xf numFmtId="165" fontId="5" fillId="0" borderId="0" xfId="5" applyNumberFormat="1"/>
    <xf numFmtId="166" fontId="5" fillId="0" borderId="0" xfId="5" applyNumberFormat="1"/>
    <xf numFmtId="0" fontId="2" fillId="17" borderId="12" xfId="11" applyFont="1" applyFill="1" applyBorder="1" applyAlignment="1">
      <alignment horizontal="center" wrapText="1"/>
    </xf>
    <xf numFmtId="165" fontId="1" fillId="0" borderId="0" xfId="5" applyNumberFormat="1" applyFont="1"/>
    <xf numFmtId="169" fontId="5" fillId="0" borderId="0" xfId="6" applyNumberFormat="1"/>
    <xf numFmtId="165" fontId="5" fillId="0" borderId="0" xfId="6" applyNumberFormat="1"/>
    <xf numFmtId="168" fontId="5" fillId="0" borderId="0" xfId="6" applyNumberFormat="1"/>
    <xf numFmtId="42" fontId="8" fillId="20" borderId="12" xfId="1" applyNumberFormat="1" applyFont="1" applyFill="1" applyBorder="1"/>
    <xf numFmtId="42" fontId="8" fillId="20" borderId="41" xfId="1" applyNumberFormat="1" applyFont="1" applyFill="1" applyBorder="1"/>
    <xf numFmtId="9" fontId="12" fillId="13" borderId="8" xfId="2" applyFont="1" applyFill="1" applyBorder="1" applyAlignment="1">
      <alignment horizontal="center"/>
    </xf>
    <xf numFmtId="42" fontId="13" fillId="13" borderId="44" xfId="1" applyNumberFormat="1" applyFont="1" applyFill="1" applyBorder="1" applyAlignment="1">
      <alignment horizontal="center" vertical="center" wrapText="1"/>
    </xf>
    <xf numFmtId="42" fontId="11" fillId="13" borderId="8" xfId="1" applyNumberFormat="1" applyFont="1" applyFill="1" applyBorder="1"/>
    <xf numFmtId="42" fontId="11" fillId="13" borderId="18" xfId="1" applyNumberFormat="1" applyFont="1" applyFill="1" applyBorder="1"/>
    <xf numFmtId="42" fontId="11" fillId="13" borderId="0" xfId="1" applyNumberFormat="1" applyFont="1" applyFill="1" applyBorder="1" applyAlignment="1">
      <alignment horizontal="right" indent="1"/>
    </xf>
    <xf numFmtId="42" fontId="8" fillId="13" borderId="13" xfId="1" applyNumberFormat="1" applyFont="1" applyFill="1" applyBorder="1"/>
    <xf numFmtId="42" fontId="11" fillId="13" borderId="13" xfId="1" applyNumberFormat="1" applyFont="1" applyFill="1" applyBorder="1" applyAlignment="1">
      <alignment horizontal="right" indent="1"/>
    </xf>
    <xf numFmtId="42" fontId="11" fillId="13" borderId="17" xfId="1" applyNumberFormat="1" applyFont="1" applyFill="1" applyBorder="1"/>
    <xf numFmtId="42" fontId="12" fillId="13" borderId="33" xfId="1" applyNumberFormat="1" applyFont="1" applyFill="1" applyBorder="1" applyAlignment="1">
      <alignment horizontal="center"/>
    </xf>
    <xf numFmtId="42" fontId="0" fillId="0" borderId="0" xfId="0" applyNumberFormat="1"/>
    <xf numFmtId="42" fontId="8" fillId="3" borderId="0" xfId="1" applyNumberFormat="1" applyFont="1" applyFill="1" applyBorder="1"/>
    <xf numFmtId="42" fontId="8" fillId="20" borderId="0" xfId="1" applyNumberFormat="1" applyFont="1" applyFill="1" applyBorder="1"/>
    <xf numFmtId="42" fontId="8" fillId="20" borderId="34" xfId="1" applyNumberFormat="1" applyFont="1" applyFill="1" applyBorder="1"/>
    <xf numFmtId="42" fontId="8" fillId="21" borderId="12" xfId="1" applyNumberFormat="1" applyFont="1" applyFill="1" applyBorder="1"/>
    <xf numFmtId="42" fontId="8" fillId="21" borderId="0" xfId="1" applyNumberFormat="1" applyFont="1" applyFill="1" applyBorder="1"/>
    <xf numFmtId="42" fontId="8" fillId="5" borderId="8" xfId="1" applyNumberFormat="1" applyFont="1" applyFill="1" applyBorder="1"/>
    <xf numFmtId="42" fontId="8" fillId="3" borderId="27" xfId="1" applyNumberFormat="1" applyFont="1" applyFill="1" applyBorder="1"/>
    <xf numFmtId="42" fontId="8" fillId="5" borderId="39" xfId="1" applyNumberFormat="1" applyFont="1" applyFill="1" applyBorder="1"/>
    <xf numFmtId="42" fontId="8" fillId="13" borderId="32" xfId="1" applyNumberFormat="1" applyFont="1" applyFill="1" applyBorder="1"/>
    <xf numFmtId="42" fontId="8" fillId="5" borderId="32" xfId="1" applyNumberFormat="1" applyFont="1" applyFill="1" applyBorder="1"/>
    <xf numFmtId="42" fontId="8" fillId="13" borderId="23" xfId="1" applyNumberFormat="1" applyFont="1" applyFill="1" applyBorder="1"/>
    <xf numFmtId="42" fontId="8" fillId="20" borderId="8" xfId="1" applyNumberFormat="1" applyFont="1" applyFill="1" applyBorder="1"/>
    <xf numFmtId="43" fontId="0" fillId="22" borderId="0" xfId="10" applyFont="1" applyFill="1"/>
    <xf numFmtId="0" fontId="0" fillId="11" borderId="0" xfId="0" applyFill="1"/>
    <xf numFmtId="42" fontId="11" fillId="21" borderId="12" xfId="1" applyNumberFormat="1" applyFont="1" applyFill="1" applyBorder="1"/>
    <xf numFmtId="42" fontId="8" fillId="20" borderId="36" xfId="1" applyNumberFormat="1" applyFont="1" applyFill="1" applyBorder="1"/>
    <xf numFmtId="42" fontId="8" fillId="20" borderId="32" xfId="1" applyNumberFormat="1" applyFont="1" applyFill="1" applyBorder="1"/>
    <xf numFmtId="42" fontId="8" fillId="20" borderId="39" xfId="1" applyNumberFormat="1" applyFont="1" applyFill="1" applyBorder="1"/>
    <xf numFmtId="42" fontId="8" fillId="21" borderId="32" xfId="1" applyNumberFormat="1" applyFont="1" applyFill="1" applyBorder="1"/>
    <xf numFmtId="42" fontId="11" fillId="4" borderId="5" xfId="1" applyNumberFormat="1" applyFont="1" applyFill="1" applyBorder="1" applyAlignment="1">
      <alignment horizontal="right"/>
    </xf>
    <xf numFmtId="42" fontId="11" fillId="7" borderId="12" xfId="1" applyNumberFormat="1" applyFont="1" applyFill="1" applyBorder="1" applyAlignment="1">
      <alignment horizontal="left"/>
    </xf>
    <xf numFmtId="42" fontId="8" fillId="20" borderId="35" xfId="1" applyNumberFormat="1" applyFont="1" applyFill="1" applyBorder="1"/>
    <xf numFmtId="42" fontId="11" fillId="20" borderId="39" xfId="1" applyNumberFormat="1" applyFont="1" applyFill="1" applyBorder="1"/>
    <xf numFmtId="0" fontId="21" fillId="17" borderId="12" xfId="11" applyFont="1" applyFill="1" applyBorder="1" applyAlignment="1">
      <alignment horizontal="center" vertical="center" wrapText="1"/>
    </xf>
    <xf numFmtId="0" fontId="18" fillId="0" borderId="12" xfId="5" applyFont="1" applyBorder="1" applyAlignment="1">
      <alignment horizontal="center"/>
    </xf>
    <xf numFmtId="0" fontId="18" fillId="0" borderId="15" xfId="5" applyFont="1" applyBorder="1" applyAlignment="1">
      <alignment horizontal="center"/>
    </xf>
    <xf numFmtId="0" fontId="18" fillId="0" borderId="14" xfId="5" applyFont="1" applyBorder="1" applyAlignment="1">
      <alignment horizontal="center"/>
    </xf>
    <xf numFmtId="0" fontId="5" fillId="0" borderId="18" xfId="5" applyBorder="1" applyAlignment="1">
      <alignment horizontal="left" vertical="center" wrapText="1"/>
    </xf>
    <xf numFmtId="0" fontId="5" fillId="0" borderId="33" xfId="5" applyBorder="1" applyAlignment="1">
      <alignment horizontal="left" vertical="center" wrapText="1"/>
    </xf>
    <xf numFmtId="0" fontId="5" fillId="0" borderId="8" xfId="5" applyBorder="1" applyAlignment="1">
      <alignment horizontal="left" vertical="center" wrapText="1"/>
    </xf>
    <xf numFmtId="0" fontId="20" fillId="0" borderId="12" xfId="5" applyFont="1" applyBorder="1" applyAlignment="1">
      <alignment horizontal="center" vertical="center"/>
    </xf>
    <xf numFmtId="0" fontId="5" fillId="0" borderId="12" xfId="5" applyBorder="1" applyAlignment="1">
      <alignment horizontal="center"/>
    </xf>
    <xf numFmtId="0" fontId="21" fillId="9" borderId="8" xfId="5" applyFont="1" applyFill="1" applyBorder="1" applyAlignment="1">
      <alignment horizontal="center"/>
    </xf>
    <xf numFmtId="0" fontId="5" fillId="0" borderId="12" xfId="5" applyBorder="1" applyAlignment="1">
      <alignment horizontal="left" vertical="top" wrapText="1"/>
    </xf>
    <xf numFmtId="0" fontId="22" fillId="11" borderId="12" xfId="5" applyFont="1" applyFill="1" applyBorder="1" applyAlignment="1">
      <alignment horizontal="center" vertical="top" wrapText="1"/>
    </xf>
    <xf numFmtId="0" fontId="20" fillId="0" borderId="0" xfId="4" applyFont="1" applyAlignment="1">
      <alignment horizontal="center" vertical="center"/>
    </xf>
    <xf numFmtId="0" fontId="21" fillId="9" borderId="18" xfId="4" applyFont="1" applyFill="1" applyBorder="1" applyAlignment="1">
      <alignment horizontal="center" vertical="center"/>
    </xf>
    <xf numFmtId="0" fontId="21" fillId="9" borderId="8" xfId="4" applyFont="1" applyFill="1" applyBorder="1" applyAlignment="1">
      <alignment horizontal="center" vertical="center"/>
    </xf>
    <xf numFmtId="0" fontId="21" fillId="9" borderId="18" xfId="4" applyFont="1" applyFill="1" applyBorder="1" applyAlignment="1">
      <alignment horizontal="center" vertical="center" wrapText="1"/>
    </xf>
    <xf numFmtId="0" fontId="21" fillId="9" borderId="8" xfId="4" applyFont="1" applyFill="1" applyBorder="1" applyAlignment="1">
      <alignment horizontal="center" vertical="center" wrapText="1"/>
    </xf>
    <xf numFmtId="0" fontId="22" fillId="9" borderId="15" xfId="4" applyFont="1" applyFill="1" applyBorder="1" applyAlignment="1">
      <alignment horizontal="center" vertical="center"/>
    </xf>
    <xf numFmtId="0" fontId="22" fillId="9" borderId="14" xfId="4" applyFont="1" applyFill="1" applyBorder="1" applyAlignment="1">
      <alignment horizontal="center" vertical="center"/>
    </xf>
    <xf numFmtId="0" fontId="21" fillId="10" borderId="18" xfId="4" applyFont="1" applyFill="1" applyBorder="1" applyAlignment="1">
      <alignment horizontal="center" vertical="center" wrapText="1"/>
    </xf>
    <xf numFmtId="0" fontId="21" fillId="10" borderId="8" xfId="4" applyFont="1" applyFill="1" applyBorder="1" applyAlignment="1">
      <alignment horizontal="center" vertical="center" wrapText="1"/>
    </xf>
    <xf numFmtId="0" fontId="21" fillId="10" borderId="12" xfId="4" applyFont="1" applyFill="1" applyBorder="1" applyAlignment="1">
      <alignment horizontal="center" vertical="center" wrapText="1"/>
    </xf>
    <xf numFmtId="0" fontId="21" fillId="9" borderId="12" xfId="4" applyFont="1" applyFill="1" applyBorder="1" applyAlignment="1">
      <alignment horizontal="center" vertical="center"/>
    </xf>
    <xf numFmtId="0" fontId="22" fillId="9" borderId="12" xfId="4" applyFont="1" applyFill="1" applyBorder="1" applyAlignment="1">
      <alignment horizontal="center" vertical="center"/>
    </xf>
    <xf numFmtId="0" fontId="20" fillId="0" borderId="0" xfId="5" applyFont="1" applyAlignment="1">
      <alignment horizontal="center" vertical="center"/>
    </xf>
    <xf numFmtId="0" fontId="22" fillId="12" borderId="12" xfId="5" applyFont="1" applyFill="1" applyBorder="1" applyAlignment="1">
      <alignment horizontal="center" vertical="center"/>
    </xf>
    <xf numFmtId="0" fontId="21" fillId="9" borderId="12" xfId="3" applyFont="1" applyFill="1" applyBorder="1" applyAlignment="1">
      <alignment horizontal="center" vertical="center"/>
    </xf>
    <xf numFmtId="0" fontId="21" fillId="9" borderId="18" xfId="3" applyFont="1" applyFill="1" applyBorder="1" applyAlignment="1">
      <alignment horizontal="center" vertical="center"/>
    </xf>
    <xf numFmtId="0" fontId="21" fillId="9" borderId="8" xfId="3" applyFont="1" applyFill="1" applyBorder="1" applyAlignment="1">
      <alignment horizontal="center" vertical="center"/>
    </xf>
    <xf numFmtId="0" fontId="22" fillId="9" borderId="12" xfId="3" applyFont="1" applyFill="1" applyBorder="1" applyAlignment="1">
      <alignment horizontal="center" vertical="center"/>
    </xf>
    <xf numFmtId="0" fontId="21" fillId="10" borderId="18" xfId="3" applyFont="1" applyFill="1" applyBorder="1" applyAlignment="1">
      <alignment horizontal="center" vertical="center" wrapText="1"/>
    </xf>
    <xf numFmtId="0" fontId="21" fillId="10" borderId="8" xfId="3" applyFont="1" applyFill="1" applyBorder="1" applyAlignment="1">
      <alignment horizontal="center" vertical="center" wrapText="1"/>
    </xf>
    <xf numFmtId="0" fontId="21" fillId="10" borderId="12" xfId="3" applyFont="1" applyFill="1" applyBorder="1" applyAlignment="1">
      <alignment horizontal="center" vertical="center" wrapText="1"/>
    </xf>
    <xf numFmtId="0" fontId="20" fillId="0" borderId="9" xfId="6" applyFont="1" applyBorder="1" applyAlignment="1">
      <alignment horizontal="center" vertical="center"/>
    </xf>
    <xf numFmtId="0" fontId="21" fillId="9" borderId="18" xfId="6" applyFont="1" applyFill="1" applyBorder="1" applyAlignment="1">
      <alignment horizontal="center" vertical="center"/>
    </xf>
    <xf numFmtId="0" fontId="21" fillId="9" borderId="8" xfId="6" applyFont="1" applyFill="1" applyBorder="1" applyAlignment="1">
      <alignment horizontal="center" vertical="center"/>
    </xf>
    <xf numFmtId="0" fontId="21" fillId="9" borderId="18" xfId="6" applyFont="1" applyFill="1" applyBorder="1" applyAlignment="1">
      <alignment horizontal="center" vertical="center" wrapText="1"/>
    </xf>
    <xf numFmtId="0" fontId="21" fillId="9" borderId="8" xfId="6" applyFont="1" applyFill="1" applyBorder="1" applyAlignment="1">
      <alignment horizontal="center" vertical="center" wrapText="1"/>
    </xf>
    <xf numFmtId="0" fontId="22" fillId="9" borderId="15" xfId="6" applyFont="1" applyFill="1" applyBorder="1" applyAlignment="1">
      <alignment horizontal="center" vertical="center"/>
    </xf>
    <xf numFmtId="0" fontId="22" fillId="9" borderId="14" xfId="6" applyFont="1" applyFill="1" applyBorder="1" applyAlignment="1">
      <alignment horizontal="center" vertical="center"/>
    </xf>
    <xf numFmtId="0" fontId="21" fillId="10" borderId="18" xfId="6" applyFont="1" applyFill="1" applyBorder="1" applyAlignment="1">
      <alignment horizontal="center" vertical="center" wrapText="1"/>
    </xf>
    <xf numFmtId="0" fontId="21" fillId="10" borderId="8" xfId="6" applyFont="1" applyFill="1" applyBorder="1" applyAlignment="1">
      <alignment horizontal="center" vertical="center" wrapText="1"/>
    </xf>
  </cellXfs>
  <cellStyles count="13">
    <cellStyle name="Comma" xfId="10" builtinId="3"/>
    <cellStyle name="Currency" xfId="1" builtinId="4"/>
    <cellStyle name="Currency 2" xfId="8" xr:uid="{B5F21BF5-3A97-4028-A16E-A8405F16F860}"/>
    <cellStyle name="Normal" xfId="0" builtinId="0"/>
    <cellStyle name="Normal 2" xfId="7" xr:uid="{0A69A0CC-EB26-4195-951B-C0D6B7A72B45}"/>
    <cellStyle name="Normal 2 2 2" xfId="6" xr:uid="{2FB46535-4D35-422F-A329-3F7A27CC1E61}"/>
    <cellStyle name="Normal 3 2" xfId="3" xr:uid="{05445BD9-B575-4C7F-B78B-3BC94A85DA24}"/>
    <cellStyle name="Normal 3 2 2" xfId="4" xr:uid="{591EA89B-69D8-4C90-B6E6-C279C4F00784}"/>
    <cellStyle name="Normal 3 2 3" xfId="5" xr:uid="{1BCE4D10-8DF8-447E-8567-B38CD5D4F728}"/>
    <cellStyle name="Normal 3 2 4" xfId="11" xr:uid="{CC36E759-9B2E-4496-BFC7-603B03123DB6}"/>
    <cellStyle name="Normal 5" xfId="12" xr:uid="{CB601E9B-F114-45EB-85AA-7D5579943EA2}"/>
    <cellStyle name="Percent" xfId="2" builtinId="5"/>
    <cellStyle name="Percent 2" xfId="9" xr:uid="{F44EBE37-DB0C-48EB-B65C-085FE7C4C779}"/>
  </cellStyles>
  <dxfs count="0"/>
  <tableStyles count="0" defaultTableStyle="TableStyleMedium2" defaultPivotStyle="PivotStyleLight16"/>
  <colors>
    <mruColors>
      <color rgb="FFFCE4D6"/>
      <color rgb="FFE2EFDA"/>
      <color rgb="FFFFCCFF"/>
      <color rgb="FFCC66FF"/>
      <color rgb="FFFFFFCC"/>
      <color rgb="FFFFFF99"/>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8</xdr:row>
      <xdr:rowOff>90825</xdr:rowOff>
    </xdr:from>
    <xdr:to>
      <xdr:col>12</xdr:col>
      <xdr:colOff>29160</xdr:colOff>
      <xdr:row>8</xdr:row>
      <xdr:rowOff>108105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35ADF7C2-96DD-4EDF-B53F-670D4849C5CA}"/>
                </a:ext>
              </a:extLst>
            </xdr14:cNvPr>
            <xdr14:cNvContentPartPr/>
          </xdr14:nvContentPartPr>
          <xdr14:nvPr macro=""/>
          <xdr14:xfrm>
            <a:off x="7785000" y="957600"/>
            <a:ext cx="29160" cy="17280"/>
          </xdr14:xfrm>
        </xdr:contentPart>
      </mc:Choice>
      <mc:Fallback xmlns="">
        <xdr:pic>
          <xdr:nvPicPr>
            <xdr:cNvPr id="2" name="Ink 1">
              <a:extLst>
                <a:ext uri="{FF2B5EF4-FFF2-40B4-BE49-F238E27FC236}">
                  <a16:creationId xmlns:a16="http://schemas.microsoft.com/office/drawing/2014/main" id="{35ADF7C2-96DD-4EDF-B53F-670D4849C5CA}"/>
                </a:ext>
              </a:extLst>
            </xdr:cNvPr>
            <xdr:cNvPicPr/>
          </xdr:nvPicPr>
          <xdr:blipFill>
            <a:blip xmlns:r="http://schemas.openxmlformats.org/officeDocument/2006/relationships" r:embed="rId2"/>
            <a:stretch>
              <a:fillRect/>
            </a:stretch>
          </xdr:blipFill>
          <xdr:spPr>
            <a:xfrm>
              <a:off x="7776000" y="948960"/>
              <a:ext cx="46800" cy="34920"/>
            </a:xfrm>
            <a:prstGeom prst="rect">
              <a:avLst/>
            </a:prstGeom>
          </xdr:spPr>
        </xdr:pic>
      </mc:Fallback>
    </mc:AlternateContent>
    <xdr:clientData/>
  </xdr:twoCellAnchor>
  <xdr:twoCellAnchor editAs="oneCell">
    <xdr:from>
      <xdr:col>12</xdr:col>
      <xdr:colOff>0</xdr:colOff>
      <xdr:row>8</xdr:row>
      <xdr:rowOff>118905</xdr:rowOff>
    </xdr:from>
    <xdr:to>
      <xdr:col>12</xdr:col>
      <xdr:colOff>11880</xdr:colOff>
      <xdr:row>8</xdr:row>
      <xdr:rowOff>127905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BBD332E6-1523-4A29-8E61-95EB95B45B6C}"/>
                </a:ext>
              </a:extLst>
            </xdr14:cNvPr>
            <xdr14:cNvContentPartPr/>
          </xdr14:nvContentPartPr>
          <xdr14:nvPr macro=""/>
          <xdr14:xfrm>
            <a:off x="8429400" y="985680"/>
            <a:ext cx="11880" cy="9000"/>
          </xdr14:xfrm>
        </xdr:contentPart>
      </mc:Choice>
      <mc:Fallback xmlns="">
        <xdr:pic>
          <xdr:nvPicPr>
            <xdr:cNvPr id="3" name="Ink 2">
              <a:extLst>
                <a:ext uri="{FF2B5EF4-FFF2-40B4-BE49-F238E27FC236}">
                  <a16:creationId xmlns:a16="http://schemas.microsoft.com/office/drawing/2014/main" id="{BBD332E6-1523-4A29-8E61-95EB95B45B6C}"/>
                </a:ext>
              </a:extLst>
            </xdr:cNvPr>
            <xdr:cNvPicPr/>
          </xdr:nvPicPr>
          <xdr:blipFill>
            <a:blip xmlns:r="http://schemas.openxmlformats.org/officeDocument/2006/relationships" r:embed="rId4"/>
            <a:stretch>
              <a:fillRect/>
            </a:stretch>
          </xdr:blipFill>
          <xdr:spPr>
            <a:xfrm>
              <a:off x="8420760" y="977040"/>
              <a:ext cx="29520" cy="26640"/>
            </a:xfrm>
            <a:prstGeom prst="rect">
              <a:avLst/>
            </a:prstGeom>
          </xdr:spPr>
        </xdr:pic>
      </mc:Fallback>
    </mc:AlternateContent>
    <xdr:clientData/>
  </xdr:twoCellAnchor>
  <xdr:oneCellAnchor>
    <xdr:from>
      <xdr:col>14</xdr:col>
      <xdr:colOff>0</xdr:colOff>
      <xdr:row>8</xdr:row>
      <xdr:rowOff>90825</xdr:rowOff>
    </xdr:from>
    <xdr:ext cx="29160" cy="1728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Ink 3">
              <a:extLst>
                <a:ext uri="{FF2B5EF4-FFF2-40B4-BE49-F238E27FC236}">
                  <a16:creationId xmlns:a16="http://schemas.microsoft.com/office/drawing/2014/main" id="{4582A775-BCD8-4AAE-8A9E-BB06E90127BC}"/>
                </a:ext>
              </a:extLst>
            </xdr14:cNvPr>
            <xdr14:cNvContentPartPr/>
          </xdr14:nvContentPartPr>
          <xdr14:nvPr macro=""/>
          <xdr14:xfrm>
            <a:off x="7785000" y="957600"/>
            <a:ext cx="29160" cy="17280"/>
          </xdr14:xfrm>
        </xdr:contentPart>
      </mc:Choice>
      <mc:Fallback xmlns="">
        <xdr:pic>
          <xdr:nvPicPr>
            <xdr:cNvPr id="4" name="Ink 3">
              <a:extLst>
                <a:ext uri="{FF2B5EF4-FFF2-40B4-BE49-F238E27FC236}">
                  <a16:creationId xmlns:a16="http://schemas.microsoft.com/office/drawing/2014/main" id="{4582A775-BCD8-4AAE-8A9E-BB06E90127BC}"/>
                </a:ext>
              </a:extLst>
            </xdr:cNvPr>
            <xdr:cNvPicPr/>
          </xdr:nvPicPr>
          <xdr:blipFill>
            <a:blip xmlns:r="http://schemas.openxmlformats.org/officeDocument/2006/relationships" r:embed="rId2"/>
            <a:stretch>
              <a:fillRect/>
            </a:stretch>
          </xdr:blipFill>
          <xdr:spPr>
            <a:xfrm>
              <a:off x="7776000" y="948960"/>
              <a:ext cx="46800" cy="34920"/>
            </a:xfrm>
            <a:prstGeom prst="rect">
              <a:avLst/>
            </a:prstGeom>
          </xdr:spPr>
        </xdr:pic>
      </mc:Fallback>
    </mc:AlternateContent>
    <xdr:clientData/>
  </xdr:oneCellAnchor>
  <xdr:oneCellAnchor>
    <xdr:from>
      <xdr:col>14</xdr:col>
      <xdr:colOff>0</xdr:colOff>
      <xdr:row>8</xdr:row>
      <xdr:rowOff>118905</xdr:rowOff>
    </xdr:from>
    <xdr:ext cx="11880" cy="900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Ink 4">
              <a:extLst>
                <a:ext uri="{FF2B5EF4-FFF2-40B4-BE49-F238E27FC236}">
                  <a16:creationId xmlns:a16="http://schemas.microsoft.com/office/drawing/2014/main" id="{92B1D13F-03D8-4B91-B579-D1D5E3A22C11}"/>
                </a:ext>
              </a:extLst>
            </xdr14:cNvPr>
            <xdr14:cNvContentPartPr/>
          </xdr14:nvContentPartPr>
          <xdr14:nvPr macro=""/>
          <xdr14:xfrm>
            <a:off x="8429400" y="985680"/>
            <a:ext cx="11880" cy="9000"/>
          </xdr14:xfrm>
        </xdr:contentPart>
      </mc:Choice>
      <mc:Fallback xmlns="">
        <xdr:pic>
          <xdr:nvPicPr>
            <xdr:cNvPr id="5" name="Ink 4">
              <a:extLst>
                <a:ext uri="{FF2B5EF4-FFF2-40B4-BE49-F238E27FC236}">
                  <a16:creationId xmlns:a16="http://schemas.microsoft.com/office/drawing/2014/main" id="{92B1D13F-03D8-4B91-B579-D1D5E3A22C11}"/>
                </a:ext>
              </a:extLst>
            </xdr:cNvPr>
            <xdr:cNvPicPr/>
          </xdr:nvPicPr>
          <xdr:blipFill>
            <a:blip xmlns:r="http://schemas.openxmlformats.org/officeDocument/2006/relationships" r:embed="rId4"/>
            <a:stretch>
              <a:fillRect/>
            </a:stretch>
          </xdr:blipFill>
          <xdr:spPr>
            <a:xfrm>
              <a:off x="8420760" y="977040"/>
              <a:ext cx="29520" cy="26640"/>
            </a:xfrm>
            <a:prstGeom prst="rect">
              <a:avLst/>
            </a:prstGeom>
          </xdr:spPr>
        </xdr:pic>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6</xdr:col>
      <xdr:colOff>1010707</xdr:colOff>
      <xdr:row>21</xdr:row>
      <xdr:rowOff>26458</xdr:rowOff>
    </xdr:from>
    <xdr:to>
      <xdr:col>8</xdr:col>
      <xdr:colOff>31750</xdr:colOff>
      <xdr:row>23</xdr:row>
      <xdr:rowOff>164042</xdr:rowOff>
    </xdr:to>
    <xdr:sp macro="" textlink="">
      <xdr:nvSpPr>
        <xdr:cNvPr id="2" name="Oval 1">
          <a:extLst>
            <a:ext uri="{FF2B5EF4-FFF2-40B4-BE49-F238E27FC236}">
              <a16:creationId xmlns:a16="http://schemas.microsoft.com/office/drawing/2014/main" id="{D44C3E19-F078-CC3E-222E-8FFE8E6C0642}"/>
            </a:ext>
          </a:extLst>
        </xdr:cNvPr>
        <xdr:cNvSpPr/>
      </xdr:nvSpPr>
      <xdr:spPr>
        <a:xfrm>
          <a:off x="8805333" y="5730875"/>
          <a:ext cx="1105959" cy="518584"/>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lor Palette Sequence"/>
      <sheetName val="Table"/>
      <sheetName val="Pie Chart-Currency"/>
      <sheetName val="Pie Chart-Percentage"/>
      <sheetName val="Column Chart-Currency"/>
      <sheetName val="Column Chart-NonCurrency"/>
      <sheetName val="Cluster Chart-Currency"/>
      <sheetName val="Cluster Chart-NonCurrency"/>
      <sheetName val="Scatter"/>
      <sheetName val="Bubble"/>
      <sheetName val="Bridge"/>
      <sheetName val="Stacked Column Chart"/>
      <sheetName val="Two Axis Stacked Column &amp; Line"/>
      <sheetName val="Two Axis- Column &amp; Line"/>
      <sheetName val="Two Axis- Line &amp; Line"/>
      <sheetName val="Harvey Balls"/>
      <sheetName val="Dual Pies"/>
      <sheetName val="Deal Timeline"/>
      <sheetName val="Deal Timeline Horizontal"/>
      <sheetName val="Tiny Calendars 2006"/>
      <sheetName val="Tiny Calendars 2007"/>
      <sheetName val="Tiny Calendars 2008"/>
      <sheetName val="Tiny Calendars 2009"/>
      <sheetName val="Students"/>
      <sheetName val="Enrollment"/>
      <sheetName val="Enrollment (2)"/>
      <sheetName val="Staffing"/>
      <sheetName val="Finance - Legacy"/>
      <sheetName val="Finance - Port SA"/>
      <sheetName val="Finance - Consolidated"/>
      <sheetName val="Philanthropy"/>
      <sheetName val="Sheet1"/>
      <sheetName val="Current 9-02"/>
      <sheetName val="9th Floor Current 9-02"/>
      <sheetName val="Assumptions"/>
      <sheetName val="Amort Schedule"/>
      <sheetName val="Input"/>
      <sheetName val="Model"/>
      <sheetName val="Database - Tenant"/>
      <sheetName val="Input (Real Estate)"/>
      <sheetName val="Cash Flow Proforma"/>
      <sheetName val="#REF"/>
      <sheetName val="Pivots"/>
      <sheetName val="Help"/>
      <sheetName val="RR Import"/>
      <sheetName val="Controls"/>
      <sheetName val="Sheet2"/>
      <sheetName val="Summary"/>
      <sheetName val="Compare"/>
      <sheetName val="0000"/>
      <sheetName val="pldt"/>
      <sheetName val="SQFT Summary"/>
      <sheetName val="Lease Up"/>
      <sheetName val="Sale and IRR"/>
      <sheetName val="PROJECT COSTS"/>
      <sheetName val="Financing"/>
      <sheetName val="Const Loan Int. Calc"/>
      <sheetName val="Draw Schedule"/>
      <sheetName val="Oper Pro Forma"/>
      <sheetName val="RE TAX - 421a"/>
      <sheetName val="Opex Comparison"/>
      <sheetName val="Timeline"/>
      <sheetName val="JV Assumpt."/>
      <sheetName val="Bank Assumpt."/>
      <sheetName val="Project Budget"/>
      <sheetName val="Qualified Costs"/>
      <sheetName val="JV CF"/>
      <sheetName val="JV RE Tax"/>
      <sheetName val="JV Terms"/>
      <sheetName val="Equity Analysis - 10% return"/>
      <sheetName val="JV Returns"/>
      <sheetName val="After-Tax JV Returns"/>
      <sheetName val="Neg Arb NO AFFORDABILITY"/>
      <sheetName val="Bond Amortization"/>
      <sheetName val="Variables"/>
      <sheetName val="Loan Amortization Schedule"/>
      <sheetName val="Worksheet"/>
      <sheetName val="Title I Overall"/>
      <sheetName val="Title I School"/>
      <sheetName val="Parent Involvement"/>
      <sheetName val="SES"/>
      <sheetName val="Homeless"/>
      <sheetName val="Title III"/>
      <sheetName val="Title III Set-Aside"/>
      <sheetName val="Title III Set-Aside IMI"/>
      <sheetName val="transpose"/>
      <sheetName val="district disk"/>
      <sheetName val="mill levy"/>
      <sheetName val="Sheet9"/>
      <sheetName val="TFS Line Items"/>
      <sheetName val="Master Budgets "/>
      <sheetName val="Network fees"/>
      <sheetName val="Summary of Finance DPE"/>
      <sheetName val="Master Budgets"/>
      <sheetName val="Network Budget"/>
      <sheetName val="Network FY23-FY27  Budget"/>
      <sheetName val="Captial Projects &amp; Expense Spl "/>
      <sheetName val="Network FY23 Staffing"/>
      <sheetName val="AAL Budget"/>
      <sheetName val="AAL FY23-FY27 Budget"/>
      <sheetName val="AAL FY 23 Staffing"/>
      <sheetName val="C2 Budget"/>
      <sheetName val="C2 FY23-FY27 Budget"/>
      <sheetName val="C2 FY23 Staffing"/>
      <sheetName val="C3 Budget"/>
      <sheetName val="C3 FY23-FY27 Budget "/>
      <sheetName val="C3 FY 23 Staffing"/>
      <sheetName val="SHES Budget"/>
      <sheetName val="SHES FY23-FY27 Budget "/>
      <sheetName val="SHES FY23 Staffing "/>
      <sheetName val="Ector Budget"/>
      <sheetName val="Ector FY23-FY27 Budget "/>
      <sheetName val="Ector FY23 Staffing"/>
      <sheetName val="Mendez FY23-FY27 Budget"/>
      <sheetName val="Mendez Budget"/>
      <sheetName val="Mendez FY23 Staffing"/>
      <sheetName val="Leases &amp; Debt"/>
      <sheetName val="Total Debt"/>
      <sheetName val="TX new school FY23-FY27 budget "/>
      <sheetName val="CO new school FY23-FY27 budget "/>
      <sheetName val="1-Instructions-Budget"/>
      <sheetName val="1a-Instructions-Revisions"/>
      <sheetName val="1b-Instructions-AFR"/>
      <sheetName val="2-Cover Page"/>
      <sheetName val="3-Budget Detail"/>
      <sheetName val="4-Equipment"/>
      <sheetName val="5a-Budget Summary-Year 1"/>
      <sheetName val="5b-Budget Summary-Year 2"/>
      <sheetName val="5c-Budget Summary-Year 3"/>
      <sheetName val="6-AFR Expenditure Detail"/>
      <sheetName val="7-AFR Equipment Detail"/>
      <sheetName val="8-Annual Financial Report"/>
      <sheetName val="9-Error Checking"/>
      <sheetName val="Data Valid"/>
      <sheetName val="NOTES"/>
    </sheetNames>
    <sheetDataSet>
      <sheetData sheetId="0" refreshError="1"/>
      <sheetData sheetId="1" refreshError="1"/>
      <sheetData sheetId="2" refreshError="1">
        <row r="1">
          <cell r="A1" t="str">
            <v xml:space="preserve">Data </v>
          </cell>
          <cell r="B1">
            <v>10.5</v>
          </cell>
        </row>
        <row r="2">
          <cell r="A2" t="str">
            <v xml:space="preserve">Data </v>
          </cell>
          <cell r="B2">
            <v>10.5</v>
          </cell>
        </row>
        <row r="3">
          <cell r="A3" t="str">
            <v xml:space="preserve">Data </v>
          </cell>
          <cell r="B3">
            <v>10.5</v>
          </cell>
        </row>
        <row r="4">
          <cell r="A4" t="str">
            <v xml:space="preserve">Data </v>
          </cell>
          <cell r="B4">
            <v>10.5</v>
          </cell>
        </row>
        <row r="5">
          <cell r="A5" t="str">
            <v xml:space="preserve">Data </v>
          </cell>
          <cell r="B5">
            <v>10.5</v>
          </cell>
        </row>
        <row r="6">
          <cell r="A6" t="str">
            <v xml:space="preserve">Data </v>
          </cell>
          <cell r="B6">
            <v>10.5</v>
          </cell>
        </row>
        <row r="7">
          <cell r="A7" t="str">
            <v xml:space="preserve">Data </v>
          </cell>
          <cell r="B7">
            <v>10.5</v>
          </cell>
        </row>
        <row r="8">
          <cell r="A8" t="str">
            <v xml:space="preserve">Data </v>
          </cell>
          <cell r="B8">
            <v>10.5</v>
          </cell>
        </row>
        <row r="9">
          <cell r="A9" t="str">
            <v xml:space="preserve">Data </v>
          </cell>
          <cell r="B9">
            <v>10.5</v>
          </cell>
        </row>
        <row r="10">
          <cell r="A10" t="str">
            <v xml:space="preserve">Data </v>
          </cell>
          <cell r="B10">
            <v>10.5</v>
          </cell>
        </row>
        <row r="11">
          <cell r="A11" t="str">
            <v xml:space="preserve">Data </v>
          </cell>
          <cell r="B11">
            <v>10.5</v>
          </cell>
        </row>
        <row r="12">
          <cell r="A12" t="str">
            <v xml:space="preserve">Data </v>
          </cell>
          <cell r="B12">
            <v>10.5</v>
          </cell>
        </row>
        <row r="13">
          <cell r="A13" t="str">
            <v xml:space="preserve">Data </v>
          </cell>
          <cell r="B13">
            <v>10.5</v>
          </cell>
        </row>
        <row r="14">
          <cell r="A14" t="str">
            <v xml:space="preserve">Data </v>
          </cell>
          <cell r="B14">
            <v>10.5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2">
          <cell r="B2">
            <v>2007</v>
          </cell>
        </row>
        <row r="4">
          <cell r="B4" t="str">
            <v>January</v>
          </cell>
          <cell r="M4">
            <v>2007</v>
          </cell>
          <cell r="R4" t="str">
            <v>February</v>
          </cell>
          <cell r="AC4">
            <v>2007</v>
          </cell>
          <cell r="AH4" t="str">
            <v xml:space="preserve">March </v>
          </cell>
          <cell r="AS4">
            <v>2007</v>
          </cell>
        </row>
        <row r="6">
          <cell r="B6" t="str">
            <v>S</v>
          </cell>
          <cell r="D6" t="str">
            <v>M</v>
          </cell>
          <cell r="F6" t="str">
            <v>T</v>
          </cell>
          <cell r="H6" t="str">
            <v>W</v>
          </cell>
          <cell r="J6" t="str">
            <v>T</v>
          </cell>
          <cell r="L6" t="str">
            <v>F</v>
          </cell>
          <cell r="N6" t="str">
            <v>S</v>
          </cell>
          <cell r="R6" t="str">
            <v>S</v>
          </cell>
          <cell r="T6" t="str">
            <v>M</v>
          </cell>
          <cell r="V6" t="str">
            <v>T</v>
          </cell>
          <cell r="X6" t="str">
            <v>W</v>
          </cell>
          <cell r="Z6" t="str">
            <v>T</v>
          </cell>
          <cell r="AB6" t="str">
            <v>F</v>
          </cell>
          <cell r="AD6" t="str">
            <v>S</v>
          </cell>
          <cell r="AH6" t="str">
            <v>S</v>
          </cell>
          <cell r="AJ6" t="str">
            <v>M</v>
          </cell>
          <cell r="AL6" t="str">
            <v>T</v>
          </cell>
          <cell r="AN6" t="str">
            <v>W</v>
          </cell>
          <cell r="AP6" t="str">
            <v>T</v>
          </cell>
          <cell r="AR6" t="str">
            <v>F</v>
          </cell>
          <cell r="AT6" t="str">
            <v>S</v>
          </cell>
        </row>
        <row r="7">
          <cell r="D7">
            <v>1</v>
          </cell>
          <cell r="F7">
            <v>2</v>
          </cell>
          <cell r="H7">
            <v>3</v>
          </cell>
          <cell r="J7">
            <v>4</v>
          </cell>
          <cell r="L7">
            <v>5</v>
          </cell>
          <cell r="N7">
            <v>6</v>
          </cell>
          <cell r="Z7">
            <v>1</v>
          </cell>
          <cell r="AB7">
            <v>2</v>
          </cell>
          <cell r="AD7">
            <v>3</v>
          </cell>
          <cell r="AP7">
            <v>1</v>
          </cell>
          <cell r="AR7">
            <v>2</v>
          </cell>
          <cell r="AT7">
            <v>3</v>
          </cell>
        </row>
        <row r="8">
          <cell r="B8">
            <v>7</v>
          </cell>
          <cell r="D8">
            <v>8</v>
          </cell>
          <cell r="F8">
            <v>9</v>
          </cell>
          <cell r="H8">
            <v>10</v>
          </cell>
          <cell r="J8">
            <v>11</v>
          </cell>
          <cell r="L8">
            <v>12</v>
          </cell>
          <cell r="N8">
            <v>13</v>
          </cell>
          <cell r="R8">
            <v>4</v>
          </cell>
          <cell r="T8">
            <v>5</v>
          </cell>
          <cell r="V8">
            <v>6</v>
          </cell>
          <cell r="X8">
            <v>7</v>
          </cell>
          <cell r="Z8">
            <v>8</v>
          </cell>
          <cell r="AB8">
            <v>9</v>
          </cell>
          <cell r="AD8">
            <v>10</v>
          </cell>
          <cell r="AH8">
            <v>4</v>
          </cell>
          <cell r="AJ8">
            <v>5</v>
          </cell>
          <cell r="AL8">
            <v>6</v>
          </cell>
          <cell r="AN8">
            <v>7</v>
          </cell>
          <cell r="AP8">
            <v>8</v>
          </cell>
          <cell r="AR8">
            <v>9</v>
          </cell>
          <cell r="AT8">
            <v>10</v>
          </cell>
        </row>
        <row r="9">
          <cell r="B9">
            <v>14</v>
          </cell>
          <cell r="D9">
            <v>15</v>
          </cell>
          <cell r="F9">
            <v>16</v>
          </cell>
          <cell r="H9">
            <v>17</v>
          </cell>
          <cell r="J9">
            <v>18</v>
          </cell>
          <cell r="L9">
            <v>19</v>
          </cell>
          <cell r="N9">
            <v>20</v>
          </cell>
          <cell r="R9">
            <v>11</v>
          </cell>
          <cell r="T9">
            <v>12</v>
          </cell>
          <cell r="V9">
            <v>13</v>
          </cell>
          <cell r="X9">
            <v>14</v>
          </cell>
          <cell r="Z9">
            <v>15</v>
          </cell>
          <cell r="AB9">
            <v>16</v>
          </cell>
          <cell r="AD9">
            <v>17</v>
          </cell>
          <cell r="AH9">
            <v>11</v>
          </cell>
          <cell r="AJ9">
            <v>12</v>
          </cell>
          <cell r="AL9">
            <v>13</v>
          </cell>
          <cell r="AN9">
            <v>14</v>
          </cell>
          <cell r="AP9">
            <v>15</v>
          </cell>
          <cell r="AR9">
            <v>16</v>
          </cell>
          <cell r="AT9">
            <v>17</v>
          </cell>
        </row>
        <row r="10">
          <cell r="B10">
            <v>21</v>
          </cell>
          <cell r="D10">
            <v>22</v>
          </cell>
          <cell r="F10">
            <v>23</v>
          </cell>
          <cell r="H10">
            <v>24</v>
          </cell>
          <cell r="J10">
            <v>25</v>
          </cell>
          <cell r="L10">
            <v>26</v>
          </cell>
          <cell r="N10">
            <v>27</v>
          </cell>
          <cell r="R10">
            <v>18</v>
          </cell>
          <cell r="T10">
            <v>19</v>
          </cell>
          <cell r="V10">
            <v>20</v>
          </cell>
          <cell r="X10">
            <v>21</v>
          </cell>
          <cell r="Z10">
            <v>22</v>
          </cell>
          <cell r="AB10">
            <v>23</v>
          </cell>
          <cell r="AD10">
            <v>24</v>
          </cell>
          <cell r="AH10">
            <v>18</v>
          </cell>
          <cell r="AJ10">
            <v>19</v>
          </cell>
          <cell r="AL10">
            <v>20</v>
          </cell>
          <cell r="AN10">
            <v>21</v>
          </cell>
          <cell r="AP10">
            <v>22</v>
          </cell>
          <cell r="AR10">
            <v>23</v>
          </cell>
          <cell r="AT10">
            <v>24</v>
          </cell>
        </row>
        <row r="11">
          <cell r="B11">
            <v>28</v>
          </cell>
          <cell r="D11">
            <v>29</v>
          </cell>
          <cell r="F11">
            <v>30</v>
          </cell>
          <cell r="H11">
            <v>31</v>
          </cell>
          <cell r="R11">
            <v>25</v>
          </cell>
          <cell r="T11">
            <v>26</v>
          </cell>
          <cell r="V11">
            <v>27</v>
          </cell>
          <cell r="X11">
            <v>28</v>
          </cell>
          <cell r="AH11">
            <v>25</v>
          </cell>
          <cell r="AJ11">
            <v>26</v>
          </cell>
          <cell r="AL11">
            <v>27</v>
          </cell>
          <cell r="AN11">
            <v>28</v>
          </cell>
          <cell r="AP11">
            <v>29</v>
          </cell>
          <cell r="AR11">
            <v>30</v>
          </cell>
          <cell r="AT11">
            <v>31</v>
          </cell>
        </row>
        <row r="15">
          <cell r="B15" t="str">
            <v>April</v>
          </cell>
          <cell r="M15">
            <v>2007</v>
          </cell>
          <cell r="R15" t="str">
            <v>May</v>
          </cell>
          <cell r="AC15">
            <v>2007</v>
          </cell>
          <cell r="AH15" t="str">
            <v>June</v>
          </cell>
          <cell r="AS15">
            <v>2007</v>
          </cell>
        </row>
        <row r="17">
          <cell r="B17" t="str">
            <v>S</v>
          </cell>
          <cell r="D17" t="str">
            <v>M</v>
          </cell>
          <cell r="F17" t="str">
            <v>T</v>
          </cell>
          <cell r="H17" t="str">
            <v>W</v>
          </cell>
          <cell r="J17" t="str">
            <v>T</v>
          </cell>
          <cell r="L17" t="str">
            <v>F</v>
          </cell>
          <cell r="N17" t="str">
            <v>S</v>
          </cell>
          <cell r="R17" t="str">
            <v>S</v>
          </cell>
          <cell r="T17" t="str">
            <v>M</v>
          </cell>
          <cell r="V17" t="str">
            <v>T</v>
          </cell>
          <cell r="X17" t="str">
            <v>W</v>
          </cell>
          <cell r="Z17" t="str">
            <v>T</v>
          </cell>
          <cell r="AB17" t="str">
            <v>F</v>
          </cell>
          <cell r="AD17" t="str">
            <v>S</v>
          </cell>
          <cell r="AH17" t="str">
            <v>S</v>
          </cell>
          <cell r="AJ17" t="str">
            <v>M</v>
          </cell>
          <cell r="AL17" t="str">
            <v>T</v>
          </cell>
          <cell r="AN17" t="str">
            <v>W</v>
          </cell>
          <cell r="AP17" t="str">
            <v>T</v>
          </cell>
          <cell r="AR17" t="str">
            <v>F</v>
          </cell>
          <cell r="AT17" t="str">
            <v>S</v>
          </cell>
        </row>
        <row r="18">
          <cell r="B18">
            <v>1</v>
          </cell>
          <cell r="D18">
            <v>2</v>
          </cell>
          <cell r="F18">
            <v>3</v>
          </cell>
          <cell r="H18">
            <v>4</v>
          </cell>
          <cell r="J18">
            <v>5</v>
          </cell>
          <cell r="L18">
            <v>6</v>
          </cell>
          <cell r="N18">
            <v>7</v>
          </cell>
          <cell r="V18">
            <v>1</v>
          </cell>
          <cell r="X18">
            <v>2</v>
          </cell>
          <cell r="Z18">
            <v>3</v>
          </cell>
          <cell r="AB18">
            <v>4</v>
          </cell>
          <cell r="AD18">
            <v>5</v>
          </cell>
          <cell r="AR18">
            <v>1</v>
          </cell>
          <cell r="AT18">
            <v>2</v>
          </cell>
        </row>
        <row r="19">
          <cell r="B19">
            <v>8</v>
          </cell>
          <cell r="D19">
            <v>9</v>
          </cell>
          <cell r="F19">
            <v>10</v>
          </cell>
          <cell r="H19">
            <v>11</v>
          </cell>
          <cell r="J19">
            <v>12</v>
          </cell>
          <cell r="L19">
            <v>13</v>
          </cell>
          <cell r="N19">
            <v>14</v>
          </cell>
          <cell r="R19">
            <v>6</v>
          </cell>
          <cell r="T19">
            <v>7</v>
          </cell>
          <cell r="V19">
            <v>8</v>
          </cell>
          <cell r="X19">
            <v>9</v>
          </cell>
          <cell r="Z19">
            <v>10</v>
          </cell>
          <cell r="AB19">
            <v>11</v>
          </cell>
          <cell r="AD19">
            <v>12</v>
          </cell>
          <cell r="AH19">
            <v>3</v>
          </cell>
          <cell r="AJ19">
            <v>4</v>
          </cell>
          <cell r="AL19">
            <v>5</v>
          </cell>
          <cell r="AN19">
            <v>6</v>
          </cell>
          <cell r="AP19">
            <v>7</v>
          </cell>
          <cell r="AR19">
            <v>8</v>
          </cell>
          <cell r="AT19">
            <v>9</v>
          </cell>
        </row>
        <row r="20">
          <cell r="B20">
            <v>15</v>
          </cell>
          <cell r="D20">
            <v>16</v>
          </cell>
          <cell r="F20">
            <v>17</v>
          </cell>
          <cell r="H20">
            <v>18</v>
          </cell>
          <cell r="J20">
            <v>19</v>
          </cell>
          <cell r="L20">
            <v>20</v>
          </cell>
          <cell r="N20">
            <v>21</v>
          </cell>
          <cell r="R20">
            <v>13</v>
          </cell>
          <cell r="T20">
            <v>14</v>
          </cell>
          <cell r="V20">
            <v>15</v>
          </cell>
          <cell r="X20">
            <v>16</v>
          </cell>
          <cell r="Z20">
            <v>17</v>
          </cell>
          <cell r="AB20">
            <v>18</v>
          </cell>
          <cell r="AD20">
            <v>19</v>
          </cell>
          <cell r="AH20">
            <v>10</v>
          </cell>
          <cell r="AJ20">
            <v>11</v>
          </cell>
          <cell r="AL20">
            <v>12</v>
          </cell>
          <cell r="AN20">
            <v>13</v>
          </cell>
          <cell r="AP20">
            <v>14</v>
          </cell>
          <cell r="AR20">
            <v>15</v>
          </cell>
          <cell r="AT20">
            <v>16</v>
          </cell>
        </row>
        <row r="21">
          <cell r="B21">
            <v>22</v>
          </cell>
          <cell r="D21">
            <v>23</v>
          </cell>
          <cell r="F21">
            <v>24</v>
          </cell>
          <cell r="H21">
            <v>25</v>
          </cell>
          <cell r="J21">
            <v>26</v>
          </cell>
          <cell r="L21">
            <v>27</v>
          </cell>
          <cell r="N21">
            <v>28</v>
          </cell>
          <cell r="R21">
            <v>20</v>
          </cell>
          <cell r="T21">
            <v>21</v>
          </cell>
          <cell r="V21">
            <v>22</v>
          </cell>
          <cell r="X21">
            <v>23</v>
          </cell>
          <cell r="Z21">
            <v>24</v>
          </cell>
          <cell r="AB21">
            <v>25</v>
          </cell>
          <cell r="AD21">
            <v>26</v>
          </cell>
          <cell r="AH21">
            <v>17</v>
          </cell>
          <cell r="AJ21">
            <v>18</v>
          </cell>
          <cell r="AL21">
            <v>19</v>
          </cell>
          <cell r="AN21">
            <v>20</v>
          </cell>
          <cell r="AP21">
            <v>21</v>
          </cell>
          <cell r="AR21">
            <v>22</v>
          </cell>
          <cell r="AT21">
            <v>23</v>
          </cell>
        </row>
        <row r="22">
          <cell r="B22">
            <v>29</v>
          </cell>
          <cell r="D22">
            <v>30</v>
          </cell>
          <cell r="O22">
            <v>1</v>
          </cell>
          <cell r="R22">
            <v>27</v>
          </cell>
          <cell r="T22">
            <v>28</v>
          </cell>
          <cell r="V22">
            <v>29</v>
          </cell>
          <cell r="X22">
            <v>30</v>
          </cell>
          <cell r="Z22">
            <v>31</v>
          </cell>
          <cell r="AH22">
            <v>24</v>
          </cell>
          <cell r="AJ22">
            <v>25</v>
          </cell>
          <cell r="AL22">
            <v>26</v>
          </cell>
          <cell r="AN22">
            <v>27</v>
          </cell>
          <cell r="AP22">
            <v>28</v>
          </cell>
          <cell r="AR22">
            <v>29</v>
          </cell>
          <cell r="AT22">
            <v>30</v>
          </cell>
        </row>
        <row r="26">
          <cell r="B26" t="str">
            <v>July</v>
          </cell>
          <cell r="M26">
            <v>2007</v>
          </cell>
          <cell r="R26" t="str">
            <v>August</v>
          </cell>
          <cell r="AC26">
            <v>2007</v>
          </cell>
          <cell r="AH26" t="str">
            <v>September</v>
          </cell>
          <cell r="AS26">
            <v>2007</v>
          </cell>
        </row>
        <row r="28">
          <cell r="B28" t="str">
            <v>S</v>
          </cell>
          <cell r="D28" t="str">
            <v>M</v>
          </cell>
          <cell r="F28" t="str">
            <v>T</v>
          </cell>
          <cell r="H28" t="str">
            <v>W</v>
          </cell>
          <cell r="J28" t="str">
            <v>T</v>
          </cell>
          <cell r="L28" t="str">
            <v>F</v>
          </cell>
          <cell r="N28" t="str">
            <v>S</v>
          </cell>
          <cell r="R28" t="str">
            <v>S</v>
          </cell>
          <cell r="T28" t="str">
            <v>M</v>
          </cell>
          <cell r="V28" t="str">
            <v>T</v>
          </cell>
          <cell r="X28" t="str">
            <v>W</v>
          </cell>
          <cell r="Z28" t="str">
            <v>T</v>
          </cell>
          <cell r="AB28" t="str">
            <v>F</v>
          </cell>
          <cell r="AD28" t="str">
            <v>S</v>
          </cell>
          <cell r="AH28" t="str">
            <v>S</v>
          </cell>
          <cell r="AJ28" t="str">
            <v>M</v>
          </cell>
          <cell r="AL28" t="str">
            <v>T</v>
          </cell>
          <cell r="AN28" t="str">
            <v>W</v>
          </cell>
          <cell r="AP28" t="str">
            <v>T</v>
          </cell>
          <cell r="AR28" t="str">
            <v>F</v>
          </cell>
          <cell r="AT28" t="str">
            <v>S</v>
          </cell>
        </row>
        <row r="29">
          <cell r="B29">
            <v>1</v>
          </cell>
          <cell r="D29">
            <v>2</v>
          </cell>
          <cell r="F29">
            <v>3</v>
          </cell>
          <cell r="H29">
            <v>4</v>
          </cell>
          <cell r="J29">
            <v>5</v>
          </cell>
          <cell r="L29">
            <v>6</v>
          </cell>
          <cell r="N29">
            <v>7</v>
          </cell>
          <cell r="X29">
            <v>1</v>
          </cell>
          <cell r="Z29">
            <v>2</v>
          </cell>
          <cell r="AB29">
            <v>3</v>
          </cell>
          <cell r="AD29">
            <v>4</v>
          </cell>
          <cell r="AT29">
            <v>1</v>
          </cell>
        </row>
        <row r="30">
          <cell r="B30">
            <v>8</v>
          </cell>
          <cell r="D30">
            <v>9</v>
          </cell>
          <cell r="F30">
            <v>10</v>
          </cell>
          <cell r="H30">
            <v>11</v>
          </cell>
          <cell r="J30">
            <v>12</v>
          </cell>
          <cell r="L30">
            <v>13</v>
          </cell>
          <cell r="N30">
            <v>14</v>
          </cell>
          <cell r="R30">
            <v>5</v>
          </cell>
          <cell r="T30">
            <v>6</v>
          </cell>
          <cell r="V30">
            <v>7</v>
          </cell>
          <cell r="X30">
            <v>8</v>
          </cell>
          <cell r="Z30">
            <v>9</v>
          </cell>
          <cell r="AB30">
            <v>10</v>
          </cell>
          <cell r="AD30">
            <v>11</v>
          </cell>
          <cell r="AH30">
            <v>2</v>
          </cell>
          <cell r="AJ30">
            <v>3</v>
          </cell>
          <cell r="AL30">
            <v>4</v>
          </cell>
          <cell r="AN30">
            <v>5</v>
          </cell>
          <cell r="AP30">
            <v>6</v>
          </cell>
          <cell r="AR30">
            <v>7</v>
          </cell>
          <cell r="AT30">
            <v>8</v>
          </cell>
        </row>
        <row r="31">
          <cell r="B31">
            <v>15</v>
          </cell>
          <cell r="D31">
            <v>16</v>
          </cell>
          <cell r="F31">
            <v>17</v>
          </cell>
          <cell r="H31">
            <v>18</v>
          </cell>
          <cell r="J31">
            <v>19</v>
          </cell>
          <cell r="L31">
            <v>20</v>
          </cell>
          <cell r="N31">
            <v>21</v>
          </cell>
          <cell r="R31">
            <v>12</v>
          </cell>
          <cell r="T31">
            <v>13</v>
          </cell>
          <cell r="V31">
            <v>14</v>
          </cell>
          <cell r="X31">
            <v>15</v>
          </cell>
          <cell r="Z31">
            <v>16</v>
          </cell>
          <cell r="AB31">
            <v>17</v>
          </cell>
          <cell r="AD31">
            <v>18</v>
          </cell>
          <cell r="AH31">
            <v>9</v>
          </cell>
          <cell r="AJ31">
            <v>10</v>
          </cell>
          <cell r="AL31">
            <v>11</v>
          </cell>
          <cell r="AN31">
            <v>12</v>
          </cell>
          <cell r="AP31">
            <v>13</v>
          </cell>
          <cell r="AR31">
            <v>14</v>
          </cell>
          <cell r="AT31">
            <v>15</v>
          </cell>
        </row>
        <row r="32">
          <cell r="B32">
            <v>22</v>
          </cell>
          <cell r="D32">
            <v>23</v>
          </cell>
          <cell r="F32">
            <v>24</v>
          </cell>
          <cell r="H32">
            <v>25</v>
          </cell>
          <cell r="J32">
            <v>26</v>
          </cell>
          <cell r="L32">
            <v>27</v>
          </cell>
          <cell r="N32">
            <v>28</v>
          </cell>
          <cell r="R32">
            <v>19</v>
          </cell>
          <cell r="T32">
            <v>20</v>
          </cell>
          <cell r="V32">
            <v>21</v>
          </cell>
          <cell r="X32">
            <v>22</v>
          </cell>
          <cell r="Z32">
            <v>23</v>
          </cell>
          <cell r="AB32">
            <v>24</v>
          </cell>
          <cell r="AD32">
            <v>25</v>
          </cell>
          <cell r="AH32">
            <v>16</v>
          </cell>
          <cell r="AJ32">
            <v>17</v>
          </cell>
          <cell r="AL32">
            <v>18</v>
          </cell>
          <cell r="AN32">
            <v>19</v>
          </cell>
          <cell r="AP32">
            <v>20</v>
          </cell>
          <cell r="AR32">
            <v>21</v>
          </cell>
          <cell r="AT32">
            <v>22</v>
          </cell>
        </row>
        <row r="33">
          <cell r="B33">
            <v>29</v>
          </cell>
          <cell r="D33">
            <v>30</v>
          </cell>
          <cell r="F33">
            <v>31</v>
          </cell>
          <cell r="R33">
            <v>26</v>
          </cell>
          <cell r="T33">
            <v>27</v>
          </cell>
          <cell r="V33">
            <v>28</v>
          </cell>
          <cell r="X33">
            <v>29</v>
          </cell>
          <cell r="Z33">
            <v>30</v>
          </cell>
          <cell r="AB33">
            <v>31</v>
          </cell>
          <cell r="AH33" t="str">
            <v>23/30</v>
          </cell>
          <cell r="AJ33">
            <v>24</v>
          </cell>
          <cell r="AL33">
            <v>25</v>
          </cell>
          <cell r="AN33">
            <v>26</v>
          </cell>
          <cell r="AP33">
            <v>27</v>
          </cell>
          <cell r="AR33">
            <v>28</v>
          </cell>
          <cell r="AT33">
            <v>29</v>
          </cell>
        </row>
        <row r="37">
          <cell r="B37" t="str">
            <v>October</v>
          </cell>
          <cell r="M37">
            <v>2007</v>
          </cell>
          <cell r="R37" t="str">
            <v>November</v>
          </cell>
          <cell r="AC37">
            <v>2007</v>
          </cell>
          <cell r="AH37" t="str">
            <v>December</v>
          </cell>
          <cell r="AS37">
            <v>2007</v>
          </cell>
        </row>
        <row r="39">
          <cell r="B39" t="str">
            <v>S</v>
          </cell>
          <cell r="D39" t="str">
            <v>M</v>
          </cell>
          <cell r="F39" t="str">
            <v>T</v>
          </cell>
          <cell r="H39" t="str">
            <v>W</v>
          </cell>
          <cell r="J39" t="str">
            <v>T</v>
          </cell>
          <cell r="L39" t="str">
            <v>F</v>
          </cell>
          <cell r="N39" t="str">
            <v>S</v>
          </cell>
          <cell r="R39" t="str">
            <v>S</v>
          </cell>
          <cell r="T39" t="str">
            <v>M</v>
          </cell>
          <cell r="V39" t="str">
            <v>T</v>
          </cell>
          <cell r="X39" t="str">
            <v>W</v>
          </cell>
          <cell r="Z39" t="str">
            <v>T</v>
          </cell>
          <cell r="AB39" t="str">
            <v>F</v>
          </cell>
          <cell r="AD39" t="str">
            <v>S</v>
          </cell>
          <cell r="AH39" t="str">
            <v>S</v>
          </cell>
          <cell r="AJ39" t="str">
            <v>M</v>
          </cell>
          <cell r="AL39" t="str">
            <v>T</v>
          </cell>
          <cell r="AN39" t="str">
            <v>W</v>
          </cell>
          <cell r="AP39" t="str">
            <v>T</v>
          </cell>
          <cell r="AR39" t="str">
            <v>F</v>
          </cell>
          <cell r="AT39" t="str">
            <v>S</v>
          </cell>
        </row>
        <row r="40">
          <cell r="D40">
            <v>1</v>
          </cell>
          <cell r="F40">
            <v>2</v>
          </cell>
          <cell r="H40">
            <v>3</v>
          </cell>
          <cell r="J40">
            <v>4</v>
          </cell>
          <cell r="L40">
            <v>5</v>
          </cell>
          <cell r="N40">
            <v>6</v>
          </cell>
          <cell r="Z40">
            <v>1</v>
          </cell>
          <cell r="AB40">
            <v>2</v>
          </cell>
          <cell r="AD40">
            <v>3</v>
          </cell>
          <cell r="AT40">
            <v>1</v>
          </cell>
        </row>
        <row r="41">
          <cell r="B41">
            <v>7</v>
          </cell>
          <cell r="D41">
            <v>8</v>
          </cell>
          <cell r="F41">
            <v>9</v>
          </cell>
          <cell r="H41">
            <v>10</v>
          </cell>
          <cell r="J41">
            <v>11</v>
          </cell>
          <cell r="L41">
            <v>12</v>
          </cell>
          <cell r="N41">
            <v>13</v>
          </cell>
          <cell r="R41">
            <v>4</v>
          </cell>
          <cell r="T41">
            <v>5</v>
          </cell>
          <cell r="V41">
            <v>6</v>
          </cell>
          <cell r="X41">
            <v>7</v>
          </cell>
          <cell r="Z41">
            <v>8</v>
          </cell>
          <cell r="AB41">
            <v>9</v>
          </cell>
          <cell r="AD41">
            <v>10</v>
          </cell>
          <cell r="AH41">
            <v>2</v>
          </cell>
          <cell r="AJ41">
            <v>3</v>
          </cell>
          <cell r="AL41">
            <v>4</v>
          </cell>
          <cell r="AN41">
            <v>5</v>
          </cell>
          <cell r="AP41">
            <v>6</v>
          </cell>
          <cell r="AR41">
            <v>7</v>
          </cell>
          <cell r="AT41">
            <v>8</v>
          </cell>
        </row>
        <row r="42">
          <cell r="B42">
            <v>14</v>
          </cell>
          <cell r="D42">
            <v>15</v>
          </cell>
          <cell r="F42">
            <v>16</v>
          </cell>
          <cell r="H42">
            <v>17</v>
          </cell>
          <cell r="J42">
            <v>18</v>
          </cell>
          <cell r="L42">
            <v>19</v>
          </cell>
          <cell r="N42">
            <v>20</v>
          </cell>
          <cell r="R42">
            <v>11</v>
          </cell>
          <cell r="T42">
            <v>12</v>
          </cell>
          <cell r="V42">
            <v>13</v>
          </cell>
          <cell r="X42">
            <v>14</v>
          </cell>
          <cell r="Z42">
            <v>15</v>
          </cell>
          <cell r="AB42">
            <v>16</v>
          </cell>
          <cell r="AD42">
            <v>17</v>
          </cell>
          <cell r="AH42">
            <v>9</v>
          </cell>
          <cell r="AJ42">
            <v>10</v>
          </cell>
          <cell r="AL42">
            <v>11</v>
          </cell>
          <cell r="AN42">
            <v>12</v>
          </cell>
          <cell r="AP42">
            <v>13</v>
          </cell>
          <cell r="AR42">
            <v>14</v>
          </cell>
          <cell r="AT42">
            <v>15</v>
          </cell>
        </row>
        <row r="43">
          <cell r="B43">
            <v>21</v>
          </cell>
          <cell r="D43">
            <v>22</v>
          </cell>
          <cell r="F43">
            <v>23</v>
          </cell>
          <cell r="H43">
            <v>24</v>
          </cell>
          <cell r="J43">
            <v>25</v>
          </cell>
          <cell r="L43">
            <v>26</v>
          </cell>
          <cell r="N43">
            <v>27</v>
          </cell>
          <cell r="R43">
            <v>18</v>
          </cell>
          <cell r="T43">
            <v>19</v>
          </cell>
          <cell r="V43">
            <v>20</v>
          </cell>
          <cell r="X43">
            <v>21</v>
          </cell>
          <cell r="Z43">
            <v>22</v>
          </cell>
          <cell r="AB43">
            <v>23</v>
          </cell>
          <cell r="AD43">
            <v>24</v>
          </cell>
          <cell r="AH43">
            <v>16</v>
          </cell>
          <cell r="AJ43">
            <v>17</v>
          </cell>
          <cell r="AL43">
            <v>18</v>
          </cell>
          <cell r="AN43">
            <v>19</v>
          </cell>
          <cell r="AP43">
            <v>20</v>
          </cell>
          <cell r="AR43">
            <v>21</v>
          </cell>
          <cell r="AT43">
            <v>22</v>
          </cell>
        </row>
        <row r="44">
          <cell r="B44">
            <v>28</v>
          </cell>
          <cell r="D44">
            <v>29</v>
          </cell>
          <cell r="F44">
            <v>30</v>
          </cell>
          <cell r="H44">
            <v>31</v>
          </cell>
          <cell r="R44">
            <v>25</v>
          </cell>
          <cell r="T44">
            <v>26</v>
          </cell>
          <cell r="V44">
            <v>27</v>
          </cell>
          <cell r="X44">
            <v>28</v>
          </cell>
          <cell r="Z44">
            <v>29</v>
          </cell>
          <cell r="AB44">
            <v>30</v>
          </cell>
          <cell r="AH44" t="str">
            <v>23/30</v>
          </cell>
          <cell r="AJ44" t="str">
            <v>24/31</v>
          </cell>
          <cell r="AL44">
            <v>25</v>
          </cell>
          <cell r="AN44">
            <v>26</v>
          </cell>
          <cell r="AP44">
            <v>27</v>
          </cell>
          <cell r="AR44">
            <v>28</v>
          </cell>
          <cell r="AT44">
            <v>29</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row r="11">
          <cell r="A11" t="str">
            <v>CLA Elementary</v>
          </cell>
        </row>
        <row r="12">
          <cell r="A12" t="str">
            <v>Crown Pointe - Elementary</v>
          </cell>
        </row>
        <row r="13">
          <cell r="A13" t="str">
            <v>Crown Pointe - Middle</v>
          </cell>
        </row>
        <row r="14">
          <cell r="A14" t="str">
            <v>ECA - High</v>
          </cell>
        </row>
        <row r="15">
          <cell r="A15" t="str">
            <v>ECA - Middle</v>
          </cell>
        </row>
        <row r="16">
          <cell r="A16" t="str">
            <v>Frontier - Elementary</v>
          </cell>
        </row>
        <row r="17">
          <cell r="A17" t="str">
            <v>Frontier - Middle</v>
          </cell>
        </row>
        <row r="18">
          <cell r="A18" t="str">
            <v>GVA CS - Elementary</v>
          </cell>
        </row>
        <row r="19">
          <cell r="A19" t="str">
            <v>GVA CS Middle</v>
          </cell>
        </row>
        <row r="20">
          <cell r="A20" t="str">
            <v>GVA FC - Elementary</v>
          </cell>
        </row>
        <row r="21">
          <cell r="A21" t="str">
            <v>GVA FC - Middle</v>
          </cell>
        </row>
        <row r="22">
          <cell r="A22" t="str">
            <v>High Point Academy - Elementary</v>
          </cell>
        </row>
        <row r="23">
          <cell r="A23" t="str">
            <v>High Point Academy - Middle</v>
          </cell>
        </row>
        <row r="24">
          <cell r="A24" t="str">
            <v>JICA</v>
          </cell>
        </row>
        <row r="25">
          <cell r="A25" t="str">
            <v>Magon - Elementary</v>
          </cell>
        </row>
        <row r="26">
          <cell r="A26" t="str">
            <v>Magon - Middle</v>
          </cell>
        </row>
        <row r="27">
          <cell r="A27" t="str">
            <v>Montessori del Mundo</v>
          </cell>
        </row>
        <row r="28">
          <cell r="A28" t="str">
            <v>Mountain Song - Middle</v>
          </cell>
        </row>
        <row r="29">
          <cell r="A29" t="str">
            <v>NAS Lowry</v>
          </cell>
        </row>
        <row r="30">
          <cell r="A30" t="str">
            <v>NAS Thornton</v>
          </cell>
        </row>
        <row r="31">
          <cell r="A31" t="str">
            <v>New Legacy - High</v>
          </cell>
        </row>
        <row r="32">
          <cell r="A32" t="str">
            <v>Pikes Peak Prep - Elementary</v>
          </cell>
        </row>
        <row r="33">
          <cell r="A33" t="str">
            <v>Pikes Peak Prep - High</v>
          </cell>
        </row>
        <row r="34">
          <cell r="A34" t="str">
            <v>Pikes Peak Prep - Middle</v>
          </cell>
        </row>
        <row r="35">
          <cell r="A35" t="str">
            <v>Pinnacle Elementary</v>
          </cell>
        </row>
        <row r="36">
          <cell r="A36" t="str">
            <v>Pinnacle High</v>
          </cell>
        </row>
        <row r="37">
          <cell r="A37" t="str">
            <v>Pinnacle Middle</v>
          </cell>
        </row>
        <row r="38">
          <cell r="A38" t="str">
            <v>Salida Montessori - Elementary</v>
          </cell>
        </row>
        <row r="39">
          <cell r="A39" t="str">
            <v>Salida Montessori - Middle</v>
          </cell>
        </row>
        <row r="40">
          <cell r="A40" t="str">
            <v>Victory Prep High</v>
          </cell>
        </row>
        <row r="41">
          <cell r="A41" t="str">
            <v>Victory Prep Middle</v>
          </cell>
        </row>
        <row r="42">
          <cell r="A42" t="str">
            <v>YAFA - High</v>
          </cell>
        </row>
        <row r="43">
          <cell r="A43" t="str">
            <v>YAFA - Middle</v>
          </cell>
        </row>
      </sheetData>
      <sheetData sheetId="79" refreshError="1">
        <row r="11">
          <cell r="A11" t="str">
            <v>CLA Elementary</v>
          </cell>
          <cell r="F11">
            <v>1793.8551912568305</v>
          </cell>
        </row>
        <row r="12">
          <cell r="A12" t="str">
            <v>Crown Pointe - Elementary</v>
          </cell>
          <cell r="F12">
            <v>498.2931086824529</v>
          </cell>
        </row>
        <row r="13">
          <cell r="A13" t="str">
            <v>Crown Pointe - Middle</v>
          </cell>
          <cell r="F13">
            <v>390.66179720704309</v>
          </cell>
        </row>
        <row r="14">
          <cell r="A14" t="str">
            <v>ECA - High</v>
          </cell>
          <cell r="F14">
            <v>318.90758955676984</v>
          </cell>
        </row>
        <row r="15">
          <cell r="A15" t="str">
            <v>ECA - Middle</v>
          </cell>
          <cell r="F15">
            <v>267.08510625379478</v>
          </cell>
        </row>
        <row r="16">
          <cell r="A16" t="str">
            <v>Frontier - Elementary</v>
          </cell>
          <cell r="F16">
            <v>99.658621736490588</v>
          </cell>
        </row>
        <row r="17">
          <cell r="A17" t="str">
            <v>Frontier - Middle</v>
          </cell>
          <cell r="F17">
            <v>27.904414086217365</v>
          </cell>
        </row>
        <row r="18">
          <cell r="A18" t="str">
            <v>GVA CS - Elementary</v>
          </cell>
          <cell r="F18">
            <v>681.66497267759553</v>
          </cell>
        </row>
        <row r="19">
          <cell r="A19" t="str">
            <v>GVA CS Middle</v>
          </cell>
          <cell r="F19">
            <v>51.822483302975101</v>
          </cell>
        </row>
        <row r="20">
          <cell r="A20" t="str">
            <v>GVA FC - Elementary</v>
          </cell>
          <cell r="F20">
            <v>582.00635094110498</v>
          </cell>
        </row>
        <row r="21">
          <cell r="A21" t="str">
            <v>GVA FC - Middle</v>
          </cell>
          <cell r="F21">
            <v>35.877103825136608</v>
          </cell>
        </row>
        <row r="22">
          <cell r="A22" t="str">
            <v>High Point Academy - Elementary</v>
          </cell>
          <cell r="F22">
            <v>964.69545840922888</v>
          </cell>
        </row>
        <row r="23">
          <cell r="A23" t="str">
            <v>High Point Academy - Middle</v>
          </cell>
          <cell r="F23">
            <v>398.63448694596235</v>
          </cell>
        </row>
        <row r="24">
          <cell r="A24" t="str">
            <v>JICA</v>
          </cell>
          <cell r="F24">
            <v>593.96538554948393</v>
          </cell>
        </row>
        <row r="25">
          <cell r="A25" t="str">
            <v>Magon - Elementary</v>
          </cell>
          <cell r="F25">
            <v>876.99587128111716</v>
          </cell>
        </row>
        <row r="26">
          <cell r="A26" t="str">
            <v>Magon - Middle</v>
          </cell>
          <cell r="F26">
            <v>342.82565877352761</v>
          </cell>
        </row>
        <row r="27">
          <cell r="A27" t="str">
            <v>Montessori del Mundo</v>
          </cell>
          <cell r="F27">
            <v>378.70276259866421</v>
          </cell>
        </row>
        <row r="28">
          <cell r="A28" t="str">
            <v>Mountain Song - Middle</v>
          </cell>
          <cell r="F28">
            <v>83.713242258652087</v>
          </cell>
        </row>
        <row r="29">
          <cell r="A29" t="str">
            <v>NAS Lowry</v>
          </cell>
          <cell r="F29">
            <v>1558.6608439587128</v>
          </cell>
        </row>
        <row r="30">
          <cell r="A30" t="str">
            <v>NAS Thornton</v>
          </cell>
          <cell r="F30">
            <v>1307.5211171827564</v>
          </cell>
        </row>
        <row r="31">
          <cell r="A31" t="str">
            <v>New Legacy - High</v>
          </cell>
          <cell r="F31">
            <v>227.22165755919852</v>
          </cell>
        </row>
        <row r="32">
          <cell r="A32" t="str">
            <v>Pikes Peak Prep - Elementary</v>
          </cell>
          <cell r="F32">
            <v>446.47062537947784</v>
          </cell>
        </row>
        <row r="33">
          <cell r="A33" t="str">
            <v>Pikes Peak Prep - High</v>
          </cell>
          <cell r="F33">
            <v>135.5357255616272</v>
          </cell>
        </row>
        <row r="34">
          <cell r="A34" t="str">
            <v>Pikes Peak Prep - Middle</v>
          </cell>
          <cell r="F34">
            <v>195.33089860352155</v>
          </cell>
        </row>
        <row r="35">
          <cell r="A35" t="str">
            <v>Pinnacle Elementary</v>
          </cell>
          <cell r="F35">
            <v>2961.8542380085</v>
          </cell>
        </row>
        <row r="36">
          <cell r="A36" t="str">
            <v>Pinnacle High</v>
          </cell>
          <cell r="F36">
            <v>1407.179738919247</v>
          </cell>
        </row>
        <row r="37">
          <cell r="A37" t="str">
            <v>Pinnacle Middle</v>
          </cell>
          <cell r="F37">
            <v>1431.0978081360047</v>
          </cell>
        </row>
        <row r="38">
          <cell r="A38" t="str">
            <v>Victory Prep High</v>
          </cell>
          <cell r="F38">
            <v>287.01683060109286</v>
          </cell>
        </row>
        <row r="39">
          <cell r="A39" t="str">
            <v>Victory Prep Middle</v>
          </cell>
          <cell r="F39">
            <v>841.11876745598056</v>
          </cell>
        </row>
        <row r="40">
          <cell r="A40" t="str">
            <v>YAFA - High</v>
          </cell>
          <cell r="F40">
            <v>394.64814207650272</v>
          </cell>
        </row>
        <row r="41">
          <cell r="A41" t="str">
            <v>Salida Montessori - Elementary</v>
          </cell>
          <cell r="F41">
            <v>83.713242258652087</v>
          </cell>
        </row>
        <row r="42">
          <cell r="A42" t="str">
            <v>Salida Montessori - Middle</v>
          </cell>
          <cell r="F42">
            <v>31.890758955676986</v>
          </cell>
        </row>
        <row r="43">
          <cell r="A43" t="str">
            <v>YAFA - Middle</v>
          </cell>
          <cell r="F43">
            <v>115.60400121432907</v>
          </cell>
        </row>
      </sheetData>
      <sheetData sheetId="80" refreshError="1">
        <row r="21">
          <cell r="A21" t="str">
            <v>NAS Thornton</v>
          </cell>
          <cell r="F21">
            <v>60623.381411764713</v>
          </cell>
        </row>
        <row r="22">
          <cell r="A22" t="str">
            <v>Pinnacle Elementary</v>
          </cell>
          <cell r="F22">
            <v>137326.7450882353</v>
          </cell>
        </row>
      </sheetData>
      <sheetData sheetId="81" refreshError="1"/>
      <sheetData sheetId="82" refreshError="1">
        <row r="23">
          <cell r="A23" t="str">
            <v>Caprock</v>
          </cell>
        </row>
        <row r="24">
          <cell r="A24" t="str">
            <v>CECDC</v>
          </cell>
        </row>
        <row r="25">
          <cell r="A25" t="str">
            <v>CECFC</v>
          </cell>
        </row>
        <row r="26">
          <cell r="A26" t="str">
            <v>CLA Elementary</v>
          </cell>
        </row>
        <row r="27">
          <cell r="A27" t="str">
            <v>Crown Pointe - Elementary</v>
          </cell>
        </row>
        <row r="28">
          <cell r="A28" t="str">
            <v>CSEC</v>
          </cell>
        </row>
        <row r="29">
          <cell r="A29" t="str">
            <v>ECA - Middle</v>
          </cell>
        </row>
        <row r="30">
          <cell r="A30" t="str">
            <v>GVA CS - Elementary</v>
          </cell>
        </row>
        <row r="31">
          <cell r="A31" t="str">
            <v>GVA FC - Elementary</v>
          </cell>
        </row>
        <row r="32">
          <cell r="A32" t="str">
            <v>High Point Academy - Elementary</v>
          </cell>
        </row>
        <row r="33">
          <cell r="A33" t="str">
            <v>JICA</v>
          </cell>
        </row>
        <row r="34">
          <cell r="A34" t="str">
            <v>Magon - Elementary</v>
          </cell>
        </row>
        <row r="35">
          <cell r="A35" t="str">
            <v>Montessori del Mundo</v>
          </cell>
        </row>
        <row r="36">
          <cell r="A36" t="str">
            <v>Mountain Middle School</v>
          </cell>
        </row>
        <row r="37">
          <cell r="A37" t="str">
            <v>Mountain Song - Middle</v>
          </cell>
        </row>
        <row r="38">
          <cell r="A38" t="str">
            <v>NAS Lowry</v>
          </cell>
        </row>
        <row r="39">
          <cell r="A39" t="str">
            <v>NAS Thornton</v>
          </cell>
        </row>
        <row r="40">
          <cell r="A40" t="str">
            <v>New Legacy - High</v>
          </cell>
        </row>
        <row r="41">
          <cell r="A41" t="str">
            <v>Pikes Peak Prep - Elementary</v>
          </cell>
        </row>
        <row r="42">
          <cell r="A42" t="str">
            <v>Pinnacle Elementary</v>
          </cell>
        </row>
        <row r="43">
          <cell r="A43" t="str">
            <v>Pinnacle High</v>
          </cell>
        </row>
        <row r="44">
          <cell r="A44" t="str">
            <v>Pinnacle Middle</v>
          </cell>
        </row>
        <row r="45">
          <cell r="A45" t="str">
            <v>Ross Montessori School</v>
          </cell>
        </row>
        <row r="46">
          <cell r="A46" t="str">
            <v>Salida Montessori - Elementary</v>
          </cell>
        </row>
        <row r="47">
          <cell r="A47" t="str">
            <v>Stone Creek School</v>
          </cell>
        </row>
        <row r="48">
          <cell r="A48" t="str">
            <v>The Academy</v>
          </cell>
        </row>
        <row r="49">
          <cell r="A49" t="str">
            <v>TPAAK</v>
          </cell>
        </row>
        <row r="50">
          <cell r="A50" t="str">
            <v>Two Rivers</v>
          </cell>
        </row>
        <row r="51">
          <cell r="A51" t="str">
            <v>Victory Prep High</v>
          </cell>
        </row>
        <row r="52">
          <cell r="A52" t="str">
            <v>Victory Prep Middle</v>
          </cell>
        </row>
      </sheetData>
      <sheetData sheetId="83" refreshError="1">
        <row r="8">
          <cell r="A8" t="str">
            <v>Caprock</v>
          </cell>
          <cell r="C8">
            <v>0</v>
          </cell>
        </row>
        <row r="9">
          <cell r="A9" t="str">
            <v>CECDC</v>
          </cell>
          <cell r="C9">
            <v>0</v>
          </cell>
        </row>
        <row r="10">
          <cell r="A10" t="str">
            <v>CECFC</v>
          </cell>
          <cell r="C10">
            <v>0</v>
          </cell>
        </row>
        <row r="11">
          <cell r="A11" t="str">
            <v>CLA Elementary</v>
          </cell>
          <cell r="C11">
            <v>3310.7659574468089</v>
          </cell>
        </row>
        <row r="12">
          <cell r="A12" t="str">
            <v>CSEC</v>
          </cell>
          <cell r="C12">
            <v>300.97872340425533</v>
          </cell>
        </row>
        <row r="13">
          <cell r="A13" t="str">
            <v>High Point Academy - Elementary</v>
          </cell>
          <cell r="C13">
            <v>300.97872340425533</v>
          </cell>
        </row>
        <row r="14">
          <cell r="A14" t="str">
            <v>JICA</v>
          </cell>
          <cell r="C14">
            <v>0</v>
          </cell>
        </row>
        <row r="15">
          <cell r="A15" t="str">
            <v>NAS Lowry</v>
          </cell>
          <cell r="C15">
            <v>20466.553191489362</v>
          </cell>
        </row>
        <row r="16">
          <cell r="A16" t="str">
            <v>Pikes Peak Prep - Elementary</v>
          </cell>
          <cell r="C16">
            <v>902.936170212766</v>
          </cell>
        </row>
        <row r="17">
          <cell r="A17" t="str">
            <v>Ross Montessori School</v>
          </cell>
          <cell r="C17">
            <v>300.97872340425533</v>
          </cell>
        </row>
        <row r="18">
          <cell r="A18" t="str">
            <v>Victory Prep High</v>
          </cell>
          <cell r="C18">
            <v>300.97872340425533</v>
          </cell>
        </row>
        <row r="19">
          <cell r="A19" t="str">
            <v>Victory Prep Middle</v>
          </cell>
          <cell r="C19">
            <v>2407.8297872340427</v>
          </cell>
        </row>
      </sheetData>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02-09T01:48:44.970"/>
    </inkml:context>
    <inkml:brush xml:id="br0">
      <inkml:brushProperty name="width" value="0.05" units="cm"/>
      <inkml:brushProperty name="height" value="0.05" units="cm"/>
    </inkml:brush>
  </inkml:definitions>
  <inkml:trace contextRef="#ctx0" brushRef="#br0">28 43 3679 0 0,'-28'5'5432'0'0,"58"-24"-4562"0"0,-5 5-1249 0 0,-5 4-617 0 0,-15 6 493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02-09T01:48:44.971"/>
    </inkml:context>
    <inkml:brush xml:id="br0">
      <inkml:brushProperty name="width" value="0.05" units="cm"/>
      <inkml:brushProperty name="height" value="0.05" units="cm"/>
    </inkml:brush>
  </inkml:definitions>
  <inkml:trace contextRef="#ctx0" brushRef="#br0">33 13 6911 0 0,'-6'6'304'0'0,"0"-3"64"0"0,2-2-296 0 0,0-1-72 0 0,3 0 0 0 0,-1 1 344 0 0,1-1 48 0 0,-2 0 16 0 0,0 0 0 0 0,2-1-408 0 0,0 0-88 0 0,1-1-8 0 0,2 0-8 0 0,1-1-88 0 0,1-1-8 0 0,2-1-8 0 0,-1 0-3144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02-09T01:48:44.972"/>
    </inkml:context>
    <inkml:brush xml:id="br0">
      <inkml:brushProperty name="width" value="0.05" units="cm"/>
      <inkml:brushProperty name="height" value="0.05" units="cm"/>
    </inkml:brush>
  </inkml:definitions>
  <inkml:trace contextRef="#ctx0" brushRef="#br0">28 43 3679 0 0,'-28'5'5432'0'0,"58"-24"-4562"0"0,-5 5-1249 0 0,-5 4-617 0 0,-15 6 493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02-09T01:48:44.973"/>
    </inkml:context>
    <inkml:brush xml:id="br0">
      <inkml:brushProperty name="width" value="0.05" units="cm"/>
      <inkml:brushProperty name="height" value="0.05" units="cm"/>
    </inkml:brush>
  </inkml:definitions>
  <inkml:trace contextRef="#ctx0" brushRef="#br0">33 13 6911 0 0,'-6'6'304'0'0,"0"-3"64"0"0,2-2-296 0 0,0-1-72 0 0,3 0 0 0 0,-1 1 344 0 0,1-1 48 0 0,-2 0 16 0 0,0 0 0 0 0,2-1-408 0 0,0 0-88 0 0,1-1-8 0 0,2 0-8 0 0,1-1-88 0 0,1-1-8 0 0,2-1-8 0 0,-1 0-3144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901D-EFA6-4736-8461-239AE3C665F0}">
  <dimension ref="A1:Q183"/>
  <sheetViews>
    <sheetView tabSelected="1" workbookViewId="0">
      <pane xSplit="2" ySplit="1" topLeftCell="C40" activePane="bottomRight" state="frozen"/>
      <selection pane="topRight" activeCell="C1" sqref="C1"/>
      <selection pane="bottomLeft" activeCell="A2" sqref="A2"/>
      <selection pane="bottomRight" activeCell="C1" sqref="C1:M1048576"/>
    </sheetView>
  </sheetViews>
  <sheetFormatPr defaultRowHeight="14.5" x14ac:dyDescent="0.35"/>
  <cols>
    <col min="1" max="1" width="51" style="16" customWidth="1"/>
    <col min="2" max="2" width="1.7265625" style="16" customWidth="1"/>
    <col min="3" max="3" width="22.54296875" style="16" customWidth="1"/>
    <col min="4" max="4" width="1.453125" style="16" customWidth="1"/>
    <col min="5" max="5" width="22.54296875" style="16" customWidth="1"/>
    <col min="6" max="6" width="1.7265625" style="16" customWidth="1"/>
    <col min="7" max="7" width="22.54296875" style="16" customWidth="1"/>
    <col min="8" max="8" width="1.453125" style="16" customWidth="1"/>
    <col min="9" max="9" width="22.54296875" style="16" customWidth="1"/>
    <col min="10" max="10" width="0.81640625" style="16" customWidth="1"/>
    <col min="11" max="11" width="22.54296875" style="16" customWidth="1"/>
    <col min="12" max="12" width="1.7265625" style="16" customWidth="1"/>
    <col min="13" max="13" width="22.54296875" style="16" customWidth="1"/>
    <col min="14" max="14" width="1.81640625" style="16" customWidth="1"/>
    <col min="15" max="15" width="12.54296875" hidden="1" customWidth="1"/>
    <col min="16" max="16" width="13.26953125" hidden="1" customWidth="1"/>
    <col min="17" max="17" width="0" hidden="1" customWidth="1"/>
  </cols>
  <sheetData>
    <row r="1" spans="1:15" ht="21.5" thickBot="1" x14ac:dyDescent="0.55000000000000004">
      <c r="A1" s="1" t="s">
        <v>0</v>
      </c>
      <c r="B1" s="2"/>
      <c r="C1" s="103" t="s">
        <v>1</v>
      </c>
      <c r="D1" s="142"/>
      <c r="E1" s="168" t="s">
        <v>2</v>
      </c>
      <c r="F1" s="2"/>
      <c r="G1" s="3" t="s">
        <v>3</v>
      </c>
      <c r="H1" s="142"/>
      <c r="I1" s="3" t="s">
        <v>326</v>
      </c>
      <c r="J1" s="142"/>
      <c r="K1" s="103" t="s">
        <v>4</v>
      </c>
      <c r="L1" s="231"/>
      <c r="M1" s="237" t="s">
        <v>5</v>
      </c>
      <c r="N1" s="283"/>
    </row>
    <row r="2" spans="1:15" ht="15" thickBot="1" x14ac:dyDescent="0.4">
      <c r="A2" s="4"/>
      <c r="B2" s="5"/>
      <c r="C2" s="135" t="s">
        <v>355</v>
      </c>
      <c r="D2" s="143"/>
      <c r="E2" s="171" t="s">
        <v>355</v>
      </c>
      <c r="F2" s="5"/>
      <c r="G2" s="119" t="s">
        <v>355</v>
      </c>
      <c r="H2" s="143"/>
      <c r="I2" s="119" t="s">
        <v>355</v>
      </c>
      <c r="J2" s="361"/>
      <c r="K2" s="104" t="s">
        <v>355</v>
      </c>
      <c r="L2" s="232"/>
      <c r="M2" s="238" t="s">
        <v>355</v>
      </c>
      <c r="N2" s="284"/>
    </row>
    <row r="3" spans="1:15" x14ac:dyDescent="0.35">
      <c r="A3" s="6" t="s">
        <v>6</v>
      </c>
      <c r="B3" s="7"/>
      <c r="C3" s="136"/>
      <c r="D3" s="144"/>
      <c r="E3" s="172">
        <v>0.92</v>
      </c>
      <c r="F3" s="7"/>
      <c r="G3" s="120">
        <v>0.92</v>
      </c>
      <c r="H3" s="144"/>
      <c r="I3" s="120">
        <v>0.92</v>
      </c>
      <c r="J3" s="353"/>
      <c r="K3" s="105">
        <v>0.94</v>
      </c>
      <c r="L3" s="232"/>
      <c r="M3" s="239">
        <v>0.92</v>
      </c>
      <c r="N3" s="285"/>
    </row>
    <row r="4" spans="1:15" x14ac:dyDescent="0.35">
      <c r="A4" s="8" t="s">
        <v>7</v>
      </c>
      <c r="B4" s="9"/>
      <c r="C4" s="106"/>
      <c r="D4" s="145"/>
      <c r="E4" s="173">
        <v>485</v>
      </c>
      <c r="F4" s="9"/>
      <c r="G4" s="121">
        <v>645</v>
      </c>
      <c r="H4" s="145"/>
      <c r="I4" s="121">
        <v>500</v>
      </c>
      <c r="J4" s="145"/>
      <c r="K4" s="106">
        <v>500</v>
      </c>
      <c r="L4" s="232"/>
      <c r="M4" s="240">
        <v>250</v>
      </c>
      <c r="N4" s="145"/>
    </row>
    <row r="5" spans="1:15" x14ac:dyDescent="0.35">
      <c r="A5" s="8" t="s">
        <v>8</v>
      </c>
      <c r="B5" s="9"/>
      <c r="C5" s="106"/>
      <c r="D5" s="145"/>
      <c r="E5" s="173">
        <f>E3*E4</f>
        <v>446.20000000000005</v>
      </c>
      <c r="F5" s="9"/>
      <c r="G5" s="121">
        <f>G3*G4</f>
        <v>593.4</v>
      </c>
      <c r="H5" s="145"/>
      <c r="I5" s="121">
        <f>I3*I4</f>
        <v>460</v>
      </c>
      <c r="J5" s="145"/>
      <c r="K5" s="106">
        <v>500</v>
      </c>
      <c r="L5" s="233"/>
      <c r="M5" s="241">
        <f>M3*M4</f>
        <v>230</v>
      </c>
      <c r="N5" s="286"/>
    </row>
    <row r="6" spans="1:15" x14ac:dyDescent="0.35">
      <c r="A6" s="8" t="s">
        <v>9</v>
      </c>
      <c r="B6" s="9"/>
      <c r="C6" s="116"/>
      <c r="D6" s="146"/>
      <c r="E6" s="174">
        <v>9840</v>
      </c>
      <c r="F6" s="9"/>
      <c r="G6" s="122">
        <v>10397</v>
      </c>
      <c r="H6" s="146"/>
      <c r="I6" s="122">
        <v>10397</v>
      </c>
      <c r="J6" s="146"/>
      <c r="K6" s="116">
        <v>12000</v>
      </c>
      <c r="L6" s="233"/>
      <c r="M6" s="242">
        <f>9880+(9880*0.04)</f>
        <v>10275.200000000001</v>
      </c>
      <c r="N6" s="146"/>
    </row>
    <row r="7" spans="1:15" x14ac:dyDescent="0.35">
      <c r="A7" s="8" t="s">
        <v>10</v>
      </c>
      <c r="B7" s="9"/>
      <c r="C7" s="116"/>
      <c r="D7" s="146"/>
      <c r="E7" s="174">
        <v>1375</v>
      </c>
      <c r="F7" s="9"/>
      <c r="G7" s="122">
        <v>1476</v>
      </c>
      <c r="H7" s="146"/>
      <c r="I7" s="122">
        <v>1476</v>
      </c>
      <c r="J7" s="146"/>
      <c r="K7" s="116"/>
      <c r="L7" s="233"/>
      <c r="M7" s="242">
        <v>1023</v>
      </c>
      <c r="N7" s="146"/>
    </row>
    <row r="8" spans="1:15" ht="15" thickBot="1" x14ac:dyDescent="0.4">
      <c r="A8" s="10" t="s">
        <v>9</v>
      </c>
      <c r="B8" s="11"/>
      <c r="C8" s="116"/>
      <c r="D8" s="146"/>
      <c r="E8" s="175">
        <f>SUM(E6:E7)</f>
        <v>11215</v>
      </c>
      <c r="F8" s="11"/>
      <c r="G8" s="123">
        <f>SUM(G6:G7)</f>
        <v>11873</v>
      </c>
      <c r="H8" s="146"/>
      <c r="I8" s="123">
        <f>SUM(I6:I7)</f>
        <v>11873</v>
      </c>
      <c r="J8" s="146"/>
      <c r="K8" s="116"/>
      <c r="L8" s="233"/>
      <c r="M8" s="243">
        <f t="shared" ref="M8" si="0">SUM(M6:M7)</f>
        <v>11298.2</v>
      </c>
      <c r="N8" s="287"/>
    </row>
    <row r="9" spans="1:15" ht="15" thickBot="1" x14ac:dyDescent="0.4">
      <c r="A9" s="12" t="s">
        <v>11</v>
      </c>
      <c r="B9" s="13"/>
      <c r="C9" s="137" t="s">
        <v>12</v>
      </c>
      <c r="D9" s="147"/>
      <c r="E9" s="176" t="s">
        <v>12</v>
      </c>
      <c r="F9" s="13"/>
      <c r="G9" s="124" t="s">
        <v>12</v>
      </c>
      <c r="H9" s="147"/>
      <c r="I9" s="124" t="s">
        <v>12</v>
      </c>
      <c r="J9" s="354"/>
      <c r="K9" s="117" t="s">
        <v>12</v>
      </c>
      <c r="L9" s="234"/>
      <c r="M9" s="117" t="s">
        <v>12</v>
      </c>
      <c r="N9" s="288"/>
    </row>
    <row r="10" spans="1:15" ht="21.5" thickBot="1" x14ac:dyDescent="0.55000000000000004">
      <c r="A10" s="14" t="s">
        <v>13</v>
      </c>
      <c r="B10" s="15"/>
      <c r="C10" s="138"/>
      <c r="D10" s="148"/>
      <c r="E10" s="15"/>
      <c r="F10" s="15"/>
      <c r="G10" s="15"/>
      <c r="H10" s="148"/>
      <c r="I10" s="15"/>
      <c r="J10" s="148"/>
      <c r="K10" s="138"/>
      <c r="L10" s="235"/>
      <c r="M10" s="15"/>
      <c r="N10" s="289"/>
    </row>
    <row r="11" spans="1:15" ht="15" thickBot="1" x14ac:dyDescent="0.4">
      <c r="A11" s="17" t="s">
        <v>14</v>
      </c>
      <c r="B11" s="18"/>
      <c r="C11" s="109"/>
      <c r="D11" s="149"/>
      <c r="E11" s="177"/>
      <c r="F11" s="18"/>
      <c r="G11" s="125"/>
      <c r="H11" s="149"/>
      <c r="I11" s="125"/>
      <c r="J11" s="149"/>
      <c r="K11" s="109"/>
      <c r="L11" s="235" t="s">
        <v>321</v>
      </c>
      <c r="M11" s="244">
        <v>0</v>
      </c>
      <c r="N11" s="290"/>
      <c r="O11" s="362">
        <f>+C11+E11+G11+I11+K11+M11</f>
        <v>0</v>
      </c>
    </row>
    <row r="12" spans="1:15" x14ac:dyDescent="0.35">
      <c r="A12" s="19" t="s">
        <v>349</v>
      </c>
      <c r="B12" s="20"/>
      <c r="C12" s="115"/>
      <c r="D12" s="150"/>
      <c r="E12" s="178">
        <f>E5*E6</f>
        <v>4390608</v>
      </c>
      <c r="F12" s="20"/>
      <c r="G12" s="126">
        <f>G5*G6</f>
        <v>6169579.7999999998</v>
      </c>
      <c r="H12" s="150"/>
      <c r="I12" s="126">
        <f>I5*I6</f>
        <v>4782620</v>
      </c>
      <c r="J12" s="355"/>
      <c r="K12" s="118">
        <f>K5*K6</f>
        <v>6000000</v>
      </c>
      <c r="L12" s="235"/>
      <c r="M12" s="245">
        <f>M6*M5</f>
        <v>2363296</v>
      </c>
      <c r="N12" s="291"/>
      <c r="O12" s="362">
        <f t="shared" ref="O12:O76" si="1">+C12+E12+G12+I12+K12+M12</f>
        <v>23706103.800000001</v>
      </c>
    </row>
    <row r="13" spans="1:15" ht="15" thickBot="1" x14ac:dyDescent="0.4">
      <c r="A13" s="21" t="s">
        <v>15</v>
      </c>
      <c r="B13" s="22"/>
      <c r="C13" s="115"/>
      <c r="D13" s="150"/>
      <c r="E13" s="179">
        <v>779000</v>
      </c>
      <c r="F13" s="22"/>
      <c r="G13" s="127">
        <v>764000</v>
      </c>
      <c r="H13" s="150"/>
      <c r="I13" s="385">
        <v>764000</v>
      </c>
      <c r="J13" s="356"/>
      <c r="K13" s="107">
        <v>30000</v>
      </c>
      <c r="L13" s="235"/>
      <c r="M13" s="246">
        <f>M5*M7</f>
        <v>235290</v>
      </c>
      <c r="N13" s="292"/>
      <c r="O13" s="362">
        <f t="shared" si="1"/>
        <v>2572290</v>
      </c>
    </row>
    <row r="14" spans="1:15" ht="15" thickBot="1" x14ac:dyDescent="0.4">
      <c r="A14" s="23" t="s">
        <v>16</v>
      </c>
      <c r="B14" s="24"/>
      <c r="C14" s="139"/>
      <c r="D14" s="150"/>
      <c r="E14" s="108">
        <f t="shared" ref="E14" si="2">SUM(E11:E13)</f>
        <v>5169608</v>
      </c>
      <c r="F14" s="24"/>
      <c r="G14" s="25">
        <f t="shared" ref="G14:I14" si="3">SUM(G11:G13)</f>
        <v>6933579.7999999998</v>
      </c>
      <c r="H14" s="150"/>
      <c r="I14" s="25">
        <f t="shared" si="3"/>
        <v>5546620</v>
      </c>
      <c r="J14" s="231"/>
      <c r="K14" s="108">
        <f>SUM(K12:K13)</f>
        <v>6030000</v>
      </c>
      <c r="L14" s="231"/>
      <c r="M14" s="108">
        <f t="shared" ref="M14" si="4">SUM(M11:M13)</f>
        <v>2598586</v>
      </c>
      <c r="N14" s="293"/>
      <c r="O14" s="362">
        <f t="shared" si="1"/>
        <v>26278393.800000001</v>
      </c>
    </row>
    <row r="15" spans="1:15" x14ac:dyDescent="0.35">
      <c r="A15" s="26" t="s">
        <v>17</v>
      </c>
      <c r="B15" s="27"/>
      <c r="C15" s="109">
        <v>800000</v>
      </c>
      <c r="D15" s="149"/>
      <c r="E15" s="180">
        <f>200000+75000</f>
        <v>275000</v>
      </c>
      <c r="F15" s="27"/>
      <c r="G15" s="384">
        <f>50000+300000</f>
        <v>350000</v>
      </c>
      <c r="H15" s="149"/>
      <c r="I15" s="128">
        <v>200000</v>
      </c>
      <c r="J15" s="149"/>
      <c r="K15" s="109">
        <v>75000</v>
      </c>
      <c r="L15" s="235"/>
      <c r="M15" s="247">
        <v>300000</v>
      </c>
      <c r="N15" s="294"/>
      <c r="O15" s="362">
        <f t="shared" si="1"/>
        <v>2000000</v>
      </c>
    </row>
    <row r="16" spans="1:15" x14ac:dyDescent="0.35">
      <c r="A16" s="26" t="s">
        <v>322</v>
      </c>
      <c r="B16" s="27"/>
      <c r="C16" s="351"/>
      <c r="D16" s="149"/>
      <c r="E16" s="352"/>
      <c r="F16" s="27"/>
      <c r="G16" s="128"/>
      <c r="H16" s="149"/>
      <c r="I16" s="128"/>
      <c r="J16" s="149"/>
      <c r="K16" s="351"/>
      <c r="L16" s="235"/>
      <c r="M16" s="247"/>
      <c r="N16" s="294"/>
      <c r="O16" s="362">
        <f t="shared" si="1"/>
        <v>0</v>
      </c>
    </row>
    <row r="17" spans="1:15" x14ac:dyDescent="0.35">
      <c r="A17" s="26" t="s">
        <v>323</v>
      </c>
      <c r="B17" s="27"/>
      <c r="C17" s="351">
        <v>110000</v>
      </c>
      <c r="D17" s="149"/>
      <c r="E17" s="352"/>
      <c r="F17" s="27"/>
      <c r="G17" s="384"/>
      <c r="H17" s="149"/>
      <c r="I17" s="128"/>
      <c r="J17" s="149"/>
      <c r="K17" s="109">
        <v>360000</v>
      </c>
      <c r="L17" s="235"/>
      <c r="M17" s="247"/>
      <c r="N17" s="294"/>
      <c r="O17" s="362">
        <f t="shared" si="1"/>
        <v>470000</v>
      </c>
    </row>
    <row r="18" spans="1:15" x14ac:dyDescent="0.35">
      <c r="A18" s="29" t="s">
        <v>18</v>
      </c>
      <c r="B18" s="30"/>
      <c r="C18" s="351"/>
      <c r="D18" s="149"/>
      <c r="E18" s="181"/>
      <c r="F18" s="30"/>
      <c r="G18" s="129"/>
      <c r="H18" s="149"/>
      <c r="I18" s="129"/>
      <c r="J18" s="149"/>
      <c r="K18" s="109"/>
      <c r="L18" s="235"/>
      <c r="M18" s="248">
        <v>0</v>
      </c>
      <c r="N18" s="149"/>
      <c r="O18" s="362">
        <f t="shared" si="1"/>
        <v>0</v>
      </c>
    </row>
    <row r="19" spans="1:15" x14ac:dyDescent="0.35">
      <c r="A19" s="32" t="s">
        <v>19</v>
      </c>
      <c r="B19" s="30"/>
      <c r="C19" s="351"/>
      <c r="D19" s="149"/>
      <c r="E19" s="181"/>
      <c r="F19" s="30"/>
      <c r="G19" s="129"/>
      <c r="H19" s="149"/>
      <c r="I19" s="129"/>
      <c r="J19" s="149"/>
      <c r="K19" s="109">
        <v>165000</v>
      </c>
      <c r="L19" s="235"/>
      <c r="M19" s="248">
        <v>0</v>
      </c>
      <c r="N19" s="149"/>
      <c r="O19" s="362">
        <f t="shared" si="1"/>
        <v>165000</v>
      </c>
    </row>
    <row r="20" spans="1:15" x14ac:dyDescent="0.35">
      <c r="A20" s="32" t="s">
        <v>20</v>
      </c>
      <c r="B20" s="30"/>
      <c r="C20" s="109"/>
      <c r="D20" s="149"/>
      <c r="E20" s="181">
        <v>100000</v>
      </c>
      <c r="F20" s="30"/>
      <c r="G20" s="129"/>
      <c r="H20" s="149"/>
      <c r="I20" s="129"/>
      <c r="J20" s="149"/>
      <c r="K20" s="109"/>
      <c r="L20" s="235"/>
      <c r="M20" s="256">
        <v>445000</v>
      </c>
      <c r="N20" s="295"/>
      <c r="O20" s="362">
        <f t="shared" si="1"/>
        <v>545000</v>
      </c>
    </row>
    <row r="21" spans="1:15" x14ac:dyDescent="0.35">
      <c r="A21" s="32" t="s">
        <v>21</v>
      </c>
      <c r="B21" s="30"/>
      <c r="C21" s="109"/>
      <c r="D21" s="149"/>
      <c r="E21" s="181"/>
      <c r="F21" s="30"/>
      <c r="G21" s="129"/>
      <c r="H21" s="149"/>
      <c r="I21" s="129"/>
      <c r="J21" s="149"/>
      <c r="K21" s="109"/>
      <c r="L21" s="235"/>
      <c r="M21" s="248">
        <v>0</v>
      </c>
      <c r="N21" s="149"/>
      <c r="O21" s="362">
        <f t="shared" si="1"/>
        <v>0</v>
      </c>
    </row>
    <row r="22" spans="1:15" x14ac:dyDescent="0.35">
      <c r="A22" s="29" t="s">
        <v>22</v>
      </c>
      <c r="B22" s="30"/>
      <c r="C22" s="109"/>
      <c r="D22" s="149"/>
      <c r="E22" s="181">
        <v>200000</v>
      </c>
      <c r="F22" s="30"/>
      <c r="G22" s="129">
        <v>250000</v>
      </c>
      <c r="H22" s="149"/>
      <c r="I22" s="129">
        <v>250000</v>
      </c>
      <c r="J22" s="149"/>
      <c r="K22" s="109">
        <v>460000</v>
      </c>
      <c r="L22" s="235"/>
      <c r="M22" s="248">
        <v>300000</v>
      </c>
      <c r="N22" s="149"/>
      <c r="O22" s="362">
        <f t="shared" si="1"/>
        <v>1460000</v>
      </c>
    </row>
    <row r="23" spans="1:15" x14ac:dyDescent="0.35">
      <c r="A23" s="29" t="s">
        <v>23</v>
      </c>
      <c r="B23" s="30"/>
      <c r="C23" s="109"/>
      <c r="D23" s="149"/>
      <c r="E23" s="181"/>
      <c r="F23" s="30"/>
      <c r="G23" s="129"/>
      <c r="H23" s="149"/>
      <c r="I23" s="129"/>
      <c r="J23" s="149"/>
      <c r="K23" s="109"/>
      <c r="L23" s="235"/>
      <c r="M23" s="248">
        <v>0</v>
      </c>
      <c r="N23" s="149"/>
      <c r="O23" s="362">
        <f t="shared" si="1"/>
        <v>0</v>
      </c>
    </row>
    <row r="24" spans="1:15" x14ac:dyDescent="0.35">
      <c r="A24" s="29" t="s">
        <v>24</v>
      </c>
      <c r="B24" s="30"/>
      <c r="C24" s="109"/>
      <c r="D24" s="149"/>
      <c r="E24" s="181"/>
      <c r="F24" s="30"/>
      <c r="G24" s="129"/>
      <c r="H24" s="149"/>
      <c r="I24" s="129"/>
      <c r="J24" s="149"/>
      <c r="K24" s="109"/>
      <c r="L24" s="235"/>
      <c r="M24" s="248">
        <v>39000</v>
      </c>
      <c r="N24" s="149"/>
      <c r="O24" s="362">
        <f t="shared" si="1"/>
        <v>39000</v>
      </c>
    </row>
    <row r="25" spans="1:15" x14ac:dyDescent="0.35">
      <c r="A25" s="29" t="s">
        <v>25</v>
      </c>
      <c r="B25" s="30"/>
      <c r="C25" s="109"/>
      <c r="D25" s="149"/>
      <c r="E25" s="181"/>
      <c r="F25" s="30"/>
      <c r="G25" s="129"/>
      <c r="H25" s="149"/>
      <c r="I25" s="129"/>
      <c r="J25" s="149"/>
      <c r="K25" s="109"/>
      <c r="L25" s="235"/>
      <c r="M25" s="248">
        <v>0</v>
      </c>
      <c r="N25" s="149"/>
      <c r="O25" s="362">
        <f t="shared" si="1"/>
        <v>0</v>
      </c>
    </row>
    <row r="26" spans="1:15" x14ac:dyDescent="0.35">
      <c r="A26" s="29" t="s">
        <v>26</v>
      </c>
      <c r="B26" s="30"/>
      <c r="C26" s="109"/>
      <c r="D26" s="149"/>
      <c r="E26" s="181"/>
      <c r="F26" s="30"/>
      <c r="G26" s="129"/>
      <c r="H26" s="149"/>
      <c r="I26" s="129"/>
      <c r="J26" s="149"/>
      <c r="K26" s="109"/>
      <c r="L26" s="235"/>
      <c r="M26" s="248">
        <v>0</v>
      </c>
      <c r="N26" s="149"/>
      <c r="O26" s="362">
        <f t="shared" si="1"/>
        <v>0</v>
      </c>
    </row>
    <row r="27" spans="1:15" x14ac:dyDescent="0.35">
      <c r="A27" s="29" t="s">
        <v>27</v>
      </c>
      <c r="B27" s="30"/>
      <c r="C27" s="109"/>
      <c r="D27" s="149"/>
      <c r="E27" s="181"/>
      <c r="F27" s="30"/>
      <c r="G27" s="129"/>
      <c r="H27" s="149"/>
      <c r="I27" s="129"/>
      <c r="J27" s="149"/>
      <c r="K27" s="109"/>
      <c r="L27" s="235"/>
      <c r="M27" s="248">
        <v>0</v>
      </c>
      <c r="N27" s="149"/>
      <c r="O27" s="362">
        <f t="shared" si="1"/>
        <v>0</v>
      </c>
    </row>
    <row r="28" spans="1:15" x14ac:dyDescent="0.35">
      <c r="A28" s="29" t="s">
        <v>28</v>
      </c>
      <c r="B28" s="30"/>
      <c r="C28" s="109"/>
      <c r="D28" s="149"/>
      <c r="E28" s="181">
        <v>50000</v>
      </c>
      <c r="F28" s="30"/>
      <c r="G28" s="129">
        <v>58000</v>
      </c>
      <c r="H28" s="149"/>
      <c r="I28" s="129">
        <v>58000</v>
      </c>
      <c r="J28" s="149"/>
      <c r="K28" s="109">
        <v>115000</v>
      </c>
      <c r="L28" s="235"/>
      <c r="M28" s="248">
        <v>37625</v>
      </c>
      <c r="N28" s="149"/>
      <c r="O28" s="362">
        <f t="shared" si="1"/>
        <v>318625</v>
      </c>
    </row>
    <row r="29" spans="1:15" x14ac:dyDescent="0.35">
      <c r="A29" s="29" t="s">
        <v>29</v>
      </c>
      <c r="B29" s="30"/>
      <c r="C29" s="109"/>
      <c r="D29" s="149"/>
      <c r="E29" s="181"/>
      <c r="F29" s="30"/>
      <c r="G29" s="129"/>
      <c r="H29" s="149"/>
      <c r="I29" s="129"/>
      <c r="J29" s="149"/>
      <c r="K29" s="109"/>
      <c r="L29" s="235"/>
      <c r="M29" s="248">
        <v>0</v>
      </c>
      <c r="N29" s="149"/>
      <c r="O29" s="362">
        <f t="shared" si="1"/>
        <v>0</v>
      </c>
    </row>
    <row r="30" spans="1:15" x14ac:dyDescent="0.35">
      <c r="A30" s="29" t="s">
        <v>30</v>
      </c>
      <c r="B30" s="30"/>
      <c r="C30" s="109"/>
      <c r="D30" s="149"/>
      <c r="E30" s="181"/>
      <c r="F30" s="30"/>
      <c r="G30" s="129"/>
      <c r="H30" s="149"/>
      <c r="I30" s="129"/>
      <c r="J30" s="149"/>
      <c r="K30" s="109"/>
      <c r="L30" s="235"/>
      <c r="M30" s="248">
        <v>0</v>
      </c>
      <c r="N30" s="149"/>
      <c r="O30" s="362">
        <f t="shared" si="1"/>
        <v>0</v>
      </c>
    </row>
    <row r="31" spans="1:15" x14ac:dyDescent="0.35">
      <c r="A31" s="74" t="s">
        <v>31</v>
      </c>
      <c r="B31" s="30"/>
      <c r="C31" s="109">
        <v>319500</v>
      </c>
      <c r="D31" s="149"/>
      <c r="E31" s="181">
        <v>88900</v>
      </c>
      <c r="F31" s="30"/>
      <c r="G31" s="129">
        <v>62251</v>
      </c>
      <c r="H31" s="149"/>
      <c r="I31" s="129">
        <v>62251</v>
      </c>
      <c r="J31" s="149"/>
      <c r="K31" s="109"/>
      <c r="L31" s="235"/>
      <c r="M31" s="256">
        <v>310000</v>
      </c>
      <c r="N31" s="295"/>
      <c r="O31" s="362">
        <f t="shared" si="1"/>
        <v>842902</v>
      </c>
    </row>
    <row r="32" spans="1:15" x14ac:dyDescent="0.35">
      <c r="A32" s="29" t="s">
        <v>32</v>
      </c>
      <c r="B32" s="30"/>
      <c r="C32" s="109"/>
      <c r="D32" s="149"/>
      <c r="E32" s="181"/>
      <c r="F32" s="30"/>
      <c r="G32" s="129"/>
      <c r="H32" s="149"/>
      <c r="I32" s="129"/>
      <c r="J32" s="149"/>
      <c r="K32" s="109"/>
      <c r="L32" s="235"/>
      <c r="M32" s="248">
        <v>0</v>
      </c>
      <c r="N32" s="149"/>
      <c r="O32" s="362">
        <f t="shared" si="1"/>
        <v>0</v>
      </c>
    </row>
    <row r="33" spans="1:15" x14ac:dyDescent="0.35">
      <c r="A33" s="29" t="s">
        <v>33</v>
      </c>
      <c r="B33" s="30"/>
      <c r="C33" s="109"/>
      <c r="D33" s="149"/>
      <c r="E33" s="181"/>
      <c r="F33" s="30"/>
      <c r="G33" s="129"/>
      <c r="H33" s="149"/>
      <c r="I33" s="129"/>
      <c r="J33" s="149"/>
      <c r="K33" s="109"/>
      <c r="L33" s="235"/>
      <c r="M33" s="248">
        <v>0</v>
      </c>
      <c r="N33" s="149"/>
      <c r="O33" s="362">
        <f t="shared" si="1"/>
        <v>0</v>
      </c>
    </row>
    <row r="34" spans="1:15" x14ac:dyDescent="0.35">
      <c r="A34" s="32" t="s">
        <v>34</v>
      </c>
      <c r="B34" s="30"/>
      <c r="C34" s="109"/>
      <c r="D34" s="149"/>
      <c r="E34" s="181"/>
      <c r="F34" s="30"/>
      <c r="G34" s="129"/>
      <c r="H34" s="149"/>
      <c r="I34" s="129"/>
      <c r="J34" s="149"/>
      <c r="K34" s="109"/>
      <c r="L34" s="235"/>
      <c r="M34" s="248">
        <v>50000</v>
      </c>
      <c r="N34" s="149"/>
      <c r="O34" s="362">
        <f t="shared" si="1"/>
        <v>50000</v>
      </c>
    </row>
    <row r="35" spans="1:15" x14ac:dyDescent="0.35">
      <c r="A35" s="32" t="s">
        <v>35</v>
      </c>
      <c r="B35" s="30"/>
      <c r="C35" s="109"/>
      <c r="D35" s="149"/>
      <c r="E35" s="181"/>
      <c r="F35" s="30"/>
      <c r="G35" s="129"/>
      <c r="H35" s="149"/>
      <c r="I35" s="129"/>
      <c r="J35" s="149"/>
      <c r="K35" s="109">
        <v>40000</v>
      </c>
      <c r="L35" s="235"/>
      <c r="M35" s="248">
        <v>0</v>
      </c>
      <c r="N35" s="149"/>
      <c r="O35" s="362">
        <f t="shared" si="1"/>
        <v>40000</v>
      </c>
    </row>
    <row r="36" spans="1:15" x14ac:dyDescent="0.35">
      <c r="A36" s="29" t="s">
        <v>36</v>
      </c>
      <c r="B36" s="30"/>
      <c r="C36" s="109"/>
      <c r="D36" s="149"/>
      <c r="E36" s="181"/>
      <c r="F36" s="30"/>
      <c r="G36" s="129"/>
      <c r="H36" s="149"/>
      <c r="I36" s="129"/>
      <c r="J36" s="149"/>
      <c r="K36" s="109"/>
      <c r="L36" s="235"/>
      <c r="M36" s="248">
        <v>0</v>
      </c>
      <c r="N36" s="149"/>
      <c r="O36" s="362">
        <f t="shared" si="1"/>
        <v>0</v>
      </c>
    </row>
    <row r="37" spans="1:15" x14ac:dyDescent="0.35">
      <c r="A37" s="29" t="s">
        <v>37</v>
      </c>
      <c r="B37" s="30"/>
      <c r="C37" s="109"/>
      <c r="D37" s="149"/>
      <c r="E37" s="181"/>
      <c r="F37" s="30"/>
      <c r="G37" s="129"/>
      <c r="H37" s="149"/>
      <c r="I37" s="129"/>
      <c r="J37" s="149"/>
      <c r="K37" s="109"/>
      <c r="L37" s="235"/>
      <c r="M37" s="248">
        <v>0</v>
      </c>
      <c r="N37" s="149"/>
      <c r="O37" s="362">
        <f t="shared" si="1"/>
        <v>0</v>
      </c>
    </row>
    <row r="38" spans="1:15" x14ac:dyDescent="0.35">
      <c r="A38" s="29" t="s">
        <v>38</v>
      </c>
      <c r="B38" s="30"/>
      <c r="C38" s="109"/>
      <c r="D38" s="149"/>
      <c r="E38" s="181"/>
      <c r="F38" s="30"/>
      <c r="G38" s="129"/>
      <c r="H38" s="149"/>
      <c r="I38" s="129"/>
      <c r="J38" s="149"/>
      <c r="K38" s="109"/>
      <c r="L38" s="235"/>
      <c r="M38" s="248">
        <v>0</v>
      </c>
      <c r="N38" s="149"/>
      <c r="O38" s="362">
        <f t="shared" si="1"/>
        <v>0</v>
      </c>
    </row>
    <row r="39" spans="1:15" x14ac:dyDescent="0.35">
      <c r="A39" s="29" t="s">
        <v>39</v>
      </c>
      <c r="B39" s="30"/>
      <c r="C39" s="109"/>
      <c r="D39" s="149"/>
      <c r="E39" s="181"/>
      <c r="F39" s="30"/>
      <c r="G39" s="129"/>
      <c r="H39" s="149"/>
      <c r="I39" s="129"/>
      <c r="J39" s="149"/>
      <c r="K39" s="109"/>
      <c r="L39" s="235"/>
      <c r="M39" s="248">
        <v>0</v>
      </c>
      <c r="N39" s="149"/>
      <c r="O39" s="362">
        <f t="shared" si="1"/>
        <v>0</v>
      </c>
    </row>
    <row r="40" spans="1:15" x14ac:dyDescent="0.35">
      <c r="A40" s="29" t="s">
        <v>40</v>
      </c>
      <c r="B40" s="30"/>
      <c r="C40" s="109"/>
      <c r="D40" s="149"/>
      <c r="E40" s="181"/>
      <c r="F40" s="30"/>
      <c r="G40" s="129"/>
      <c r="H40" s="149"/>
      <c r="I40" s="129"/>
      <c r="J40" s="149"/>
      <c r="K40" s="109"/>
      <c r="L40" s="235"/>
      <c r="M40" s="248">
        <v>0</v>
      </c>
      <c r="N40" s="149"/>
      <c r="O40" s="362">
        <f t="shared" si="1"/>
        <v>0</v>
      </c>
    </row>
    <row r="41" spans="1:15" x14ac:dyDescent="0.35">
      <c r="A41" s="29" t="s">
        <v>41</v>
      </c>
      <c r="B41" s="30"/>
      <c r="C41" s="109"/>
      <c r="D41" s="149"/>
      <c r="E41" s="181"/>
      <c r="F41" s="30"/>
      <c r="G41" s="129"/>
      <c r="H41" s="149"/>
      <c r="I41" s="129"/>
      <c r="J41" s="149"/>
      <c r="K41" s="109">
        <v>164000</v>
      </c>
      <c r="L41" s="235"/>
      <c r="M41" s="248">
        <v>0</v>
      </c>
      <c r="N41" s="149"/>
      <c r="O41" s="362">
        <f t="shared" si="1"/>
        <v>164000</v>
      </c>
    </row>
    <row r="42" spans="1:15" x14ac:dyDescent="0.35">
      <c r="A42" s="29" t="s">
        <v>42</v>
      </c>
      <c r="B42" s="30"/>
      <c r="C42" s="109"/>
      <c r="D42" s="149"/>
      <c r="E42" s="181"/>
      <c r="F42" s="30"/>
      <c r="G42" s="129"/>
      <c r="H42" s="149"/>
      <c r="I42" s="129"/>
      <c r="J42" s="149"/>
      <c r="K42" s="109"/>
      <c r="L42" s="235"/>
      <c r="M42" s="248">
        <v>0</v>
      </c>
      <c r="N42" s="149"/>
      <c r="O42" s="362">
        <f t="shared" si="1"/>
        <v>0</v>
      </c>
    </row>
    <row r="43" spans="1:15" x14ac:dyDescent="0.35">
      <c r="A43" s="29" t="s">
        <v>43</v>
      </c>
      <c r="B43" s="30"/>
      <c r="C43" s="109"/>
      <c r="D43" s="149"/>
      <c r="E43" s="181"/>
      <c r="F43" s="30"/>
      <c r="G43" s="129"/>
      <c r="H43" s="149"/>
      <c r="I43" s="129"/>
      <c r="J43" s="149"/>
      <c r="K43" s="109"/>
      <c r="L43" s="235"/>
      <c r="M43" s="248">
        <v>0</v>
      </c>
      <c r="N43" s="149"/>
      <c r="O43" s="362">
        <f t="shared" si="1"/>
        <v>0</v>
      </c>
    </row>
    <row r="44" spans="1:15" x14ac:dyDescent="0.35">
      <c r="A44" s="52" t="s">
        <v>350</v>
      </c>
      <c r="B44" s="35"/>
      <c r="C44" s="109"/>
      <c r="D44" s="149"/>
      <c r="E44" s="182"/>
      <c r="F44" s="35"/>
      <c r="G44" s="130"/>
      <c r="H44" s="149"/>
      <c r="I44" s="130"/>
      <c r="J44" s="149"/>
      <c r="K44" s="109"/>
      <c r="L44" s="235"/>
      <c r="M44" s="249"/>
      <c r="N44" s="296"/>
      <c r="O44" s="362"/>
    </row>
    <row r="45" spans="1:15" ht="15" thickBot="1" x14ac:dyDescent="0.4">
      <c r="A45" s="34" t="s">
        <v>351</v>
      </c>
      <c r="B45" s="35"/>
      <c r="C45" s="109"/>
      <c r="D45" s="149"/>
      <c r="E45" s="182"/>
      <c r="F45" s="35"/>
      <c r="G45" s="130"/>
      <c r="H45" s="149"/>
      <c r="I45" s="130"/>
      <c r="J45" s="149"/>
      <c r="K45" s="109">
        <v>315000</v>
      </c>
      <c r="L45" s="235"/>
      <c r="M45" s="249">
        <v>147123</v>
      </c>
      <c r="N45" s="296"/>
      <c r="O45" s="362">
        <f t="shared" si="1"/>
        <v>462123</v>
      </c>
    </row>
    <row r="46" spans="1:15" ht="15" thickBot="1" x14ac:dyDescent="0.4">
      <c r="A46" s="23" t="s">
        <v>44</v>
      </c>
      <c r="B46" s="37">
        <f>SUM(B15:B45)</f>
        <v>0</v>
      </c>
      <c r="C46" s="110">
        <f>SUM(C15:C45)</f>
        <v>1229500</v>
      </c>
      <c r="D46" s="151"/>
      <c r="E46" s="110">
        <f>SUM(E15:E45)</f>
        <v>713900</v>
      </c>
      <c r="F46" s="37">
        <f>SUM(F15:F45)</f>
        <v>0</v>
      </c>
      <c r="G46" s="38">
        <f>SUM(G15:G45)</f>
        <v>720251</v>
      </c>
      <c r="H46" s="151"/>
      <c r="I46" s="38">
        <f>SUM(I15:I45)</f>
        <v>570251</v>
      </c>
      <c r="J46" s="357"/>
      <c r="K46" s="110">
        <f>SUM(K15:K45)</f>
        <v>1694000</v>
      </c>
      <c r="L46" s="231"/>
      <c r="M46" s="110">
        <f>SUM(M15:M45)</f>
        <v>1628748</v>
      </c>
      <c r="N46" s="297"/>
      <c r="O46" s="362">
        <f t="shared" si="1"/>
        <v>6556650</v>
      </c>
    </row>
    <row r="47" spans="1:15" x14ac:dyDescent="0.35">
      <c r="A47" s="26" t="s">
        <v>45</v>
      </c>
      <c r="B47" s="27"/>
      <c r="C47" s="109"/>
      <c r="D47" s="149"/>
      <c r="E47" s="180"/>
      <c r="F47" s="27"/>
      <c r="G47" s="128"/>
      <c r="H47" s="149"/>
      <c r="I47" s="128"/>
      <c r="J47" s="149"/>
      <c r="K47" s="109"/>
      <c r="L47" s="235"/>
      <c r="M47" s="247">
        <v>0</v>
      </c>
      <c r="N47" s="294"/>
      <c r="O47" s="362">
        <f t="shared" si="1"/>
        <v>0</v>
      </c>
    </row>
    <row r="48" spans="1:15" x14ac:dyDescent="0.35">
      <c r="A48" s="29" t="s">
        <v>46</v>
      </c>
      <c r="B48" s="31"/>
      <c r="C48" s="109"/>
      <c r="D48" s="149"/>
      <c r="E48" s="181"/>
      <c r="F48" s="31"/>
      <c r="G48" s="129"/>
      <c r="H48" s="149"/>
      <c r="I48" s="129"/>
      <c r="J48" s="149"/>
      <c r="K48" s="109"/>
      <c r="L48" s="235"/>
      <c r="M48" s="248">
        <v>0</v>
      </c>
      <c r="N48" s="149"/>
      <c r="O48" s="362">
        <f t="shared" si="1"/>
        <v>0</v>
      </c>
    </row>
    <row r="49" spans="1:17" x14ac:dyDescent="0.35">
      <c r="A49" s="29" t="s">
        <v>47</v>
      </c>
      <c r="B49" s="30"/>
      <c r="C49" s="109"/>
      <c r="D49" s="149"/>
      <c r="E49" s="181"/>
      <c r="F49" s="30"/>
      <c r="G49" s="129"/>
      <c r="H49" s="149"/>
      <c r="I49" s="129"/>
      <c r="J49" s="149"/>
      <c r="K49" s="109"/>
      <c r="L49" s="235"/>
      <c r="M49" s="366">
        <v>0</v>
      </c>
      <c r="N49" s="149"/>
      <c r="O49" s="362">
        <f t="shared" si="1"/>
        <v>0</v>
      </c>
    </row>
    <row r="50" spans="1:17" x14ac:dyDescent="0.35">
      <c r="A50" s="29" t="s">
        <v>48</v>
      </c>
      <c r="B50" s="30"/>
      <c r="C50" s="109"/>
      <c r="D50" s="149"/>
      <c r="E50" s="181"/>
      <c r="F50" s="30"/>
      <c r="G50" s="129"/>
      <c r="H50" s="149"/>
      <c r="I50" s="129"/>
      <c r="J50" s="149"/>
      <c r="K50" s="109"/>
      <c r="L50" s="235"/>
      <c r="M50" s="248"/>
      <c r="N50" s="149"/>
      <c r="O50" s="362">
        <f t="shared" si="1"/>
        <v>0</v>
      </c>
    </row>
    <row r="51" spans="1:17" x14ac:dyDescent="0.35">
      <c r="A51" s="32" t="s">
        <v>352</v>
      </c>
      <c r="B51" s="30"/>
      <c r="C51" s="109"/>
      <c r="D51" s="149"/>
      <c r="E51" s="181"/>
      <c r="F51" s="30"/>
      <c r="G51" s="129"/>
      <c r="H51" s="149"/>
      <c r="I51" s="129"/>
      <c r="J51" s="149"/>
      <c r="K51" s="109"/>
      <c r="L51" s="235"/>
      <c r="M51" s="248">
        <v>0</v>
      </c>
      <c r="N51" s="149"/>
      <c r="O51" s="362">
        <f t="shared" si="1"/>
        <v>0</v>
      </c>
    </row>
    <row r="52" spans="1:17" x14ac:dyDescent="0.35">
      <c r="A52" s="32" t="s">
        <v>353</v>
      </c>
      <c r="B52" s="31"/>
      <c r="C52" s="109"/>
      <c r="D52" s="149"/>
      <c r="E52" s="181"/>
      <c r="F52" s="31"/>
      <c r="G52" s="129"/>
      <c r="H52" s="149"/>
      <c r="I52" s="129"/>
      <c r="J52" s="149"/>
      <c r="K52" s="109"/>
      <c r="L52" s="235"/>
      <c r="M52" s="366">
        <v>0</v>
      </c>
      <c r="N52" s="149"/>
      <c r="O52" s="362">
        <f t="shared" si="1"/>
        <v>0</v>
      </c>
    </row>
    <row r="53" spans="1:17" x14ac:dyDescent="0.35">
      <c r="A53" s="39" t="s">
        <v>49</v>
      </c>
      <c r="B53" s="36"/>
      <c r="C53" s="351">
        <f>E95+G95+I95+K95+M95</f>
        <v>2869279.58</v>
      </c>
      <c r="D53" s="149"/>
      <c r="E53" s="182"/>
      <c r="F53" s="36"/>
      <c r="G53" s="130"/>
      <c r="H53" s="149"/>
      <c r="I53" s="130"/>
      <c r="J53" s="149"/>
      <c r="K53" s="109"/>
      <c r="L53" s="235"/>
      <c r="M53" s="248">
        <v>0</v>
      </c>
      <c r="N53" s="149"/>
      <c r="O53" s="362">
        <f t="shared" si="1"/>
        <v>2869279.58</v>
      </c>
    </row>
    <row r="54" spans="1:17" ht="15" thickBot="1" x14ac:dyDescent="0.4">
      <c r="A54" s="383" t="s">
        <v>328</v>
      </c>
      <c r="B54" s="36"/>
      <c r="C54" s="372"/>
      <c r="D54" s="149"/>
      <c r="E54" s="379">
        <v>400000</v>
      </c>
      <c r="F54" s="369"/>
      <c r="G54" s="370"/>
      <c r="H54" s="371"/>
      <c r="I54" s="380">
        <v>10000</v>
      </c>
      <c r="J54" s="371"/>
      <c r="K54" s="372"/>
      <c r="L54" s="373"/>
      <c r="M54" s="381">
        <v>420000</v>
      </c>
      <c r="N54" s="296"/>
      <c r="O54" s="362">
        <f t="shared" si="1"/>
        <v>830000</v>
      </c>
      <c r="P54" s="362"/>
    </row>
    <row r="55" spans="1:17" ht="15" thickBot="1" x14ac:dyDescent="0.4">
      <c r="A55" s="383" t="s">
        <v>354</v>
      </c>
      <c r="B55" s="363"/>
      <c r="C55" s="374">
        <f>-E55-G55-I55-K55-M55</f>
        <v>259271.59599999999</v>
      </c>
      <c r="D55" s="149"/>
      <c r="E55" s="364"/>
      <c r="F55" s="363"/>
      <c r="G55" s="125">
        <f>-G14*0.02</f>
        <v>-138671.59599999999</v>
      </c>
      <c r="H55" s="294"/>
      <c r="I55" s="365"/>
      <c r="J55" s="294"/>
      <c r="K55" s="368">
        <f>-K14*0.02</f>
        <v>-120600</v>
      </c>
      <c r="L55" s="235"/>
      <c r="M55" s="367"/>
      <c r="N55" s="235"/>
      <c r="O55" s="362">
        <f t="shared" si="1"/>
        <v>0</v>
      </c>
      <c r="P55" s="362"/>
    </row>
    <row r="56" spans="1:17" ht="15" thickBot="1" x14ac:dyDescent="0.4">
      <c r="A56" s="382" t="s">
        <v>50</v>
      </c>
      <c r="B56" s="41">
        <f t="shared" ref="B56:G56" si="5">SUM(B47:B54)</f>
        <v>0</v>
      </c>
      <c r="C56" s="139">
        <f>SUM(C47:C54)</f>
        <v>2869279.58</v>
      </c>
      <c r="D56" s="150"/>
      <c r="E56" s="111">
        <f t="shared" si="5"/>
        <v>400000</v>
      </c>
      <c r="F56" s="41">
        <f t="shared" si="5"/>
        <v>0</v>
      </c>
      <c r="G56" s="42">
        <f t="shared" si="5"/>
        <v>0</v>
      </c>
      <c r="H56" s="150"/>
      <c r="I56" s="42">
        <f t="shared" ref="I56" si="6">SUM(I47:I54)</f>
        <v>10000</v>
      </c>
      <c r="J56" s="150"/>
      <c r="K56" s="139"/>
      <c r="L56" s="231"/>
      <c r="M56" s="111">
        <f t="shared" ref="M56" si="7">SUM(M47:M54)</f>
        <v>420000</v>
      </c>
      <c r="N56" s="231"/>
      <c r="O56" s="362">
        <f t="shared" si="1"/>
        <v>3699279.58</v>
      </c>
    </row>
    <row r="57" spans="1:17" ht="19" thickBot="1" x14ac:dyDescent="0.5">
      <c r="A57" s="43" t="s">
        <v>51</v>
      </c>
      <c r="B57" s="44">
        <f>B14+B46+B56</f>
        <v>0</v>
      </c>
      <c r="C57" s="112">
        <f>C14+C46+C56</f>
        <v>4098779.58</v>
      </c>
      <c r="D57" s="152"/>
      <c r="E57" s="112">
        <f>E14+E46+E56</f>
        <v>6283508</v>
      </c>
      <c r="F57" s="44">
        <f>F14+F46+F56</f>
        <v>0</v>
      </c>
      <c r="G57" s="45">
        <f>G14+G46+G56</f>
        <v>7653830.7999999998</v>
      </c>
      <c r="H57" s="152"/>
      <c r="I57" s="45">
        <f>I14+I46+I56</f>
        <v>6126871</v>
      </c>
      <c r="J57" s="298"/>
      <c r="K57" s="45">
        <f>K14+K46+K56</f>
        <v>7724000</v>
      </c>
      <c r="L57" s="236"/>
      <c r="M57" s="112">
        <f>M14+M46+M56</f>
        <v>4647334</v>
      </c>
      <c r="N57" s="298"/>
      <c r="O57" s="362">
        <f t="shared" si="1"/>
        <v>36534323.379999995</v>
      </c>
      <c r="Q57">
        <v>57</v>
      </c>
    </row>
    <row r="58" spans="1:17" ht="21.5" thickBot="1" x14ac:dyDescent="0.55000000000000004">
      <c r="A58" s="14" t="s">
        <v>52</v>
      </c>
      <c r="B58" s="15"/>
      <c r="C58" s="138"/>
      <c r="D58" s="148"/>
      <c r="E58" s="15"/>
      <c r="F58" s="15"/>
      <c r="G58" s="15"/>
      <c r="H58" s="148"/>
      <c r="I58" s="15"/>
      <c r="J58" s="148"/>
      <c r="K58" s="138"/>
      <c r="L58" s="235"/>
      <c r="M58" s="15"/>
      <c r="N58" s="299"/>
      <c r="O58" s="362">
        <f t="shared" si="1"/>
        <v>0</v>
      </c>
      <c r="Q58">
        <v>37</v>
      </c>
    </row>
    <row r="59" spans="1:17" x14ac:dyDescent="0.35">
      <c r="A59" s="46" t="s">
        <v>53</v>
      </c>
      <c r="B59" s="27"/>
      <c r="C59" s="109"/>
      <c r="D59" s="149"/>
      <c r="E59" s="180">
        <f>'23-24 Smith MS staffing'!F24</f>
        <v>2790000</v>
      </c>
      <c r="F59" s="27"/>
      <c r="G59" s="128">
        <f>'23-24 Jones Clark staffing'!F29</f>
        <v>3272000</v>
      </c>
      <c r="H59" s="149"/>
      <c r="I59" s="128">
        <f>'Fehl Price staffing'!F29</f>
        <v>3029000</v>
      </c>
      <c r="J59" s="149"/>
      <c r="K59" s="109">
        <f>'23-24 Prescott staffing'!H42</f>
        <v>3925000</v>
      </c>
      <c r="L59" s="235"/>
      <c r="M59" s="247">
        <f>'23-24 Mendez Staffing'!F20</f>
        <v>1762000</v>
      </c>
      <c r="N59" s="294"/>
      <c r="O59" s="362">
        <f t="shared" si="1"/>
        <v>14778000</v>
      </c>
      <c r="P59" s="375"/>
    </row>
    <row r="60" spans="1:17" x14ac:dyDescent="0.35">
      <c r="A60" s="47" t="s">
        <v>54</v>
      </c>
      <c r="B60" s="31"/>
      <c r="C60" s="109"/>
      <c r="D60" s="149"/>
      <c r="E60" s="181"/>
      <c r="F60" s="31"/>
      <c r="G60" s="129"/>
      <c r="H60" s="149"/>
      <c r="I60" s="129"/>
      <c r="J60" s="149"/>
      <c r="K60" s="109"/>
      <c r="L60" s="235"/>
      <c r="M60" s="248">
        <v>15000</v>
      </c>
      <c r="N60" s="149"/>
      <c r="O60" s="362">
        <f t="shared" si="1"/>
        <v>15000</v>
      </c>
    </row>
    <row r="61" spans="1:17" x14ac:dyDescent="0.35">
      <c r="A61" s="47" t="s">
        <v>55</v>
      </c>
      <c r="B61" s="31"/>
      <c r="C61" s="109"/>
      <c r="D61" s="149"/>
      <c r="E61" s="181"/>
      <c r="F61" s="31"/>
      <c r="G61" s="129"/>
      <c r="H61" s="149"/>
      <c r="I61" s="129"/>
      <c r="J61" s="149"/>
      <c r="K61" s="109"/>
      <c r="L61" s="235"/>
      <c r="M61" s="248">
        <f>M59*0.04</f>
        <v>70480</v>
      </c>
      <c r="N61" s="149"/>
      <c r="O61" s="362">
        <f t="shared" si="1"/>
        <v>70480</v>
      </c>
    </row>
    <row r="62" spans="1:17" ht="15" thickBot="1" x14ac:dyDescent="0.4">
      <c r="A62" s="48" t="s">
        <v>329</v>
      </c>
      <c r="B62" s="36"/>
      <c r="C62" s="109"/>
      <c r="D62" s="149"/>
      <c r="E62" s="182">
        <f>+'23-24 Smith MS staffing'!O24</f>
        <v>194520</v>
      </c>
      <c r="F62" s="36"/>
      <c r="G62" s="130">
        <f>+'23-24 Jones Clark staffing'!O29</f>
        <v>199400.39999999994</v>
      </c>
      <c r="H62" s="149"/>
      <c r="I62" s="130">
        <f>+'23-24 Jones Clark staffing'!Q29</f>
        <v>0</v>
      </c>
      <c r="J62" s="149"/>
      <c r="K62" s="109">
        <f>+'23-24 Prescott staffing'!O41</f>
        <v>173529.29999999996</v>
      </c>
      <c r="L62" s="235"/>
      <c r="M62" s="278">
        <f>+'23-24 Mendez Staffing'!O19</f>
        <v>122853.6</v>
      </c>
      <c r="N62" s="300"/>
      <c r="O62" s="362">
        <f t="shared" si="1"/>
        <v>690303.29999999981</v>
      </c>
      <c r="P62" s="376"/>
    </row>
    <row r="63" spans="1:17" ht="15" thickBot="1" x14ac:dyDescent="0.4">
      <c r="A63" s="23" t="s">
        <v>56</v>
      </c>
      <c r="B63" s="24">
        <f>SUM(B59:B62)</f>
        <v>0</v>
      </c>
      <c r="C63" s="139"/>
      <c r="D63" s="150"/>
      <c r="E63" s="108">
        <f>SUM(E59:E62)</f>
        <v>2984520</v>
      </c>
      <c r="F63" s="24">
        <f>SUM(F59:F62)</f>
        <v>0</v>
      </c>
      <c r="G63" s="25">
        <f>SUM(G59:G62)</f>
        <v>3471400.4</v>
      </c>
      <c r="H63" s="150"/>
      <c r="I63" s="25">
        <f>SUM(I59:I62)</f>
        <v>3029000</v>
      </c>
      <c r="J63" s="231"/>
      <c r="K63" s="25">
        <f>SUM(K59:K62)</f>
        <v>4098529.3</v>
      </c>
      <c r="L63" s="235"/>
      <c r="M63" s="108">
        <f t="shared" ref="M63" si="8">SUM(M59:M62)</f>
        <v>1970333.6</v>
      </c>
      <c r="N63" s="231"/>
      <c r="O63" s="362">
        <f t="shared" si="1"/>
        <v>15553783.299999999</v>
      </c>
    </row>
    <row r="64" spans="1:17" x14ac:dyDescent="0.35">
      <c r="A64" s="46" t="s">
        <v>57</v>
      </c>
      <c r="B64" s="27"/>
      <c r="C64" s="109"/>
      <c r="D64" s="149"/>
      <c r="E64" s="180">
        <f>'23-24 Smith MS staffing'!F32</f>
        <v>205000</v>
      </c>
      <c r="F64" s="27"/>
      <c r="G64" s="128">
        <f>'23-24 Jones Clark staffing'!F33</f>
        <v>205000</v>
      </c>
      <c r="H64" s="149"/>
      <c r="I64" s="128">
        <f>'Fehl Price staffing'!F33</f>
        <v>205000</v>
      </c>
      <c r="J64" s="149"/>
      <c r="K64" s="109">
        <f>'23-24 Prescott staffing'!F46</f>
        <v>215000</v>
      </c>
      <c r="L64" s="235"/>
      <c r="M64" s="247">
        <f>'23-24 Mendez Staffing'!F25</f>
        <v>200000</v>
      </c>
      <c r="N64" s="294"/>
      <c r="O64" s="362">
        <f t="shared" si="1"/>
        <v>1030000</v>
      </c>
      <c r="P64" s="375"/>
    </row>
    <row r="65" spans="1:16" x14ac:dyDescent="0.35">
      <c r="A65" s="46" t="s">
        <v>330</v>
      </c>
      <c r="B65" s="27"/>
      <c r="C65" s="109"/>
      <c r="D65" s="149"/>
      <c r="E65" s="180"/>
      <c r="F65" s="27"/>
      <c r="G65" s="128"/>
      <c r="H65" s="149"/>
      <c r="I65" s="128"/>
      <c r="J65" s="149"/>
      <c r="K65" s="109"/>
      <c r="L65" s="235"/>
      <c r="M65" s="248">
        <f>M64*0.04</f>
        <v>8000</v>
      </c>
      <c r="N65" s="149"/>
      <c r="O65" s="362">
        <f t="shared" si="1"/>
        <v>8000</v>
      </c>
    </row>
    <row r="66" spans="1:16" x14ac:dyDescent="0.35">
      <c r="A66" s="47" t="s">
        <v>331</v>
      </c>
      <c r="B66" s="31"/>
      <c r="C66" s="109"/>
      <c r="D66" s="149"/>
      <c r="E66" s="181">
        <f>+'23-24 Smith MS staffing'!O32</f>
        <v>14293.199999999999</v>
      </c>
      <c r="F66" s="31"/>
      <c r="G66" s="129">
        <f>+'23-24 Jones Clark staffing'!O33</f>
        <v>9065.7000000000007</v>
      </c>
      <c r="H66" s="149"/>
      <c r="I66" s="129">
        <f>+'23-24 Jones Clark staffing'!Q33</f>
        <v>0</v>
      </c>
      <c r="J66" s="149"/>
      <c r="K66" s="109">
        <f>+'23-24 Prescott staffing'!O46</f>
        <v>9506.7000000000007</v>
      </c>
      <c r="L66" s="235"/>
      <c r="M66" s="279">
        <f>+'23-24 Mendez Staffing'!O24</f>
        <v>13945.199999999999</v>
      </c>
      <c r="N66" s="300"/>
      <c r="O66" s="362">
        <f t="shared" si="1"/>
        <v>46810.8</v>
      </c>
      <c r="P66" s="376"/>
    </row>
    <row r="67" spans="1:16" x14ac:dyDescent="0.35">
      <c r="A67" s="47" t="s">
        <v>58</v>
      </c>
      <c r="B67" s="31"/>
      <c r="C67" s="109"/>
      <c r="D67" s="149"/>
      <c r="E67" s="181"/>
      <c r="F67" s="31"/>
      <c r="G67" s="129"/>
      <c r="H67" s="149"/>
      <c r="I67" s="129"/>
      <c r="J67" s="149"/>
      <c r="K67" s="109"/>
      <c r="L67" s="235"/>
      <c r="M67" s="280"/>
      <c r="N67" s="300"/>
      <c r="O67" s="362">
        <f t="shared" si="1"/>
        <v>0</v>
      </c>
    </row>
    <row r="68" spans="1:16" ht="15" thickBot="1" x14ac:dyDescent="0.4">
      <c r="A68" s="48" t="s">
        <v>59</v>
      </c>
      <c r="B68" s="36"/>
      <c r="C68" s="109"/>
      <c r="D68" s="149"/>
      <c r="E68" s="182"/>
      <c r="F68" s="36"/>
      <c r="G68" s="130"/>
      <c r="H68" s="149"/>
      <c r="I68" s="130"/>
      <c r="J68" s="149"/>
      <c r="K68" s="109"/>
      <c r="L68" s="235"/>
      <c r="M68" s="249">
        <f>'[1]Mendez FY23 Staffing'!H47</f>
        <v>0</v>
      </c>
      <c r="N68" s="296"/>
      <c r="O68" s="362">
        <f t="shared" si="1"/>
        <v>0</v>
      </c>
    </row>
    <row r="69" spans="1:16" ht="15" thickBot="1" x14ac:dyDescent="0.4">
      <c r="A69" s="23" t="s">
        <v>60</v>
      </c>
      <c r="B69" s="24">
        <f>SUM(B64:B68)</f>
        <v>0</v>
      </c>
      <c r="C69" s="139"/>
      <c r="D69" s="150"/>
      <c r="E69" s="108">
        <f>SUM(E64:E68)</f>
        <v>219293.2</v>
      </c>
      <c r="F69" s="24">
        <f>SUM(F64:F68)</f>
        <v>0</v>
      </c>
      <c r="G69" s="25">
        <f>SUM(G64:G68)</f>
        <v>214065.7</v>
      </c>
      <c r="H69" s="150"/>
      <c r="I69" s="25">
        <f>SUM(I64:I68)</f>
        <v>205000</v>
      </c>
      <c r="J69" s="231"/>
      <c r="K69" s="25">
        <f>SUM(K64:K68)</f>
        <v>224506.7</v>
      </c>
      <c r="L69" s="235"/>
      <c r="M69" s="108">
        <f>SUM(M64:M68)</f>
        <v>221945.2</v>
      </c>
      <c r="N69" s="293"/>
      <c r="O69" s="362">
        <f t="shared" si="1"/>
        <v>1084810.8</v>
      </c>
    </row>
    <row r="70" spans="1:16" x14ac:dyDescent="0.35">
      <c r="A70" s="46" t="s">
        <v>61</v>
      </c>
      <c r="B70" s="27"/>
      <c r="C70" s="109">
        <f>'Unit staffing 23-24'!H23</f>
        <v>1220000</v>
      </c>
      <c r="D70" s="149"/>
      <c r="E70" s="180">
        <f>'23-24 Smith MS staffing'!F42</f>
        <v>640000</v>
      </c>
      <c r="F70" s="27"/>
      <c r="G70" s="128">
        <f>'23-24 Jones Clark staffing'!F43</f>
        <v>615000</v>
      </c>
      <c r="H70" s="149"/>
      <c r="I70" s="128">
        <f>'Fehl Price staffing'!F43</f>
        <v>615000</v>
      </c>
      <c r="J70" s="149"/>
      <c r="K70" s="109">
        <f>'23-24 Prescott staffing'!F58</f>
        <v>815000</v>
      </c>
      <c r="L70" s="235"/>
      <c r="M70" s="247">
        <f>'23-24 Mendez Staffing'!F36</f>
        <v>511000</v>
      </c>
      <c r="N70" s="294"/>
      <c r="O70" s="362">
        <f t="shared" si="1"/>
        <v>4416000</v>
      </c>
      <c r="P70" s="375"/>
    </row>
    <row r="71" spans="1:16" x14ac:dyDescent="0.35">
      <c r="A71" s="47" t="s">
        <v>62</v>
      </c>
      <c r="B71" s="31"/>
      <c r="C71" s="109">
        <f>'Unit staffing 23-24'!J13</f>
        <v>30000</v>
      </c>
      <c r="D71" s="149"/>
      <c r="E71" s="181"/>
      <c r="F71" s="31"/>
      <c r="G71" s="129"/>
      <c r="H71" s="149"/>
      <c r="I71" s="129"/>
      <c r="J71" s="149"/>
      <c r="K71" s="109"/>
      <c r="L71" s="235"/>
      <c r="M71" s="248">
        <v>0</v>
      </c>
      <c r="N71" s="149"/>
      <c r="O71" s="362">
        <f t="shared" si="1"/>
        <v>30000</v>
      </c>
    </row>
    <row r="72" spans="1:16" x14ac:dyDescent="0.35">
      <c r="A72" s="47" t="s">
        <v>63</v>
      </c>
      <c r="B72" s="31"/>
      <c r="C72" s="109"/>
      <c r="D72" s="149"/>
      <c r="E72" s="181"/>
      <c r="F72" s="31"/>
      <c r="G72" s="129"/>
      <c r="H72" s="149"/>
      <c r="I72" s="129"/>
      <c r="J72" s="149"/>
      <c r="K72" s="109"/>
      <c r="L72" s="235"/>
      <c r="M72" s="248">
        <v>0</v>
      </c>
      <c r="N72" s="149"/>
      <c r="O72" s="362">
        <f t="shared" si="1"/>
        <v>0</v>
      </c>
    </row>
    <row r="73" spans="1:16" x14ac:dyDescent="0.35">
      <c r="A73" s="47" t="s">
        <v>332</v>
      </c>
      <c r="B73" s="31"/>
      <c r="C73" s="109">
        <f>+'Unit staffing 23-24'!S13+'Unit staffing 23-24'!S20</f>
        <v>72476.399999999994</v>
      </c>
      <c r="D73" s="149"/>
      <c r="E73" s="181">
        <f>+'23-24 Smith MS staffing'!O42</f>
        <v>44619.600000000006</v>
      </c>
      <c r="F73" s="31"/>
      <c r="G73" s="129">
        <f>+'23-24 Jones Clark staffing'!O43</f>
        <v>27197.100000000002</v>
      </c>
      <c r="H73" s="149"/>
      <c r="I73" s="129">
        <f>+'23-24 Jones Clark staffing'!Q43</f>
        <v>0</v>
      </c>
      <c r="J73" s="149"/>
      <c r="K73" s="109">
        <f>+'23-24 Prescott staffing'!O57</f>
        <v>36033.900000000009</v>
      </c>
      <c r="L73" s="235"/>
      <c r="M73" s="279">
        <f>+'23-24 Mendez Staffing'!O35</f>
        <v>35632.799999999996</v>
      </c>
      <c r="N73" s="301"/>
      <c r="O73" s="362">
        <f t="shared" si="1"/>
        <v>215959.8</v>
      </c>
      <c r="P73" s="376"/>
    </row>
    <row r="74" spans="1:16" x14ac:dyDescent="0.35">
      <c r="A74" s="47" t="s">
        <v>333</v>
      </c>
      <c r="B74" s="31"/>
      <c r="C74" s="109">
        <f>+'Unit staffing 23-24'!L13+'Unit staffing 23-24'!L21</f>
        <v>70560</v>
      </c>
      <c r="D74" s="149"/>
      <c r="E74" s="181">
        <f>+'23-24 Smith MS staffing'!H42+'23-24 Smith MS staffing'!H32+'23-24 Smith MS staffing'!H24</f>
        <v>311640</v>
      </c>
      <c r="F74" s="31"/>
      <c r="G74" s="129">
        <f>+'23-24 Jones Clark staffing'!H43+'23-24 Jones Clark staffing'!H33+'23-24 Jones Clark staffing'!H29</f>
        <v>317520</v>
      </c>
      <c r="H74" s="149"/>
      <c r="I74" s="378">
        <f>+'23-24 Jones Clark staffing'!J43+'23-24 Jones Clark staffing'!J33+'23-24 Jones Clark staffing'!J29</f>
        <v>53360.014500000005</v>
      </c>
      <c r="J74" s="149"/>
      <c r="K74" s="109"/>
      <c r="L74" s="235"/>
      <c r="M74" s="248">
        <f>+'23-24 Mendez Staffing'!H19+'23-24 Mendez Staffing'!H24+'23-24 Mendez Staffing'!H35</f>
        <v>217560</v>
      </c>
      <c r="N74" s="149"/>
      <c r="O74" s="362">
        <f t="shared" si="1"/>
        <v>970640.01450000005</v>
      </c>
    </row>
    <row r="75" spans="1:16" x14ac:dyDescent="0.35">
      <c r="A75" s="47" t="s">
        <v>334</v>
      </c>
      <c r="B75" s="31"/>
      <c r="C75" s="109"/>
      <c r="D75" s="149"/>
      <c r="E75" s="181"/>
      <c r="F75" s="31"/>
      <c r="G75" s="129"/>
      <c r="H75" s="149"/>
      <c r="I75" s="129"/>
      <c r="J75" s="149"/>
      <c r="K75" s="109">
        <f>(70*5000)*0.4</f>
        <v>140000</v>
      </c>
      <c r="L75" s="235"/>
      <c r="M75" s="248">
        <v>0</v>
      </c>
      <c r="N75" s="149"/>
      <c r="O75" s="362">
        <f t="shared" si="1"/>
        <v>140000</v>
      </c>
    </row>
    <row r="76" spans="1:16" x14ac:dyDescent="0.35">
      <c r="A76" s="47" t="s">
        <v>64</v>
      </c>
      <c r="B76" s="31"/>
      <c r="C76" s="351"/>
      <c r="D76" s="149"/>
      <c r="E76" s="181"/>
      <c r="F76" s="31"/>
      <c r="G76" s="129"/>
      <c r="H76" s="149"/>
      <c r="I76" s="129"/>
      <c r="J76" s="149"/>
      <c r="K76" s="109"/>
      <c r="L76" s="235"/>
      <c r="M76" s="248">
        <v>0</v>
      </c>
      <c r="N76" s="149"/>
      <c r="O76" s="362">
        <f t="shared" si="1"/>
        <v>0</v>
      </c>
    </row>
    <row r="77" spans="1:16" x14ac:dyDescent="0.35">
      <c r="A77" s="47" t="s">
        <v>335</v>
      </c>
      <c r="B77" s="31"/>
      <c r="C77" s="351">
        <v>400000</v>
      </c>
      <c r="D77" s="149"/>
      <c r="E77" s="181"/>
      <c r="F77" s="31"/>
      <c r="G77" s="129"/>
      <c r="H77" s="149"/>
      <c r="I77" s="129"/>
      <c r="J77" s="149"/>
      <c r="K77" s="109"/>
      <c r="L77" s="235"/>
      <c r="M77" s="248"/>
      <c r="N77" s="149"/>
      <c r="O77" s="362">
        <f t="shared" ref="O77:O140" si="9">+C77+E77+G77+I77+K77+M77</f>
        <v>400000</v>
      </c>
    </row>
    <row r="78" spans="1:16" x14ac:dyDescent="0.35">
      <c r="A78" s="47" t="s">
        <v>336</v>
      </c>
      <c r="B78" s="31"/>
      <c r="C78" s="351">
        <f>C77*0.22</f>
        <v>88000</v>
      </c>
      <c r="D78" s="149"/>
      <c r="E78" s="181"/>
      <c r="F78" s="31"/>
      <c r="G78" s="129"/>
      <c r="H78" s="149"/>
      <c r="I78" s="129"/>
      <c r="J78" s="149"/>
      <c r="K78" s="109"/>
      <c r="L78" s="235"/>
      <c r="M78" s="248"/>
      <c r="N78" s="149"/>
      <c r="O78" s="362">
        <f t="shared" si="9"/>
        <v>88000</v>
      </c>
    </row>
    <row r="79" spans="1:16" x14ac:dyDescent="0.35">
      <c r="A79" s="47" t="s">
        <v>337</v>
      </c>
      <c r="B79" s="31"/>
      <c r="C79" s="109"/>
      <c r="D79" s="149"/>
      <c r="E79" s="181"/>
      <c r="F79" s="31"/>
      <c r="G79" s="129"/>
      <c r="H79" s="149"/>
      <c r="I79" s="129"/>
      <c r="J79" s="149"/>
      <c r="K79" s="109"/>
      <c r="L79" s="235"/>
      <c r="M79" s="248">
        <v>0</v>
      </c>
      <c r="N79" s="149"/>
      <c r="O79" s="362">
        <f t="shared" si="9"/>
        <v>0</v>
      </c>
    </row>
    <row r="80" spans="1:16" ht="15" thickBot="1" x14ac:dyDescent="0.4">
      <c r="A80" s="48" t="s">
        <v>338</v>
      </c>
      <c r="B80" s="36"/>
      <c r="C80" s="351">
        <v>400000</v>
      </c>
      <c r="D80" s="149"/>
      <c r="E80" s="182"/>
      <c r="F80" s="36"/>
      <c r="G80" s="130"/>
      <c r="H80" s="149"/>
      <c r="I80" s="130"/>
      <c r="J80" s="149"/>
      <c r="K80" s="109"/>
      <c r="L80" s="235"/>
      <c r="M80" s="249">
        <v>0</v>
      </c>
      <c r="N80" s="296"/>
      <c r="O80" s="362">
        <f t="shared" si="9"/>
        <v>400000</v>
      </c>
    </row>
    <row r="81" spans="1:16" ht="15" thickBot="1" x14ac:dyDescent="0.4">
      <c r="A81" s="40" t="s">
        <v>65</v>
      </c>
      <c r="B81" s="49">
        <f>SUM(B70:B80)</f>
        <v>0</v>
      </c>
      <c r="C81" s="111">
        <f>SUM(C70:C80)</f>
        <v>2281036.4</v>
      </c>
      <c r="D81" s="150"/>
      <c r="E81" s="111">
        <f>SUM(E70:E80)</f>
        <v>996259.6</v>
      </c>
      <c r="F81" s="49">
        <f>SUM(F70:F80)</f>
        <v>0</v>
      </c>
      <c r="G81" s="42">
        <f>SUM(G70:G80)</f>
        <v>959717.1</v>
      </c>
      <c r="H81" s="150"/>
      <c r="I81" s="42">
        <f>SUM(I70:I80)</f>
        <v>668360.01450000005</v>
      </c>
      <c r="J81" s="231"/>
      <c r="K81" s="42">
        <f>SUM(K70:K80)</f>
        <v>991033.9</v>
      </c>
      <c r="L81" s="235"/>
      <c r="M81" s="111">
        <f>SUM(M70:M80)</f>
        <v>764192.8</v>
      </c>
      <c r="N81" s="302"/>
      <c r="O81" s="362">
        <f t="shared" si="9"/>
        <v>6660599.8144999994</v>
      </c>
    </row>
    <row r="82" spans="1:16" ht="15" thickBot="1" x14ac:dyDescent="0.4">
      <c r="A82" s="23" t="s">
        <v>66</v>
      </c>
      <c r="B82" s="24">
        <f>B81+B69+B63</f>
        <v>0</v>
      </c>
      <c r="C82" s="108">
        <f>C81+C69+C63</f>
        <v>2281036.4</v>
      </c>
      <c r="D82" s="150"/>
      <c r="E82" s="108">
        <f>E81+E69+E63</f>
        <v>4200072.8</v>
      </c>
      <c r="F82" s="24">
        <f>F81+F69+F63</f>
        <v>0</v>
      </c>
      <c r="G82" s="25">
        <f>G81+G69+G63</f>
        <v>4645183.2</v>
      </c>
      <c r="H82" s="150"/>
      <c r="I82" s="25">
        <f>I81+I69+I63</f>
        <v>3902360.0145</v>
      </c>
      <c r="J82" s="231"/>
      <c r="K82" s="25">
        <f>K81+K69+K63</f>
        <v>5314069.9000000004</v>
      </c>
      <c r="L82" s="235"/>
      <c r="M82" s="108">
        <f>M81+M69+M63</f>
        <v>2956471.6</v>
      </c>
      <c r="N82" s="293"/>
      <c r="O82" s="362">
        <f t="shared" si="9"/>
        <v>23299193.914499998</v>
      </c>
    </row>
    <row r="83" spans="1:16" x14ac:dyDescent="0.35">
      <c r="A83" s="26" t="s">
        <v>67</v>
      </c>
      <c r="B83" s="27"/>
      <c r="C83" s="109"/>
      <c r="D83" s="149"/>
      <c r="E83" s="180"/>
      <c r="F83" s="27"/>
      <c r="G83" s="128"/>
      <c r="H83" s="149"/>
      <c r="I83" s="128"/>
      <c r="J83" s="149"/>
      <c r="K83" s="109"/>
      <c r="L83" s="235"/>
      <c r="M83" s="247">
        <v>0</v>
      </c>
      <c r="N83" s="294"/>
      <c r="O83" s="362">
        <f t="shared" si="9"/>
        <v>0</v>
      </c>
    </row>
    <row r="84" spans="1:16" x14ac:dyDescent="0.35">
      <c r="A84" s="29" t="s">
        <v>68</v>
      </c>
      <c r="B84" s="31"/>
      <c r="C84" s="109"/>
      <c r="D84" s="149"/>
      <c r="E84" s="181">
        <f>(E4/12)*4000</f>
        <v>161666.66666666666</v>
      </c>
      <c r="F84" s="31"/>
      <c r="G84" s="129">
        <f>(400/12)*4000</f>
        <v>133333.33333333334</v>
      </c>
      <c r="H84" s="149"/>
      <c r="I84" s="129">
        <f>(400/12)*4000</f>
        <v>133333.33333333334</v>
      </c>
      <c r="J84" s="358"/>
      <c r="K84" s="129">
        <f>(400/12)*4000</f>
        <v>133333.33333333334</v>
      </c>
      <c r="L84" s="235"/>
      <c r="M84" s="279">
        <f>(M4/12)*4000</f>
        <v>83333.333333333328</v>
      </c>
      <c r="N84" s="301"/>
      <c r="O84" s="362">
        <f t="shared" si="9"/>
        <v>645000.00000000012</v>
      </c>
    </row>
    <row r="85" spans="1:16" x14ac:dyDescent="0.35">
      <c r="A85" s="29" t="s">
        <v>69</v>
      </c>
      <c r="B85" s="31"/>
      <c r="C85" s="109"/>
      <c r="D85" s="149"/>
      <c r="E85" s="181">
        <f>2*30000</f>
        <v>60000</v>
      </c>
      <c r="F85" s="31"/>
      <c r="G85" s="129">
        <f>2*30000</f>
        <v>60000</v>
      </c>
      <c r="H85" s="149"/>
      <c r="I85" s="129">
        <f>2*30000</f>
        <v>60000</v>
      </c>
      <c r="J85" s="358"/>
      <c r="K85" s="129">
        <f>2*30000</f>
        <v>60000</v>
      </c>
      <c r="L85" s="235"/>
      <c r="M85" s="279">
        <v>30000</v>
      </c>
      <c r="N85" s="301"/>
      <c r="O85" s="362">
        <f t="shared" si="9"/>
        <v>270000</v>
      </c>
    </row>
    <row r="86" spans="1:16" x14ac:dyDescent="0.35">
      <c r="A86" s="29" t="s">
        <v>70</v>
      </c>
      <c r="B86" s="31"/>
      <c r="C86" s="109"/>
      <c r="D86" s="149"/>
      <c r="E86" s="181"/>
      <c r="F86" s="31"/>
      <c r="G86" s="129"/>
      <c r="H86" s="149"/>
      <c r="I86" s="129"/>
      <c r="J86" s="149"/>
      <c r="K86" s="109"/>
      <c r="L86" s="235"/>
      <c r="M86" s="248">
        <v>0</v>
      </c>
      <c r="N86" s="149"/>
      <c r="O86" s="362">
        <f t="shared" si="9"/>
        <v>0</v>
      </c>
    </row>
    <row r="87" spans="1:16" x14ac:dyDescent="0.35">
      <c r="A87" s="29" t="s">
        <v>71</v>
      </c>
      <c r="B87" s="31"/>
      <c r="C87" s="109"/>
      <c r="D87" s="149"/>
      <c r="E87" s="181">
        <v>0</v>
      </c>
      <c r="F87" s="31"/>
      <c r="G87" s="129">
        <v>0</v>
      </c>
      <c r="H87" s="149"/>
      <c r="I87" s="129">
        <v>0</v>
      </c>
      <c r="J87" s="149"/>
      <c r="K87" s="109"/>
      <c r="L87" s="235"/>
      <c r="M87" s="248">
        <v>120000</v>
      </c>
      <c r="N87" s="149"/>
      <c r="O87" s="362">
        <f t="shared" si="9"/>
        <v>120000</v>
      </c>
    </row>
    <row r="88" spans="1:16" x14ac:dyDescent="0.35">
      <c r="A88" s="29" t="s">
        <v>72</v>
      </c>
      <c r="B88" s="31"/>
      <c r="C88" s="109">
        <v>10000</v>
      </c>
      <c r="D88" s="149"/>
      <c r="E88" s="181">
        <v>2000</v>
      </c>
      <c r="F88" s="31"/>
      <c r="G88" s="129">
        <v>2000</v>
      </c>
      <c r="H88" s="149"/>
      <c r="I88" s="129">
        <v>2000</v>
      </c>
      <c r="J88" s="149"/>
      <c r="K88" s="109">
        <v>2000</v>
      </c>
      <c r="L88" s="235"/>
      <c r="M88" s="248">
        <v>2000</v>
      </c>
      <c r="N88" s="149"/>
      <c r="O88" s="362">
        <f t="shared" si="9"/>
        <v>20000</v>
      </c>
    </row>
    <row r="89" spans="1:16" x14ac:dyDescent="0.35">
      <c r="A89" s="29" t="s">
        <v>73</v>
      </c>
      <c r="B89" s="31"/>
      <c r="C89" s="109"/>
      <c r="D89" s="149"/>
      <c r="E89" s="181"/>
      <c r="F89" s="31"/>
      <c r="G89" s="129"/>
      <c r="H89" s="149"/>
      <c r="I89" s="129"/>
      <c r="J89" s="149"/>
      <c r="K89" s="109"/>
      <c r="L89" s="235"/>
      <c r="M89" s="248">
        <v>0</v>
      </c>
      <c r="N89" s="149"/>
      <c r="O89" s="362">
        <f t="shared" si="9"/>
        <v>0</v>
      </c>
    </row>
    <row r="90" spans="1:16" x14ac:dyDescent="0.35">
      <c r="A90" s="29" t="s">
        <v>74</v>
      </c>
      <c r="B90" s="31"/>
      <c r="C90" s="109"/>
      <c r="D90" s="149"/>
      <c r="E90" s="181"/>
      <c r="F90" s="31"/>
      <c r="G90" s="129"/>
      <c r="H90" s="149"/>
      <c r="I90" s="129"/>
      <c r="J90" s="149"/>
      <c r="K90" s="109"/>
      <c r="L90" s="235"/>
      <c r="M90" s="248">
        <v>0</v>
      </c>
      <c r="N90" s="149"/>
      <c r="O90" s="362">
        <f t="shared" si="9"/>
        <v>0</v>
      </c>
    </row>
    <row r="91" spans="1:16" x14ac:dyDescent="0.35">
      <c r="A91" s="29" t="s">
        <v>75</v>
      </c>
      <c r="B91" s="31"/>
      <c r="C91" s="109"/>
      <c r="D91" s="149"/>
      <c r="E91" s="181"/>
      <c r="F91" s="31"/>
      <c r="G91" s="129"/>
      <c r="H91" s="149"/>
      <c r="I91" s="129"/>
      <c r="J91" s="149"/>
      <c r="K91" s="109"/>
      <c r="L91" s="235"/>
      <c r="M91" s="248">
        <v>38459</v>
      </c>
      <c r="N91" s="149"/>
      <c r="O91" s="362">
        <f t="shared" si="9"/>
        <v>38459</v>
      </c>
    </row>
    <row r="92" spans="1:16" x14ac:dyDescent="0.35">
      <c r="A92" s="29" t="s">
        <v>76</v>
      </c>
      <c r="B92" s="31"/>
      <c r="C92" s="109"/>
      <c r="D92" s="149"/>
      <c r="E92" s="181">
        <f>E14*0.03</f>
        <v>155088.24</v>
      </c>
      <c r="F92" s="31"/>
      <c r="G92" s="129">
        <f>G14*0.03</f>
        <v>208007.394</v>
      </c>
      <c r="H92" s="149"/>
      <c r="I92" s="129">
        <f>I14*0.03</f>
        <v>166398.6</v>
      </c>
      <c r="J92" s="149"/>
      <c r="K92" s="109">
        <f>K14*0.02</f>
        <v>120600</v>
      </c>
      <c r="L92" s="235"/>
      <c r="M92" s="279">
        <f>M14*0.03</f>
        <v>77957.58</v>
      </c>
      <c r="N92" s="301"/>
      <c r="O92" s="362">
        <f t="shared" si="9"/>
        <v>728051.8139999999</v>
      </c>
    </row>
    <row r="93" spans="1:16" x14ac:dyDescent="0.35">
      <c r="A93" s="29" t="s">
        <v>77</v>
      </c>
      <c r="B93" s="31"/>
      <c r="C93" s="109"/>
      <c r="D93" s="149"/>
      <c r="E93" s="181"/>
      <c r="F93" s="31"/>
      <c r="G93" s="129"/>
      <c r="H93" s="149"/>
      <c r="I93" s="129"/>
      <c r="J93" s="149"/>
      <c r="K93" s="109"/>
      <c r="L93" s="235"/>
      <c r="M93" s="248">
        <v>80000</v>
      </c>
      <c r="N93" s="149"/>
      <c r="O93" s="362">
        <f t="shared" si="9"/>
        <v>80000</v>
      </c>
    </row>
    <row r="94" spans="1:16" x14ac:dyDescent="0.35">
      <c r="A94" s="52"/>
      <c r="B94" s="36"/>
      <c r="C94" s="109"/>
      <c r="D94" s="149"/>
      <c r="E94" s="182"/>
      <c r="F94" s="36"/>
      <c r="G94" s="130"/>
      <c r="H94" s="149"/>
      <c r="I94" s="130"/>
      <c r="J94" s="149"/>
      <c r="K94" s="109"/>
      <c r="L94" s="235"/>
      <c r="M94" s="248"/>
      <c r="N94" s="149"/>
      <c r="O94" s="362">
        <f t="shared" si="9"/>
        <v>0</v>
      </c>
    </row>
    <row r="95" spans="1:16" ht="15" thickBot="1" x14ac:dyDescent="0.4">
      <c r="A95" s="50" t="s">
        <v>327</v>
      </c>
      <c r="B95" s="36"/>
      <c r="C95" s="140">
        <f>+E54+G54+I54+K54+M54</f>
        <v>830000</v>
      </c>
      <c r="D95" s="153"/>
      <c r="E95" s="183">
        <f>E57*0.1</f>
        <v>628350.80000000005</v>
      </c>
      <c r="F95" s="102"/>
      <c r="G95" s="131">
        <f>G57*0.1</f>
        <v>765383.08000000007</v>
      </c>
      <c r="H95" s="153"/>
      <c r="I95" s="131">
        <f>I57*0.1</f>
        <v>612687.1</v>
      </c>
      <c r="J95" s="153"/>
      <c r="K95" s="140">
        <f>K14*0.1</f>
        <v>603000</v>
      </c>
      <c r="L95" s="235"/>
      <c r="M95" s="281">
        <f>M14*0.1</f>
        <v>259858.6</v>
      </c>
      <c r="N95" s="153"/>
      <c r="O95" s="362">
        <f t="shared" si="9"/>
        <v>3699279.58</v>
      </c>
    </row>
    <row r="96" spans="1:16" ht="15" thickBot="1" x14ac:dyDescent="0.4">
      <c r="A96" s="23" t="s">
        <v>78</v>
      </c>
      <c r="B96" s="24">
        <f t="shared" ref="B96" si="10">SUM(B83:B95)</f>
        <v>0</v>
      </c>
      <c r="C96" s="139">
        <f>SUM(C83:C95)</f>
        <v>840000</v>
      </c>
      <c r="D96" s="150"/>
      <c r="E96" s="108">
        <f t="shared" ref="E96:K96" si="11">SUM(E83:E95)</f>
        <v>1007105.7066666667</v>
      </c>
      <c r="F96" s="24">
        <f t="shared" si="11"/>
        <v>0</v>
      </c>
      <c r="G96" s="25">
        <f t="shared" si="11"/>
        <v>1168723.8073333334</v>
      </c>
      <c r="H96" s="150"/>
      <c r="I96" s="25">
        <f t="shared" ref="I96" si="12">SUM(I83:I95)</f>
        <v>974419.03333333333</v>
      </c>
      <c r="J96" s="231"/>
      <c r="K96" s="25">
        <f t="shared" si="11"/>
        <v>918933.33333333337</v>
      </c>
      <c r="L96" s="235"/>
      <c r="M96" s="108">
        <f t="shared" ref="M96" si="13">SUM(M83:M95)</f>
        <v>691608.51333333331</v>
      </c>
      <c r="N96" s="293"/>
      <c r="O96" s="362">
        <f t="shared" si="9"/>
        <v>5600790.3940000003</v>
      </c>
    </row>
    <row r="97" spans="1:15" x14ac:dyDescent="0.35">
      <c r="A97" s="26" t="s">
        <v>79</v>
      </c>
      <c r="B97" s="27"/>
      <c r="C97" s="109"/>
      <c r="D97" s="149"/>
      <c r="E97" s="180"/>
      <c r="F97" s="27"/>
      <c r="G97" s="128"/>
      <c r="H97" s="149"/>
      <c r="I97" s="128"/>
      <c r="J97" s="149"/>
      <c r="K97" s="109"/>
      <c r="L97" s="235"/>
      <c r="M97" s="247">
        <v>0</v>
      </c>
      <c r="N97" s="294"/>
      <c r="O97" s="362">
        <f t="shared" si="9"/>
        <v>0</v>
      </c>
    </row>
    <row r="98" spans="1:15" x14ac:dyDescent="0.35">
      <c r="A98" s="29" t="s">
        <v>80</v>
      </c>
      <c r="B98" s="31"/>
      <c r="C98" s="109"/>
      <c r="D98" s="149"/>
      <c r="E98" s="181"/>
      <c r="F98" s="31"/>
      <c r="G98" s="129"/>
      <c r="H98" s="149"/>
      <c r="I98" s="129"/>
      <c r="J98" s="149"/>
      <c r="K98" s="109"/>
      <c r="L98" s="235"/>
      <c r="M98" s="248">
        <v>0</v>
      </c>
      <c r="N98" s="149"/>
      <c r="O98" s="362">
        <f t="shared" si="9"/>
        <v>0</v>
      </c>
    </row>
    <row r="99" spans="1:15" x14ac:dyDescent="0.35">
      <c r="A99" s="29" t="s">
        <v>81</v>
      </c>
      <c r="B99" s="31"/>
      <c r="C99" s="109"/>
      <c r="D99" s="149"/>
      <c r="E99" s="181"/>
      <c r="F99" s="31"/>
      <c r="G99" s="129"/>
      <c r="H99" s="149"/>
      <c r="I99" s="129"/>
      <c r="J99" s="149"/>
      <c r="K99" s="109"/>
      <c r="L99" s="235"/>
      <c r="M99" s="248">
        <v>0</v>
      </c>
      <c r="N99" s="149"/>
      <c r="O99" s="362">
        <f t="shared" si="9"/>
        <v>0</v>
      </c>
    </row>
    <row r="100" spans="1:15" x14ac:dyDescent="0.35">
      <c r="A100" s="29" t="s">
        <v>82</v>
      </c>
      <c r="B100" s="31"/>
      <c r="C100" s="109"/>
      <c r="D100" s="149"/>
      <c r="E100" s="181"/>
      <c r="F100" s="31"/>
      <c r="G100" s="129"/>
      <c r="H100" s="149"/>
      <c r="I100" s="129"/>
      <c r="J100" s="149"/>
      <c r="K100" s="109"/>
      <c r="L100" s="235"/>
      <c r="M100" s="248">
        <v>0</v>
      </c>
      <c r="N100" s="149"/>
      <c r="O100" s="362">
        <f t="shared" si="9"/>
        <v>0</v>
      </c>
    </row>
    <row r="101" spans="1:15" x14ac:dyDescent="0.35">
      <c r="A101" s="93" t="s">
        <v>339</v>
      </c>
      <c r="B101" s="31"/>
      <c r="C101" s="109"/>
      <c r="D101" s="149"/>
      <c r="E101" s="181">
        <v>0</v>
      </c>
      <c r="F101" s="31"/>
      <c r="G101" s="129">
        <v>0</v>
      </c>
      <c r="H101" s="149"/>
      <c r="I101" s="129">
        <v>0</v>
      </c>
      <c r="J101" s="149"/>
      <c r="K101" s="109"/>
      <c r="L101" s="235"/>
      <c r="M101" s="248">
        <v>25000</v>
      </c>
      <c r="N101" s="149"/>
      <c r="O101" s="362">
        <f t="shared" si="9"/>
        <v>25000</v>
      </c>
    </row>
    <row r="102" spans="1:15" x14ac:dyDescent="0.35">
      <c r="A102" s="29" t="s">
        <v>83</v>
      </c>
      <c r="B102" s="31"/>
      <c r="C102" s="109"/>
      <c r="D102" s="149"/>
      <c r="E102" s="181"/>
      <c r="F102" s="31"/>
      <c r="G102" s="129"/>
      <c r="H102" s="149"/>
      <c r="I102" s="129"/>
      <c r="J102" s="149"/>
      <c r="K102" s="109"/>
      <c r="L102" s="235"/>
      <c r="M102" s="248">
        <v>0</v>
      </c>
      <c r="N102" s="149"/>
      <c r="O102" s="362">
        <f t="shared" si="9"/>
        <v>0</v>
      </c>
    </row>
    <row r="103" spans="1:15" x14ac:dyDescent="0.35">
      <c r="A103" s="29" t="s">
        <v>340</v>
      </c>
      <c r="B103" s="31"/>
      <c r="C103" s="109">
        <v>40000</v>
      </c>
      <c r="D103" s="149"/>
      <c r="E103" s="181"/>
      <c r="F103" s="31"/>
      <c r="G103" s="129"/>
      <c r="H103" s="149"/>
      <c r="I103" s="129"/>
      <c r="J103" s="149"/>
      <c r="K103" s="109"/>
      <c r="L103" s="235"/>
      <c r="M103" s="248">
        <v>0</v>
      </c>
      <c r="N103" s="149"/>
      <c r="O103" s="362">
        <f t="shared" si="9"/>
        <v>40000</v>
      </c>
    </row>
    <row r="104" spans="1:15" x14ac:dyDescent="0.35">
      <c r="A104" s="93" t="s">
        <v>341</v>
      </c>
      <c r="B104" s="31"/>
      <c r="C104" s="109"/>
      <c r="D104" s="149"/>
      <c r="E104" s="181">
        <v>50000</v>
      </c>
      <c r="F104" s="31"/>
      <c r="G104" s="129">
        <v>50000</v>
      </c>
      <c r="H104" s="149"/>
      <c r="I104" s="129">
        <v>50000</v>
      </c>
      <c r="J104" s="149"/>
      <c r="K104" s="109"/>
      <c r="L104" s="235"/>
      <c r="M104" s="248">
        <v>50000</v>
      </c>
      <c r="N104" s="149"/>
      <c r="O104" s="362">
        <f t="shared" si="9"/>
        <v>200000</v>
      </c>
    </row>
    <row r="105" spans="1:15" x14ac:dyDescent="0.35">
      <c r="A105" s="51" t="s">
        <v>84</v>
      </c>
      <c r="B105" s="31"/>
      <c r="C105" s="109"/>
      <c r="D105" s="149"/>
      <c r="E105" s="181">
        <v>2013.08</v>
      </c>
      <c r="F105" s="31"/>
      <c r="G105" s="129">
        <v>2436.89</v>
      </c>
      <c r="H105" s="149"/>
      <c r="I105" s="129">
        <v>2436.89</v>
      </c>
      <c r="J105" s="149"/>
      <c r="K105" s="109">
        <v>2303.3000000000002</v>
      </c>
      <c r="L105" s="235"/>
      <c r="M105" s="248">
        <v>1059.52</v>
      </c>
      <c r="N105" s="149"/>
      <c r="O105" s="362">
        <f t="shared" si="9"/>
        <v>10249.68</v>
      </c>
    </row>
    <row r="106" spans="1:15" x14ac:dyDescent="0.35">
      <c r="A106" s="93" t="s">
        <v>342</v>
      </c>
      <c r="B106" s="31"/>
      <c r="C106" s="109"/>
      <c r="D106" s="149"/>
      <c r="E106" s="181"/>
      <c r="F106" s="31"/>
      <c r="G106" s="129">
        <v>0</v>
      </c>
      <c r="H106" s="149"/>
      <c r="I106" s="129">
        <v>0</v>
      </c>
      <c r="J106" s="149"/>
      <c r="K106" s="109"/>
      <c r="L106" s="235"/>
      <c r="M106" s="248">
        <v>0</v>
      </c>
      <c r="N106" s="149"/>
      <c r="O106" s="362">
        <f t="shared" si="9"/>
        <v>0</v>
      </c>
    </row>
    <row r="107" spans="1:15" x14ac:dyDescent="0.35">
      <c r="A107" s="33" t="s">
        <v>85</v>
      </c>
      <c r="B107" s="31"/>
      <c r="C107" s="109"/>
      <c r="D107" s="149"/>
      <c r="E107" s="181"/>
      <c r="F107" s="31"/>
      <c r="G107" s="129"/>
      <c r="H107" s="149"/>
      <c r="I107" s="129"/>
      <c r="J107" s="149"/>
      <c r="K107" s="109"/>
      <c r="L107" s="235"/>
      <c r="M107" s="248">
        <v>0</v>
      </c>
      <c r="N107" s="149"/>
      <c r="O107" s="362">
        <f t="shared" si="9"/>
        <v>0</v>
      </c>
    </row>
    <row r="108" spans="1:15" x14ac:dyDescent="0.35">
      <c r="A108" s="29" t="s">
        <v>86</v>
      </c>
      <c r="B108" s="31"/>
      <c r="C108" s="109"/>
      <c r="D108" s="149"/>
      <c r="E108" s="181"/>
      <c r="F108" s="31"/>
      <c r="G108" s="129"/>
      <c r="H108" s="149"/>
      <c r="I108" s="129"/>
      <c r="J108" s="149"/>
      <c r="K108" s="109">
        <v>10000</v>
      </c>
      <c r="L108" s="235"/>
      <c r="M108" s="248">
        <v>0</v>
      </c>
      <c r="N108" s="149"/>
      <c r="O108" s="362">
        <f t="shared" si="9"/>
        <v>10000</v>
      </c>
    </row>
    <row r="109" spans="1:15" x14ac:dyDescent="0.35">
      <c r="A109" s="29" t="s">
        <v>87</v>
      </c>
      <c r="B109" s="31"/>
      <c r="C109" s="109"/>
      <c r="D109" s="149"/>
      <c r="E109" s="181">
        <v>10000</v>
      </c>
      <c r="F109" s="31"/>
      <c r="G109" s="129">
        <v>10000</v>
      </c>
      <c r="H109" s="149"/>
      <c r="I109" s="129">
        <v>10000</v>
      </c>
      <c r="J109" s="149"/>
      <c r="K109" s="109">
        <v>30000</v>
      </c>
      <c r="L109" s="235"/>
      <c r="M109" s="248">
        <v>30000</v>
      </c>
      <c r="N109" s="149"/>
      <c r="O109" s="362">
        <f t="shared" si="9"/>
        <v>90000</v>
      </c>
    </row>
    <row r="110" spans="1:15" x14ac:dyDescent="0.35">
      <c r="A110" s="29" t="s">
        <v>88</v>
      </c>
      <c r="B110" s="31"/>
      <c r="C110" s="109"/>
      <c r="D110" s="149"/>
      <c r="E110" s="181"/>
      <c r="F110" s="31"/>
      <c r="G110" s="129"/>
      <c r="H110" s="149"/>
      <c r="I110" s="129"/>
      <c r="J110" s="149"/>
      <c r="K110" s="109">
        <v>30000</v>
      </c>
      <c r="L110" s="235"/>
      <c r="M110" s="248">
        <v>0</v>
      </c>
      <c r="N110" s="149"/>
      <c r="O110" s="362">
        <f t="shared" si="9"/>
        <v>30000</v>
      </c>
    </row>
    <row r="111" spans="1:15" x14ac:dyDescent="0.35">
      <c r="A111" s="33" t="s">
        <v>89</v>
      </c>
      <c r="B111" s="31"/>
      <c r="C111" s="109"/>
      <c r="D111" s="149"/>
      <c r="E111" s="181">
        <v>10000</v>
      </c>
      <c r="F111" s="31"/>
      <c r="G111" s="129"/>
      <c r="H111" s="149"/>
      <c r="I111" s="129"/>
      <c r="J111" s="149"/>
      <c r="K111" s="109">
        <v>20000</v>
      </c>
      <c r="L111" s="235"/>
      <c r="M111" s="248">
        <v>50000</v>
      </c>
      <c r="N111" s="149"/>
      <c r="O111" s="362">
        <f t="shared" si="9"/>
        <v>80000</v>
      </c>
    </row>
    <row r="112" spans="1:15" x14ac:dyDescent="0.35">
      <c r="A112" s="33" t="s">
        <v>90</v>
      </c>
      <c r="B112" s="31"/>
      <c r="C112" s="109"/>
      <c r="D112" s="149"/>
      <c r="E112" s="181">
        <v>10000</v>
      </c>
      <c r="F112" s="31"/>
      <c r="G112" s="129"/>
      <c r="H112" s="149"/>
      <c r="I112" s="129"/>
      <c r="J112" s="149"/>
      <c r="K112" s="109"/>
      <c r="L112" s="235"/>
      <c r="M112" s="248">
        <v>20000</v>
      </c>
      <c r="N112" s="149"/>
      <c r="O112" s="362">
        <f t="shared" si="9"/>
        <v>30000</v>
      </c>
    </row>
    <row r="113" spans="1:15" x14ac:dyDescent="0.35">
      <c r="A113" s="33" t="s">
        <v>91</v>
      </c>
      <c r="B113" s="31"/>
      <c r="C113" s="109"/>
      <c r="D113" s="149"/>
      <c r="E113" s="181">
        <v>10000</v>
      </c>
      <c r="F113" s="31"/>
      <c r="G113" s="129">
        <v>20000</v>
      </c>
      <c r="H113" s="149"/>
      <c r="I113" s="129">
        <v>20000</v>
      </c>
      <c r="J113" s="149"/>
      <c r="K113" s="109">
        <v>10000</v>
      </c>
      <c r="L113" s="235"/>
      <c r="M113" s="248">
        <v>10000</v>
      </c>
      <c r="N113" s="149"/>
      <c r="O113" s="362">
        <f t="shared" si="9"/>
        <v>70000</v>
      </c>
    </row>
    <row r="114" spans="1:15" x14ac:dyDescent="0.35">
      <c r="A114" s="29" t="s">
        <v>92</v>
      </c>
      <c r="B114" s="31"/>
      <c r="C114" s="109"/>
      <c r="D114" s="149"/>
      <c r="E114" s="181"/>
      <c r="F114" s="31"/>
      <c r="G114" s="129"/>
      <c r="H114" s="149"/>
      <c r="I114" s="129"/>
      <c r="J114" s="149"/>
      <c r="K114" s="109"/>
      <c r="L114" s="235"/>
      <c r="M114" s="248">
        <v>0</v>
      </c>
      <c r="N114" s="149"/>
      <c r="O114" s="362">
        <f t="shared" si="9"/>
        <v>0</v>
      </c>
    </row>
    <row r="115" spans="1:15" x14ac:dyDescent="0.35">
      <c r="A115" s="93" t="s">
        <v>343</v>
      </c>
      <c r="B115" s="31"/>
      <c r="C115" s="109"/>
      <c r="D115" s="149"/>
      <c r="E115" s="181">
        <f>E4*80</f>
        <v>38800</v>
      </c>
      <c r="F115" s="31"/>
      <c r="G115" s="129">
        <f>G4*80</f>
        <v>51600</v>
      </c>
      <c r="H115" s="149"/>
      <c r="I115" s="129">
        <f>I4*80</f>
        <v>40000</v>
      </c>
      <c r="J115" s="358"/>
      <c r="K115" s="129">
        <f>K4*80</f>
        <v>40000</v>
      </c>
      <c r="L115" s="235"/>
      <c r="M115" s="279">
        <f>M4*80</f>
        <v>20000</v>
      </c>
      <c r="N115" s="301"/>
      <c r="O115" s="362">
        <f t="shared" si="9"/>
        <v>190400</v>
      </c>
    </row>
    <row r="116" spans="1:15" x14ac:dyDescent="0.35">
      <c r="A116" s="33" t="s">
        <v>93</v>
      </c>
      <c r="B116" s="31"/>
      <c r="C116" s="109"/>
      <c r="D116" s="149"/>
      <c r="E116" s="181">
        <v>6125</v>
      </c>
      <c r="F116" s="31"/>
      <c r="G116" s="129">
        <v>6125</v>
      </c>
      <c r="H116" s="149"/>
      <c r="I116" s="129">
        <v>6125</v>
      </c>
      <c r="J116" s="149"/>
      <c r="K116" s="109">
        <v>6000</v>
      </c>
      <c r="L116" s="235"/>
      <c r="M116" s="248">
        <v>6000</v>
      </c>
      <c r="N116" s="149"/>
      <c r="O116" s="362">
        <f t="shared" si="9"/>
        <v>30375</v>
      </c>
    </row>
    <row r="117" spans="1:15" x14ac:dyDescent="0.35">
      <c r="A117" s="93" t="s">
        <v>344</v>
      </c>
      <c r="B117" s="31"/>
      <c r="C117" s="109"/>
      <c r="D117" s="149"/>
      <c r="E117" s="181">
        <v>0</v>
      </c>
      <c r="F117" s="31"/>
      <c r="G117" s="129">
        <v>0</v>
      </c>
      <c r="H117" s="149"/>
      <c r="I117" s="129">
        <v>0</v>
      </c>
      <c r="J117" s="149"/>
      <c r="K117" s="109"/>
      <c r="L117" s="235"/>
      <c r="M117" s="248"/>
      <c r="N117" s="149"/>
      <c r="O117" s="362">
        <f t="shared" si="9"/>
        <v>0</v>
      </c>
    </row>
    <row r="118" spans="1:15" x14ac:dyDescent="0.35">
      <c r="A118" s="29" t="s">
        <v>94</v>
      </c>
      <c r="B118" s="31"/>
      <c r="C118" s="109"/>
      <c r="D118" s="149"/>
      <c r="E118" s="181">
        <f>E4*30</f>
        <v>14550</v>
      </c>
      <c r="F118" s="31"/>
      <c r="G118" s="129">
        <f>G4*30</f>
        <v>19350</v>
      </c>
      <c r="H118" s="149"/>
      <c r="I118" s="129">
        <f>I4*30</f>
        <v>15000</v>
      </c>
      <c r="J118" s="358"/>
      <c r="K118" s="129">
        <f>K4*30</f>
        <v>15000</v>
      </c>
      <c r="L118" s="235"/>
      <c r="M118" s="279">
        <f>M4*30</f>
        <v>7500</v>
      </c>
      <c r="N118" s="149"/>
      <c r="O118" s="362">
        <f t="shared" si="9"/>
        <v>71400</v>
      </c>
    </row>
    <row r="119" spans="1:15" x14ac:dyDescent="0.35">
      <c r="A119" s="29" t="s">
        <v>95</v>
      </c>
      <c r="B119" s="31"/>
      <c r="C119" s="109"/>
      <c r="D119" s="149"/>
      <c r="E119" s="181">
        <f>E4*100</f>
        <v>48500</v>
      </c>
      <c r="F119" s="31"/>
      <c r="G119" s="129">
        <f>G4*100</f>
        <v>64500</v>
      </c>
      <c r="H119" s="149"/>
      <c r="I119" s="129">
        <f>I4*100</f>
        <v>50000</v>
      </c>
      <c r="J119" s="358"/>
      <c r="K119" s="129">
        <f>K4*100</f>
        <v>50000</v>
      </c>
      <c r="L119" s="235"/>
      <c r="M119" s="279">
        <f>M4*100</f>
        <v>25000</v>
      </c>
      <c r="N119" s="301"/>
      <c r="O119" s="362">
        <f t="shared" si="9"/>
        <v>238000</v>
      </c>
    </row>
    <row r="120" spans="1:15" x14ac:dyDescent="0.35">
      <c r="A120" s="33" t="s">
        <v>96</v>
      </c>
      <c r="B120" s="31"/>
      <c r="C120" s="109"/>
      <c r="D120" s="149"/>
      <c r="E120" s="181">
        <f>27*300</f>
        <v>8100</v>
      </c>
      <c r="F120" s="31"/>
      <c r="G120" s="129">
        <f>29*300</f>
        <v>8700</v>
      </c>
      <c r="H120" s="149"/>
      <c r="I120" s="129">
        <f>29*300</f>
        <v>8700</v>
      </c>
      <c r="J120" s="358"/>
      <c r="K120" s="129">
        <f>31*300</f>
        <v>9300</v>
      </c>
      <c r="L120" s="235"/>
      <c r="M120" s="279">
        <f>18*300</f>
        <v>5400</v>
      </c>
      <c r="N120" s="301"/>
      <c r="O120" s="362">
        <f t="shared" si="9"/>
        <v>40200</v>
      </c>
    </row>
    <row r="121" spans="1:15" x14ac:dyDescent="0.35">
      <c r="A121" s="33" t="s">
        <v>345</v>
      </c>
      <c r="B121" s="31"/>
      <c r="C121" s="109"/>
      <c r="D121" s="149"/>
      <c r="E121" s="181">
        <f>E4*15</f>
        <v>7275</v>
      </c>
      <c r="F121" s="31"/>
      <c r="G121" s="129">
        <f>G4*15</f>
        <v>9675</v>
      </c>
      <c r="H121" s="149"/>
      <c r="I121" s="129">
        <f>I4*15</f>
        <v>7500</v>
      </c>
      <c r="J121" s="358"/>
      <c r="K121" s="129">
        <f>K4*15</f>
        <v>7500</v>
      </c>
      <c r="L121" s="235"/>
      <c r="M121" s="279">
        <f>M4*15</f>
        <v>3750</v>
      </c>
      <c r="N121" s="301"/>
      <c r="O121" s="362">
        <f t="shared" si="9"/>
        <v>35700</v>
      </c>
    </row>
    <row r="122" spans="1:15" x14ac:dyDescent="0.35">
      <c r="A122" s="29" t="s">
        <v>97</v>
      </c>
      <c r="B122" s="31"/>
      <c r="C122" s="109"/>
      <c r="D122" s="149"/>
      <c r="E122" s="181"/>
      <c r="F122" s="31"/>
      <c r="G122" s="129"/>
      <c r="H122" s="149"/>
      <c r="I122" s="129"/>
      <c r="J122" s="149"/>
      <c r="K122" s="109"/>
      <c r="L122" s="235"/>
      <c r="M122" s="248">
        <v>0</v>
      </c>
      <c r="N122" s="149"/>
      <c r="O122" s="362">
        <f t="shared" si="9"/>
        <v>0</v>
      </c>
    </row>
    <row r="123" spans="1:15" x14ac:dyDescent="0.35">
      <c r="A123" s="29" t="s">
        <v>346</v>
      </c>
      <c r="B123" s="31"/>
      <c r="C123" s="109"/>
      <c r="D123" s="149"/>
      <c r="E123" s="181"/>
      <c r="F123" s="31"/>
      <c r="G123" s="129"/>
      <c r="H123" s="149"/>
      <c r="I123" s="129"/>
      <c r="J123" s="149"/>
      <c r="K123" s="109"/>
      <c r="L123" s="235"/>
      <c r="M123" s="248">
        <v>0</v>
      </c>
      <c r="N123" s="149"/>
      <c r="O123" s="362">
        <f t="shared" si="9"/>
        <v>0</v>
      </c>
    </row>
    <row r="124" spans="1:15" x14ac:dyDescent="0.35">
      <c r="A124" s="29" t="s">
        <v>98</v>
      </c>
      <c r="B124" s="31"/>
      <c r="C124" s="109"/>
      <c r="D124" s="149"/>
      <c r="E124" s="181"/>
      <c r="F124" s="31"/>
      <c r="G124" s="129"/>
      <c r="H124" s="149"/>
      <c r="I124" s="129"/>
      <c r="J124" s="149"/>
      <c r="K124" s="109"/>
      <c r="L124" s="235"/>
      <c r="M124" s="248">
        <v>0</v>
      </c>
      <c r="N124" s="149"/>
      <c r="O124" s="362">
        <f t="shared" si="9"/>
        <v>0</v>
      </c>
    </row>
    <row r="125" spans="1:15" x14ac:dyDescent="0.35">
      <c r="A125" s="33" t="s">
        <v>99</v>
      </c>
      <c r="B125" s="31"/>
      <c r="C125" s="109"/>
      <c r="D125" s="149"/>
      <c r="E125" s="181"/>
      <c r="F125" s="31"/>
      <c r="G125" s="129"/>
      <c r="H125" s="149"/>
      <c r="I125" s="129"/>
      <c r="J125" s="149"/>
      <c r="K125" s="109"/>
      <c r="L125" s="235"/>
      <c r="M125" s="248">
        <v>0</v>
      </c>
      <c r="N125" s="149"/>
      <c r="O125" s="362">
        <f t="shared" si="9"/>
        <v>0</v>
      </c>
    </row>
    <row r="126" spans="1:15" x14ac:dyDescent="0.35">
      <c r="A126" s="29" t="s">
        <v>100</v>
      </c>
      <c r="B126" s="31"/>
      <c r="C126" s="109">
        <v>30000</v>
      </c>
      <c r="D126" s="149"/>
      <c r="E126" s="181"/>
      <c r="F126" s="31"/>
      <c r="G126" s="129"/>
      <c r="H126" s="149"/>
      <c r="I126" s="129"/>
      <c r="J126" s="149"/>
      <c r="K126" s="109"/>
      <c r="L126" s="235"/>
      <c r="M126" s="248">
        <v>0</v>
      </c>
      <c r="N126" s="149"/>
      <c r="O126" s="362">
        <f t="shared" si="9"/>
        <v>30000</v>
      </c>
    </row>
    <row r="127" spans="1:15" x14ac:dyDescent="0.35">
      <c r="A127" s="33" t="s">
        <v>101</v>
      </c>
      <c r="B127" s="31"/>
      <c r="C127" s="109"/>
      <c r="D127" s="149"/>
      <c r="E127" s="181">
        <v>10000</v>
      </c>
      <c r="F127" s="31"/>
      <c r="G127" s="129">
        <v>10000</v>
      </c>
      <c r="H127" s="149"/>
      <c r="I127" s="129">
        <v>10000</v>
      </c>
      <c r="J127" s="149"/>
      <c r="K127" s="109">
        <v>5000</v>
      </c>
      <c r="L127" s="235"/>
      <c r="M127" s="248">
        <v>0</v>
      </c>
      <c r="N127" s="149"/>
      <c r="O127" s="362">
        <f t="shared" si="9"/>
        <v>35000</v>
      </c>
    </row>
    <row r="128" spans="1:15" x14ac:dyDescent="0.35">
      <c r="A128" s="29" t="s">
        <v>102</v>
      </c>
      <c r="B128" s="31"/>
      <c r="C128" s="109"/>
      <c r="D128" s="149"/>
      <c r="E128" s="181">
        <f>E4*100</f>
        <v>48500</v>
      </c>
      <c r="F128" s="31"/>
      <c r="G128" s="129">
        <f>G4*100</f>
        <v>64500</v>
      </c>
      <c r="H128" s="149"/>
      <c r="I128" s="129">
        <f>I4*100</f>
        <v>50000</v>
      </c>
      <c r="J128" s="358"/>
      <c r="K128" s="129">
        <f>K4*100</f>
        <v>50000</v>
      </c>
      <c r="L128" s="235"/>
      <c r="M128" s="279">
        <f>M4*100</f>
        <v>25000</v>
      </c>
      <c r="N128" s="301"/>
      <c r="O128" s="362">
        <f t="shared" si="9"/>
        <v>238000</v>
      </c>
    </row>
    <row r="129" spans="1:15" x14ac:dyDescent="0.35">
      <c r="A129" s="29" t="s">
        <v>103</v>
      </c>
      <c r="B129" s="31"/>
      <c r="C129" s="109"/>
      <c r="D129" s="149"/>
      <c r="E129" s="181">
        <v>20000</v>
      </c>
      <c r="F129" s="31"/>
      <c r="G129" s="129">
        <v>20000</v>
      </c>
      <c r="H129" s="149"/>
      <c r="I129" s="129">
        <v>20000</v>
      </c>
      <c r="J129" s="149"/>
      <c r="K129" s="109">
        <v>15000</v>
      </c>
      <c r="L129" s="235"/>
      <c r="M129" s="248">
        <v>20000</v>
      </c>
      <c r="N129" s="149"/>
      <c r="O129" s="362">
        <f t="shared" si="9"/>
        <v>95000</v>
      </c>
    </row>
    <row r="130" spans="1:15" x14ac:dyDescent="0.35">
      <c r="A130" s="29" t="s">
        <v>104</v>
      </c>
      <c r="B130" s="31"/>
      <c r="C130" s="109"/>
      <c r="D130" s="149"/>
      <c r="E130" s="181">
        <v>200000</v>
      </c>
      <c r="F130" s="31"/>
      <c r="G130" s="129">
        <v>120000</v>
      </c>
      <c r="H130" s="149"/>
      <c r="I130" s="129">
        <v>120000</v>
      </c>
      <c r="J130" s="149"/>
      <c r="K130" s="109">
        <v>80000</v>
      </c>
      <c r="L130" s="235"/>
      <c r="M130" s="248">
        <v>100000</v>
      </c>
      <c r="N130" s="149"/>
      <c r="O130" s="362">
        <f t="shared" si="9"/>
        <v>620000</v>
      </c>
    </row>
    <row r="131" spans="1:15" x14ac:dyDescent="0.35">
      <c r="A131" s="29" t="s">
        <v>105</v>
      </c>
      <c r="B131" s="31"/>
      <c r="C131" s="109"/>
      <c r="D131" s="149"/>
      <c r="E131" s="181"/>
      <c r="F131" s="31"/>
      <c r="G131" s="129"/>
      <c r="H131" s="149"/>
      <c r="I131" s="129"/>
      <c r="J131" s="149"/>
      <c r="K131" s="109"/>
      <c r="L131" s="235"/>
      <c r="M131" s="248">
        <v>15000</v>
      </c>
      <c r="N131" s="149"/>
      <c r="O131" s="362">
        <f t="shared" si="9"/>
        <v>15000</v>
      </c>
    </row>
    <row r="132" spans="1:15" x14ac:dyDescent="0.35">
      <c r="A132" s="29" t="s">
        <v>106</v>
      </c>
      <c r="B132" s="31"/>
      <c r="C132" s="109"/>
      <c r="D132" s="149"/>
      <c r="E132" s="181">
        <v>200000</v>
      </c>
      <c r="F132" s="31"/>
      <c r="G132" s="129">
        <v>440000</v>
      </c>
      <c r="H132" s="149"/>
      <c r="I132" s="129">
        <v>440000</v>
      </c>
      <c r="J132" s="149"/>
      <c r="K132" s="109">
        <v>500000</v>
      </c>
      <c r="L132" s="235"/>
      <c r="M132" s="248">
        <v>80000</v>
      </c>
      <c r="N132" s="149"/>
      <c r="O132" s="362">
        <f t="shared" si="9"/>
        <v>1660000</v>
      </c>
    </row>
    <row r="133" spans="1:15" ht="15" thickBot="1" x14ac:dyDescent="0.4">
      <c r="A133" s="52" t="s">
        <v>107</v>
      </c>
      <c r="B133" s="36"/>
      <c r="C133" s="109">
        <v>10000</v>
      </c>
      <c r="D133" s="149"/>
      <c r="E133" s="182">
        <v>20000</v>
      </c>
      <c r="F133" s="36"/>
      <c r="G133" s="130">
        <v>20000</v>
      </c>
      <c r="H133" s="149"/>
      <c r="I133" s="130">
        <v>20000</v>
      </c>
      <c r="J133" s="149"/>
      <c r="K133" s="109">
        <v>20000</v>
      </c>
      <c r="L133" s="235"/>
      <c r="M133" s="248">
        <v>20000</v>
      </c>
      <c r="N133" s="149"/>
      <c r="O133" s="362">
        <f t="shared" si="9"/>
        <v>110000</v>
      </c>
    </row>
    <row r="134" spans="1:15" ht="15" thickBot="1" x14ac:dyDescent="0.4">
      <c r="A134" s="23" t="s">
        <v>108</v>
      </c>
      <c r="B134" s="24">
        <f>SUM(B97:B133)</f>
        <v>0</v>
      </c>
      <c r="C134" s="139">
        <f>SUM(C102:C133)</f>
        <v>80000</v>
      </c>
      <c r="D134" s="150"/>
      <c r="E134" s="108">
        <f>SUM(E97:E133)</f>
        <v>713863.08000000007</v>
      </c>
      <c r="F134" s="24">
        <f>SUM(F97:F133)</f>
        <v>0</v>
      </c>
      <c r="G134" s="25">
        <f>SUM(G97:G133)</f>
        <v>916886.89</v>
      </c>
      <c r="H134" s="150"/>
      <c r="I134" s="25">
        <f>SUM(I97:I133)</f>
        <v>869761.89</v>
      </c>
      <c r="J134" s="231"/>
      <c r="K134" s="25">
        <f>SUM(K97:K133)</f>
        <v>900103.3</v>
      </c>
      <c r="L134" s="235"/>
      <c r="M134" s="108">
        <f>SUM(M97:M133)</f>
        <v>513709.52</v>
      </c>
      <c r="N134" s="293"/>
      <c r="O134" s="362">
        <f t="shared" si="9"/>
        <v>3994324.68</v>
      </c>
    </row>
    <row r="135" spans="1:15" x14ac:dyDescent="0.35">
      <c r="A135" t="s">
        <v>109</v>
      </c>
      <c r="B135" s="27"/>
      <c r="C135" s="109"/>
      <c r="D135" s="149"/>
      <c r="E135" s="180">
        <v>50000</v>
      </c>
      <c r="F135" s="27"/>
      <c r="G135" s="128">
        <v>0</v>
      </c>
      <c r="H135" s="149"/>
      <c r="I135" s="128">
        <v>0</v>
      </c>
      <c r="J135" s="303"/>
      <c r="K135" s="28">
        <v>60000</v>
      </c>
      <c r="L135" s="235"/>
      <c r="M135" s="282">
        <v>60000</v>
      </c>
      <c r="N135" s="303"/>
      <c r="O135" s="362">
        <f t="shared" si="9"/>
        <v>170000</v>
      </c>
    </row>
    <row r="136" spans="1:15" x14ac:dyDescent="0.35">
      <c r="A136" s="29" t="s">
        <v>110</v>
      </c>
      <c r="B136" s="31"/>
      <c r="C136" s="109"/>
      <c r="D136" s="149"/>
      <c r="E136" s="181">
        <v>20000</v>
      </c>
      <c r="F136" s="31"/>
      <c r="G136" s="129">
        <v>30000</v>
      </c>
      <c r="H136" s="149"/>
      <c r="I136" s="129">
        <v>30000</v>
      </c>
      <c r="J136" s="149"/>
      <c r="K136" s="109">
        <v>15000</v>
      </c>
      <c r="L136" s="235"/>
      <c r="M136" s="248">
        <v>20000</v>
      </c>
      <c r="N136" s="149"/>
      <c r="O136" s="362">
        <f t="shared" si="9"/>
        <v>115000</v>
      </c>
    </row>
    <row r="137" spans="1:15" x14ac:dyDescent="0.35">
      <c r="A137" s="33" t="s">
        <v>111</v>
      </c>
      <c r="B137" s="31"/>
      <c r="C137" s="109"/>
      <c r="D137" s="149"/>
      <c r="E137" s="181"/>
      <c r="F137" s="31"/>
      <c r="G137" s="129"/>
      <c r="H137" s="149"/>
      <c r="I137" s="129"/>
      <c r="J137" s="149"/>
      <c r="K137" s="109"/>
      <c r="L137" s="235"/>
      <c r="M137" s="248">
        <v>0</v>
      </c>
      <c r="N137" s="149"/>
      <c r="O137" s="362">
        <f t="shared" si="9"/>
        <v>0</v>
      </c>
    </row>
    <row r="138" spans="1:15" x14ac:dyDescent="0.35">
      <c r="A138" s="33" t="s">
        <v>112</v>
      </c>
      <c r="B138" s="31"/>
      <c r="C138" s="109">
        <v>200000</v>
      </c>
      <c r="D138" s="149"/>
      <c r="E138" s="181">
        <v>10000</v>
      </c>
      <c r="F138" s="31"/>
      <c r="G138" s="129">
        <v>10000</v>
      </c>
      <c r="H138" s="149"/>
      <c r="I138" s="129">
        <v>10000</v>
      </c>
      <c r="J138" s="149"/>
      <c r="K138" s="109"/>
      <c r="L138" s="235"/>
      <c r="M138" s="248">
        <v>0</v>
      </c>
      <c r="N138" s="149"/>
      <c r="O138" s="362">
        <f t="shared" si="9"/>
        <v>230000</v>
      </c>
    </row>
    <row r="139" spans="1:15" x14ac:dyDescent="0.35">
      <c r="A139" s="29" t="s">
        <v>113</v>
      </c>
      <c r="B139" s="31"/>
      <c r="C139" s="109"/>
      <c r="D139" s="149"/>
      <c r="E139" s="181"/>
      <c r="F139" s="31"/>
      <c r="G139" s="129"/>
      <c r="H139" s="149"/>
      <c r="I139" s="129"/>
      <c r="J139" s="149"/>
      <c r="K139" s="109"/>
      <c r="L139" s="235"/>
      <c r="M139" s="248">
        <v>0</v>
      </c>
      <c r="N139" s="149"/>
      <c r="O139" s="362">
        <f t="shared" si="9"/>
        <v>0</v>
      </c>
    </row>
    <row r="140" spans="1:15" x14ac:dyDescent="0.35">
      <c r="A140" s="29" t="s">
        <v>114</v>
      </c>
      <c r="B140" s="31"/>
      <c r="C140" s="109"/>
      <c r="D140" s="149"/>
      <c r="E140" s="181"/>
      <c r="F140" s="31"/>
      <c r="G140" s="129"/>
      <c r="H140" s="149"/>
      <c r="I140" s="129"/>
      <c r="J140" s="149"/>
      <c r="K140" s="109"/>
      <c r="L140" s="235"/>
      <c r="M140" s="248">
        <v>0</v>
      </c>
      <c r="N140" s="149"/>
      <c r="O140" s="362">
        <f t="shared" si="9"/>
        <v>0</v>
      </c>
    </row>
    <row r="141" spans="1:15" x14ac:dyDescent="0.35">
      <c r="A141" s="29" t="s">
        <v>115</v>
      </c>
      <c r="B141" s="31"/>
      <c r="C141" s="109"/>
      <c r="D141" s="149"/>
      <c r="E141" s="181"/>
      <c r="F141" s="31"/>
      <c r="G141" s="129"/>
      <c r="H141" s="149"/>
      <c r="I141" s="129"/>
      <c r="J141" s="149"/>
      <c r="K141" s="109">
        <v>20000</v>
      </c>
      <c r="L141" s="235"/>
      <c r="M141" s="248">
        <v>0</v>
      </c>
      <c r="N141" s="149"/>
      <c r="O141" s="362">
        <f t="shared" ref="O141:O180" si="14">+C141+E141+G141+I141+K141+M141</f>
        <v>20000</v>
      </c>
    </row>
    <row r="142" spans="1:15" x14ac:dyDescent="0.35">
      <c r="A142" s="29" t="s">
        <v>116</v>
      </c>
      <c r="B142" s="31"/>
      <c r="C142" s="109"/>
      <c r="D142" s="149"/>
      <c r="E142" s="181">
        <v>2621</v>
      </c>
      <c r="F142" s="31"/>
      <c r="G142" s="129">
        <v>2621</v>
      </c>
      <c r="H142" s="149"/>
      <c r="I142" s="129">
        <v>2621</v>
      </c>
      <c r="J142" s="149"/>
      <c r="K142" s="109">
        <v>3000</v>
      </c>
      <c r="L142" s="235"/>
      <c r="M142" s="248">
        <v>0</v>
      </c>
      <c r="N142" s="149"/>
      <c r="O142" s="362">
        <f t="shared" si="14"/>
        <v>10863</v>
      </c>
    </row>
    <row r="143" spans="1:15" x14ac:dyDescent="0.35">
      <c r="A143" s="29" t="s">
        <v>117</v>
      </c>
      <c r="B143" s="31"/>
      <c r="C143" s="109"/>
      <c r="D143" s="149"/>
      <c r="E143" s="181"/>
      <c r="F143" s="31"/>
      <c r="G143" s="129"/>
      <c r="H143" s="149"/>
      <c r="I143" s="129"/>
      <c r="J143" s="149"/>
      <c r="K143" s="109"/>
      <c r="L143" s="235"/>
      <c r="M143" s="248">
        <v>0</v>
      </c>
      <c r="N143" s="149"/>
      <c r="O143" s="362">
        <f t="shared" si="14"/>
        <v>0</v>
      </c>
    </row>
    <row r="144" spans="1:15" x14ac:dyDescent="0.35">
      <c r="A144" s="29" t="s">
        <v>118</v>
      </c>
      <c r="B144" s="31"/>
      <c r="C144" s="109"/>
      <c r="D144" s="149"/>
      <c r="E144" s="181"/>
      <c r="F144" s="31"/>
      <c r="G144" s="129"/>
      <c r="H144" s="149"/>
      <c r="I144" s="129"/>
      <c r="J144" s="149"/>
      <c r="K144" s="109"/>
      <c r="L144" s="235"/>
      <c r="M144" s="248">
        <v>0</v>
      </c>
      <c r="N144" s="149"/>
      <c r="O144" s="362">
        <f t="shared" si="14"/>
        <v>0</v>
      </c>
    </row>
    <row r="145" spans="1:15" x14ac:dyDescent="0.35">
      <c r="A145" s="29" t="s">
        <v>119</v>
      </c>
      <c r="B145" s="31"/>
      <c r="C145" s="109"/>
      <c r="D145" s="149"/>
      <c r="E145" s="181"/>
      <c r="F145" s="31"/>
      <c r="G145" s="129"/>
      <c r="H145" s="149"/>
      <c r="I145" s="129"/>
      <c r="J145" s="149"/>
      <c r="K145" s="109"/>
      <c r="L145" s="235"/>
      <c r="M145" s="248"/>
      <c r="N145" s="149"/>
      <c r="O145" s="362">
        <f t="shared" si="14"/>
        <v>0</v>
      </c>
    </row>
    <row r="146" spans="1:15" x14ac:dyDescent="0.35">
      <c r="A146" s="29" t="s">
        <v>120</v>
      </c>
      <c r="B146" s="31"/>
      <c r="C146" s="109"/>
      <c r="D146" s="149"/>
      <c r="E146" s="181">
        <v>80000</v>
      </c>
      <c r="F146" s="31"/>
      <c r="G146" s="129">
        <v>80000</v>
      </c>
      <c r="H146" s="149"/>
      <c r="I146" s="129">
        <v>80000</v>
      </c>
      <c r="J146" s="149"/>
      <c r="K146" s="109">
        <v>120000</v>
      </c>
      <c r="L146" s="235"/>
      <c r="M146" s="248">
        <v>60000</v>
      </c>
      <c r="N146" s="149"/>
      <c r="O146" s="362">
        <f t="shared" si="14"/>
        <v>420000</v>
      </c>
    </row>
    <row r="147" spans="1:15" x14ac:dyDescent="0.35">
      <c r="A147" s="33" t="s">
        <v>121</v>
      </c>
      <c r="B147" s="31"/>
      <c r="C147" s="109"/>
      <c r="D147" s="149"/>
      <c r="E147" s="181"/>
      <c r="F147" s="31"/>
      <c r="G147" s="129"/>
      <c r="H147" s="149"/>
      <c r="I147" s="129"/>
      <c r="J147" s="149"/>
      <c r="K147" s="109"/>
      <c r="L147" s="235"/>
      <c r="M147" s="248"/>
      <c r="N147" s="149"/>
      <c r="O147" s="362">
        <f t="shared" si="14"/>
        <v>0</v>
      </c>
    </row>
    <row r="148" spans="1:15" x14ac:dyDescent="0.35">
      <c r="A148" s="29" t="s">
        <v>122</v>
      </c>
      <c r="B148" s="31"/>
      <c r="C148" s="109"/>
      <c r="D148" s="149"/>
      <c r="E148" s="181">
        <v>10000</v>
      </c>
      <c r="F148" s="31"/>
      <c r="G148" s="129">
        <v>10000</v>
      </c>
      <c r="H148" s="149"/>
      <c r="I148" s="129">
        <v>10000</v>
      </c>
      <c r="J148" s="149"/>
      <c r="K148" s="109">
        <v>10000</v>
      </c>
      <c r="L148" s="235"/>
      <c r="M148" s="248">
        <v>10000</v>
      </c>
      <c r="N148" s="149"/>
      <c r="O148" s="362">
        <f t="shared" si="14"/>
        <v>50000</v>
      </c>
    </row>
    <row r="149" spans="1:15" x14ac:dyDescent="0.35">
      <c r="A149" s="33" t="s">
        <v>123</v>
      </c>
      <c r="B149" s="31"/>
      <c r="C149" s="109"/>
      <c r="D149" s="149"/>
      <c r="E149" s="181"/>
      <c r="F149" s="31"/>
      <c r="G149" s="129"/>
      <c r="H149" s="149"/>
      <c r="I149" s="129"/>
      <c r="J149" s="149"/>
      <c r="K149" s="109"/>
      <c r="L149" s="235"/>
      <c r="M149" s="248">
        <v>0</v>
      </c>
      <c r="N149" s="149"/>
      <c r="O149" s="362">
        <f t="shared" si="14"/>
        <v>0</v>
      </c>
    </row>
    <row r="150" spans="1:15" x14ac:dyDescent="0.35">
      <c r="A150" s="29" t="s">
        <v>124</v>
      </c>
      <c r="B150" s="31"/>
      <c r="C150" s="109"/>
      <c r="D150" s="149"/>
      <c r="E150" s="181"/>
      <c r="F150" s="31"/>
      <c r="G150" s="129"/>
      <c r="H150" s="149"/>
      <c r="I150" s="129"/>
      <c r="J150" s="149"/>
      <c r="K150" s="109"/>
      <c r="L150" s="235"/>
      <c r="M150" s="248">
        <v>0</v>
      </c>
      <c r="N150" s="149"/>
      <c r="O150" s="362">
        <f t="shared" si="14"/>
        <v>0</v>
      </c>
    </row>
    <row r="151" spans="1:15" x14ac:dyDescent="0.35">
      <c r="A151" s="29" t="s">
        <v>125</v>
      </c>
      <c r="B151" s="31"/>
      <c r="C151" s="109"/>
      <c r="D151" s="149"/>
      <c r="E151" s="181"/>
      <c r="F151" s="31"/>
      <c r="G151" s="129"/>
      <c r="H151" s="149"/>
      <c r="I151" s="129"/>
      <c r="J151" s="149"/>
      <c r="K151" s="109"/>
      <c r="L151" s="235"/>
      <c r="M151" s="248">
        <v>0</v>
      </c>
      <c r="N151" s="149"/>
      <c r="O151" s="362">
        <f t="shared" si="14"/>
        <v>0</v>
      </c>
    </row>
    <row r="152" spans="1:15" x14ac:dyDescent="0.35">
      <c r="A152" t="s">
        <v>347</v>
      </c>
      <c r="B152" s="31"/>
      <c r="C152" s="109"/>
      <c r="D152" s="149"/>
      <c r="E152" s="181"/>
      <c r="F152" s="31"/>
      <c r="G152" s="129">
        <v>15000</v>
      </c>
      <c r="H152" s="149"/>
      <c r="I152" s="129">
        <v>15000</v>
      </c>
      <c r="J152" s="149"/>
      <c r="K152" s="109">
        <v>15000</v>
      </c>
      <c r="L152" s="235"/>
      <c r="M152" s="248">
        <v>15000</v>
      </c>
      <c r="N152" s="149"/>
      <c r="O152" s="362">
        <f t="shared" si="14"/>
        <v>60000</v>
      </c>
    </row>
    <row r="153" spans="1:15" x14ac:dyDescent="0.35">
      <c r="A153" s="29" t="s">
        <v>126</v>
      </c>
      <c r="B153" s="31"/>
      <c r="C153" s="109"/>
      <c r="D153" s="149"/>
      <c r="E153" s="181"/>
      <c r="F153" s="31"/>
      <c r="G153" s="129"/>
      <c r="H153" s="149"/>
      <c r="I153" s="129"/>
      <c r="J153" s="149"/>
      <c r="K153" s="109"/>
      <c r="L153" s="235"/>
      <c r="M153" s="248">
        <v>0</v>
      </c>
      <c r="N153" s="149"/>
      <c r="O153" s="362">
        <f t="shared" si="14"/>
        <v>0</v>
      </c>
    </row>
    <row r="154" spans="1:15" x14ac:dyDescent="0.35">
      <c r="A154" s="29" t="s">
        <v>127</v>
      </c>
      <c r="B154" s="31"/>
      <c r="C154" s="109"/>
      <c r="D154" s="149"/>
      <c r="E154" s="181">
        <v>300</v>
      </c>
      <c r="F154" s="31"/>
      <c r="G154" s="129">
        <v>300</v>
      </c>
      <c r="H154" s="149"/>
      <c r="I154" s="129">
        <v>300</v>
      </c>
      <c r="J154" s="149"/>
      <c r="K154" s="109">
        <v>300</v>
      </c>
      <c r="L154" s="235"/>
      <c r="M154" s="248">
        <v>1000</v>
      </c>
      <c r="N154" s="149"/>
      <c r="O154" s="362">
        <f t="shared" si="14"/>
        <v>2200</v>
      </c>
    </row>
    <row r="155" spans="1:15" x14ac:dyDescent="0.35">
      <c r="A155" s="33" t="s">
        <v>128</v>
      </c>
      <c r="B155" s="31"/>
      <c r="C155" s="109"/>
      <c r="D155" s="149"/>
      <c r="E155" s="181"/>
      <c r="F155" s="31"/>
      <c r="G155" s="129"/>
      <c r="H155" s="149"/>
      <c r="I155" s="129"/>
      <c r="J155" s="149"/>
      <c r="K155" s="109"/>
      <c r="L155" s="235"/>
      <c r="M155" s="248">
        <v>0</v>
      </c>
      <c r="N155" s="149"/>
      <c r="O155" s="362">
        <f t="shared" si="14"/>
        <v>0</v>
      </c>
    </row>
    <row r="156" spans="1:15" x14ac:dyDescent="0.35">
      <c r="A156" s="29" t="s">
        <v>129</v>
      </c>
      <c r="B156" s="31"/>
      <c r="C156" s="109"/>
      <c r="D156" s="149"/>
      <c r="E156" s="181"/>
      <c r="F156" s="31"/>
      <c r="G156" s="129"/>
      <c r="H156" s="149"/>
      <c r="I156" s="129"/>
      <c r="J156" s="149"/>
      <c r="K156" s="109"/>
      <c r="L156" s="235"/>
      <c r="M156" s="250">
        <v>0</v>
      </c>
      <c r="N156" s="304"/>
      <c r="O156" s="362">
        <f t="shared" si="14"/>
        <v>0</v>
      </c>
    </row>
    <row r="157" spans="1:15" x14ac:dyDescent="0.35">
      <c r="A157" s="29" t="s">
        <v>130</v>
      </c>
      <c r="B157" s="31"/>
      <c r="C157" s="109"/>
      <c r="D157" s="149"/>
      <c r="E157" s="181">
        <v>5000</v>
      </c>
      <c r="F157" s="31"/>
      <c r="G157" s="129">
        <v>5000</v>
      </c>
      <c r="H157" s="149"/>
      <c r="I157" s="129">
        <v>5000</v>
      </c>
      <c r="J157" s="149"/>
      <c r="K157" s="109">
        <v>5000</v>
      </c>
      <c r="L157" s="235"/>
      <c r="M157" s="250">
        <v>5000</v>
      </c>
      <c r="N157" s="304"/>
      <c r="O157" s="362">
        <f t="shared" si="14"/>
        <v>25000</v>
      </c>
    </row>
    <row r="158" spans="1:15" x14ac:dyDescent="0.35">
      <c r="A158" s="33" t="s">
        <v>131</v>
      </c>
      <c r="B158" s="31"/>
      <c r="C158" s="109"/>
      <c r="D158" s="149"/>
      <c r="E158" s="181"/>
      <c r="F158" s="31"/>
      <c r="G158" s="129"/>
      <c r="H158" s="149"/>
      <c r="I158" s="129"/>
      <c r="J158" s="149"/>
      <c r="K158" s="109"/>
      <c r="L158" s="235"/>
      <c r="M158" s="248">
        <v>0</v>
      </c>
      <c r="N158" s="149"/>
      <c r="O158" s="362">
        <f t="shared" si="14"/>
        <v>0</v>
      </c>
    </row>
    <row r="159" spans="1:15" ht="15" thickBot="1" x14ac:dyDescent="0.4">
      <c r="A159" s="52" t="s">
        <v>348</v>
      </c>
      <c r="B159" s="36"/>
      <c r="C159" s="109"/>
      <c r="D159" s="149"/>
      <c r="E159" s="182">
        <v>15000</v>
      </c>
      <c r="F159" s="36"/>
      <c r="G159" s="130">
        <v>15000</v>
      </c>
      <c r="H159" s="149"/>
      <c r="I159" s="130">
        <v>15000</v>
      </c>
      <c r="J159" s="149"/>
      <c r="K159" s="109">
        <v>15000</v>
      </c>
      <c r="L159" s="235"/>
      <c r="M159" s="249">
        <v>15000</v>
      </c>
      <c r="N159" s="296"/>
      <c r="O159" s="362">
        <f t="shared" si="14"/>
        <v>75000</v>
      </c>
    </row>
    <row r="160" spans="1:15" ht="15" thickBot="1" x14ac:dyDescent="0.4">
      <c r="A160" s="23" t="s">
        <v>132</v>
      </c>
      <c r="B160" s="24">
        <f t="shared" ref="B160" si="15">SUM(B135:B159)</f>
        <v>0</v>
      </c>
      <c r="C160" s="108">
        <f>SUM(C135:C159)</f>
        <v>200000</v>
      </c>
      <c r="D160" s="150"/>
      <c r="E160" s="108">
        <f>SUM(E135:E159)</f>
        <v>192921</v>
      </c>
      <c r="F160" s="24">
        <f t="shared" ref="F160" si="16">SUM(F135:F159)</f>
        <v>0</v>
      </c>
      <c r="G160" s="25">
        <f>SUM(G135:G159)</f>
        <v>167921</v>
      </c>
      <c r="H160" s="150"/>
      <c r="I160" s="25">
        <f>SUM(I135:I159)</f>
        <v>167921</v>
      </c>
      <c r="J160" s="231"/>
      <c r="K160" s="25">
        <f>SUM(K135:K159)</f>
        <v>263300</v>
      </c>
      <c r="L160" s="235"/>
      <c r="M160" s="108">
        <f>SUM(M135:M159)</f>
        <v>186000</v>
      </c>
      <c r="N160" s="293"/>
      <c r="O160" s="362">
        <f t="shared" si="14"/>
        <v>1178063</v>
      </c>
    </row>
    <row r="161" spans="1:15" x14ac:dyDescent="0.35">
      <c r="A161" s="53" t="s">
        <v>133</v>
      </c>
      <c r="B161" s="27"/>
      <c r="C161" s="109"/>
      <c r="D161" s="149"/>
      <c r="E161" s="180">
        <v>5000</v>
      </c>
      <c r="F161" s="27"/>
      <c r="G161" s="128">
        <v>5000</v>
      </c>
      <c r="H161" s="149"/>
      <c r="I161" s="128">
        <v>5000</v>
      </c>
      <c r="J161" s="149"/>
      <c r="K161" s="109">
        <v>5000</v>
      </c>
      <c r="L161" s="235"/>
      <c r="M161" s="247">
        <v>5000</v>
      </c>
      <c r="N161" s="294"/>
      <c r="O161" s="362">
        <f t="shared" si="14"/>
        <v>25000</v>
      </c>
    </row>
    <row r="162" spans="1:15" x14ac:dyDescent="0.35">
      <c r="A162" s="29" t="s">
        <v>134</v>
      </c>
      <c r="B162" s="31"/>
      <c r="C162" s="109"/>
      <c r="D162" s="149"/>
      <c r="E162" s="181"/>
      <c r="F162" s="31"/>
      <c r="G162" s="129"/>
      <c r="H162" s="149"/>
      <c r="I162" s="129"/>
      <c r="J162" s="149"/>
      <c r="K162" s="109"/>
      <c r="L162" s="235"/>
      <c r="M162" s="248">
        <v>0</v>
      </c>
      <c r="N162" s="149"/>
      <c r="O162" s="362">
        <f t="shared" si="14"/>
        <v>0</v>
      </c>
    </row>
    <row r="163" spans="1:15" x14ac:dyDescent="0.35">
      <c r="A163" s="47" t="s">
        <v>135</v>
      </c>
      <c r="B163" s="31"/>
      <c r="C163" s="109"/>
      <c r="D163" s="149"/>
      <c r="E163" s="181">
        <v>120000</v>
      </c>
      <c r="F163" s="31"/>
      <c r="G163" s="129">
        <v>150000</v>
      </c>
      <c r="H163" s="149"/>
      <c r="I163" s="129">
        <v>150000</v>
      </c>
      <c r="J163" s="149"/>
      <c r="K163" s="109">
        <v>100000</v>
      </c>
      <c r="L163" s="235"/>
      <c r="M163" s="248">
        <v>292380</v>
      </c>
      <c r="N163" s="149"/>
      <c r="O163" s="362">
        <f t="shared" si="14"/>
        <v>812380</v>
      </c>
    </row>
    <row r="164" spans="1:15" x14ac:dyDescent="0.35">
      <c r="A164" s="47" t="s">
        <v>136</v>
      </c>
      <c r="B164" s="31"/>
      <c r="C164" s="109"/>
      <c r="D164" s="149"/>
      <c r="E164" s="181"/>
      <c r="F164" s="31"/>
      <c r="G164" s="129"/>
      <c r="H164" s="149"/>
      <c r="I164" s="129"/>
      <c r="J164" s="149"/>
      <c r="K164" s="109">
        <v>10000</v>
      </c>
      <c r="L164" s="235"/>
      <c r="M164" s="248">
        <v>0</v>
      </c>
      <c r="N164" s="149"/>
      <c r="O164" s="362">
        <f t="shared" si="14"/>
        <v>10000</v>
      </c>
    </row>
    <row r="165" spans="1:15" x14ac:dyDescent="0.35">
      <c r="A165" s="47" t="s">
        <v>137</v>
      </c>
      <c r="B165" s="31"/>
      <c r="C165" s="109"/>
      <c r="D165" s="149"/>
      <c r="E165" s="181"/>
      <c r="F165" s="31"/>
      <c r="G165" s="129"/>
      <c r="H165" s="149"/>
      <c r="I165" s="129"/>
      <c r="J165" s="149"/>
      <c r="K165" s="109">
        <v>10000</v>
      </c>
      <c r="L165" s="235"/>
      <c r="M165" s="248">
        <v>0</v>
      </c>
      <c r="N165" s="149"/>
      <c r="O165" s="362">
        <f t="shared" si="14"/>
        <v>10000</v>
      </c>
    </row>
    <row r="166" spans="1:15" x14ac:dyDescent="0.35">
      <c r="A166" s="47" t="s">
        <v>138</v>
      </c>
      <c r="B166" s="31"/>
      <c r="C166" s="109"/>
      <c r="D166" s="149"/>
      <c r="E166" s="181"/>
      <c r="F166" s="31"/>
      <c r="G166" s="129"/>
      <c r="H166" s="149"/>
      <c r="I166" s="129"/>
      <c r="J166" s="149"/>
      <c r="K166" s="109"/>
      <c r="L166" s="235"/>
      <c r="M166" s="248">
        <v>0</v>
      </c>
      <c r="N166" s="149"/>
      <c r="O166" s="362">
        <f t="shared" si="14"/>
        <v>0</v>
      </c>
    </row>
    <row r="167" spans="1:15" x14ac:dyDescent="0.35">
      <c r="A167" s="47" t="s">
        <v>139</v>
      </c>
      <c r="B167" s="31"/>
      <c r="C167" s="109"/>
      <c r="D167" s="149"/>
      <c r="E167" s="181">
        <v>25000</v>
      </c>
      <c r="F167" s="31"/>
      <c r="G167" s="129">
        <v>40000</v>
      </c>
      <c r="H167" s="149"/>
      <c r="I167" s="129">
        <v>40000</v>
      </c>
      <c r="J167" s="149"/>
      <c r="K167" s="109">
        <v>60000</v>
      </c>
      <c r="L167" s="235"/>
      <c r="M167" s="248">
        <v>50000</v>
      </c>
      <c r="N167" s="149"/>
      <c r="O167" s="362">
        <f t="shared" si="14"/>
        <v>215000</v>
      </c>
    </row>
    <row r="168" spans="1:15" x14ac:dyDescent="0.35">
      <c r="A168" s="29" t="s">
        <v>140</v>
      </c>
      <c r="B168" s="31"/>
      <c r="C168" s="109"/>
      <c r="D168" s="149"/>
      <c r="E168" s="181">
        <v>10000</v>
      </c>
      <c r="F168" s="31"/>
      <c r="G168" s="129">
        <v>10000</v>
      </c>
      <c r="H168" s="149"/>
      <c r="I168" s="129">
        <v>10000</v>
      </c>
      <c r="J168" s="149"/>
      <c r="K168" s="109"/>
      <c r="L168" s="235"/>
      <c r="M168" s="248">
        <v>0</v>
      </c>
      <c r="N168" s="149"/>
      <c r="O168" s="362">
        <f t="shared" si="14"/>
        <v>30000</v>
      </c>
    </row>
    <row r="169" spans="1:15" x14ac:dyDescent="0.35">
      <c r="A169" s="29" t="s">
        <v>141</v>
      </c>
      <c r="B169" s="31"/>
      <c r="C169" s="109"/>
      <c r="D169" s="149"/>
      <c r="E169" s="181"/>
      <c r="F169" s="31"/>
      <c r="G169" s="129"/>
      <c r="H169" s="149"/>
      <c r="I169" s="129"/>
      <c r="J169" s="149"/>
      <c r="K169" s="109"/>
      <c r="L169" s="235"/>
      <c r="M169" s="366">
        <v>0</v>
      </c>
      <c r="N169" s="149"/>
      <c r="O169" s="362">
        <f t="shared" si="14"/>
        <v>0</v>
      </c>
    </row>
    <row r="170" spans="1:15" x14ac:dyDescent="0.35">
      <c r="A170" s="29" t="s">
        <v>142</v>
      </c>
      <c r="B170" s="31"/>
      <c r="C170" s="109"/>
      <c r="D170" s="149"/>
      <c r="E170" s="181"/>
      <c r="F170" s="31"/>
      <c r="G170" s="129"/>
      <c r="H170" s="149"/>
      <c r="I170" s="129"/>
      <c r="J170" s="149"/>
      <c r="K170" s="109"/>
      <c r="L170" s="235"/>
      <c r="M170" s="248">
        <v>0</v>
      </c>
      <c r="N170" s="149"/>
      <c r="O170" s="362">
        <f t="shared" si="14"/>
        <v>0</v>
      </c>
    </row>
    <row r="171" spans="1:15" ht="15" thickBot="1" x14ac:dyDescent="0.4">
      <c r="A171" s="52" t="s">
        <v>143</v>
      </c>
      <c r="B171" s="36"/>
      <c r="C171" s="109"/>
      <c r="D171" s="149"/>
      <c r="E171" s="182">
        <v>0</v>
      </c>
      <c r="F171" s="36"/>
      <c r="G171" s="130">
        <v>0</v>
      </c>
      <c r="H171" s="149"/>
      <c r="I171" s="130">
        <v>0</v>
      </c>
      <c r="J171" s="149"/>
      <c r="K171" s="109"/>
      <c r="L171" s="235"/>
      <c r="M171" s="249">
        <v>0</v>
      </c>
      <c r="N171" s="296"/>
      <c r="O171" s="362">
        <f t="shared" si="14"/>
        <v>0</v>
      </c>
    </row>
    <row r="172" spans="1:15" ht="15" thickBot="1" x14ac:dyDescent="0.4">
      <c r="A172" s="40" t="s">
        <v>144</v>
      </c>
      <c r="B172" s="49">
        <f t="shared" ref="B172:K172" si="17">SUM(B161:B171)</f>
        <v>0</v>
      </c>
      <c r="C172" s="111">
        <f t="shared" si="17"/>
        <v>0</v>
      </c>
      <c r="D172" s="150"/>
      <c r="E172" s="111">
        <f t="shared" si="17"/>
        <v>160000</v>
      </c>
      <c r="F172" s="49">
        <f t="shared" si="17"/>
        <v>0</v>
      </c>
      <c r="G172" s="42">
        <f t="shared" si="17"/>
        <v>205000</v>
      </c>
      <c r="H172" s="150"/>
      <c r="I172" s="42">
        <f t="shared" ref="I172" si="18">SUM(I161:I171)</f>
        <v>205000</v>
      </c>
      <c r="J172" s="231"/>
      <c r="K172" s="42">
        <f t="shared" si="17"/>
        <v>185000</v>
      </c>
      <c r="L172" s="235"/>
      <c r="M172" s="111">
        <f t="shared" ref="M172" si="19">SUM(M161:M171)</f>
        <v>347380</v>
      </c>
      <c r="N172" s="302"/>
      <c r="O172" s="362">
        <f t="shared" si="14"/>
        <v>1102380</v>
      </c>
    </row>
    <row r="173" spans="1:15" ht="19" thickBot="1" x14ac:dyDescent="0.5">
      <c r="A173" s="54" t="s">
        <v>145</v>
      </c>
      <c r="B173" s="56">
        <f>B172+B160+B134+B96+B82</f>
        <v>0</v>
      </c>
      <c r="C173" s="113">
        <f>C172+C160+C134+C96+C82</f>
        <v>3401036.4</v>
      </c>
      <c r="D173" s="152"/>
      <c r="E173" s="113">
        <f>E172+E160+E134+E96+E82</f>
        <v>6273962.586666666</v>
      </c>
      <c r="F173" s="56">
        <f>F172+F160+F134+F96+F82</f>
        <v>0</v>
      </c>
      <c r="G173" s="55">
        <f>G172+G160+G134+G96+G82</f>
        <v>7103714.8973333333</v>
      </c>
      <c r="H173" s="152"/>
      <c r="I173" s="55">
        <f>I172+I160+I134+I96+I82</f>
        <v>6119461.9378333334</v>
      </c>
      <c r="J173" s="298"/>
      <c r="K173" s="55">
        <f>K172+K160+K134+K96+K82</f>
        <v>7581406.5333333332</v>
      </c>
      <c r="L173" s="235"/>
      <c r="M173" s="113">
        <f>M172+M160+M134+M96+M82</f>
        <v>4695169.6333333328</v>
      </c>
      <c r="N173" s="305"/>
      <c r="O173" s="362">
        <f t="shared" si="14"/>
        <v>35174751.988499999</v>
      </c>
    </row>
    <row r="174" spans="1:15" ht="15.5" x14ac:dyDescent="0.35">
      <c r="A174" s="57"/>
      <c r="B174" s="58"/>
      <c r="C174" s="141"/>
      <c r="D174" s="151"/>
      <c r="E174" s="184"/>
      <c r="F174" s="58"/>
      <c r="G174" s="132"/>
      <c r="H174" s="151"/>
      <c r="I174" s="132"/>
      <c r="J174" s="151"/>
      <c r="K174" s="141"/>
      <c r="L174" s="236"/>
      <c r="M174" s="114"/>
      <c r="N174" s="306"/>
      <c r="O174" s="362">
        <f t="shared" si="14"/>
        <v>0</v>
      </c>
    </row>
    <row r="175" spans="1:15" ht="15.5" x14ac:dyDescent="0.35">
      <c r="A175" s="59" t="s">
        <v>146</v>
      </c>
      <c r="B175" s="60"/>
      <c r="C175" s="185">
        <f>C57-C173</f>
        <v>697743.18000000017</v>
      </c>
      <c r="D175" s="151"/>
      <c r="E175" s="185">
        <f>E57-E173</f>
        <v>9545.4133333340287</v>
      </c>
      <c r="F175" s="60"/>
      <c r="G175" s="133">
        <f>G57-G173</f>
        <v>550115.90266666654</v>
      </c>
      <c r="H175" s="151"/>
      <c r="I175" s="133">
        <f>I57-I173</f>
        <v>7409.062166666612</v>
      </c>
      <c r="J175" s="359"/>
      <c r="K175" s="133">
        <f>K57-K173</f>
        <v>142593.46666666679</v>
      </c>
      <c r="L175" s="236"/>
      <c r="M175" s="251">
        <f>M57-M173</f>
        <v>-47835.633333332837</v>
      </c>
      <c r="N175" s="151"/>
      <c r="O175" s="362">
        <f t="shared" si="14"/>
        <v>1359571.3915000013</v>
      </c>
    </row>
    <row r="176" spans="1:15" ht="15.5" hidden="1" x14ac:dyDescent="0.35">
      <c r="A176" s="61" t="s">
        <v>147</v>
      </c>
      <c r="B176" s="62"/>
      <c r="C176" s="115"/>
      <c r="D176" s="150"/>
      <c r="E176" s="186"/>
      <c r="F176" s="62"/>
      <c r="G176" s="134"/>
      <c r="H176" s="150"/>
      <c r="I176" s="134"/>
      <c r="J176" s="150"/>
      <c r="K176" s="115"/>
      <c r="L176" s="236"/>
      <c r="M176" s="377">
        <v>50000</v>
      </c>
      <c r="N176" s="150"/>
      <c r="O176" s="362">
        <f t="shared" si="14"/>
        <v>50000</v>
      </c>
    </row>
    <row r="177" spans="1:15" ht="15" hidden="1" thickBot="1" x14ac:dyDescent="0.4">
      <c r="A177" s="63" t="s">
        <v>148</v>
      </c>
      <c r="B177" s="64"/>
      <c r="C177" s="179">
        <f>C176+C175</f>
        <v>697743.18000000017</v>
      </c>
      <c r="D177" s="150"/>
      <c r="E177" s="179">
        <f>E176+E175</f>
        <v>9545.4133333340287</v>
      </c>
      <c r="F177" s="64"/>
      <c r="G177" s="127">
        <f>G176+G175</f>
        <v>550115.90266666654</v>
      </c>
      <c r="H177" s="150"/>
      <c r="I177" s="127">
        <f>I176+I175</f>
        <v>7409.062166666612</v>
      </c>
      <c r="J177" s="360"/>
      <c r="K177" s="127">
        <f>K176+K175</f>
        <v>142593.46666666679</v>
      </c>
      <c r="L177" s="235"/>
      <c r="M177" s="252">
        <f t="shared" ref="M177" si="20">+(M175+M176)</f>
        <v>2164.3666666671634</v>
      </c>
      <c r="N177" s="307"/>
      <c r="O177" s="362">
        <f t="shared" si="14"/>
        <v>1409571.3915000013</v>
      </c>
    </row>
    <row r="178" spans="1:15" hidden="1" x14ac:dyDescent="0.35">
      <c r="A178" s="65" t="s">
        <v>149</v>
      </c>
      <c r="B178" s="66"/>
      <c r="C178" s="109"/>
      <c r="D178" s="149"/>
      <c r="E178" s="169"/>
      <c r="F178" s="66"/>
      <c r="G178" s="67"/>
      <c r="H178" s="149"/>
      <c r="I178" s="67"/>
      <c r="J178" s="149"/>
      <c r="K178" s="109"/>
      <c r="L178" s="235"/>
      <c r="M178" s="253" t="s">
        <v>150</v>
      </c>
      <c r="N178" s="308"/>
      <c r="O178" s="362" t="e">
        <f t="shared" si="14"/>
        <v>#VALUE!</v>
      </c>
    </row>
    <row r="179" spans="1:15" ht="15" hidden="1" thickBot="1" x14ac:dyDescent="0.4">
      <c r="A179" s="68" t="s">
        <v>151</v>
      </c>
      <c r="B179" s="69"/>
      <c r="C179" s="109"/>
      <c r="D179" s="149"/>
      <c r="E179" s="170"/>
      <c r="F179" s="69"/>
      <c r="G179" s="70"/>
      <c r="H179" s="149"/>
      <c r="I179" s="70"/>
      <c r="J179" s="149"/>
      <c r="K179" s="109"/>
      <c r="L179" s="235"/>
      <c r="M179" s="254" t="s">
        <v>150</v>
      </c>
      <c r="N179" s="309"/>
      <c r="O179" s="362" t="e">
        <f t="shared" si="14"/>
        <v>#VALUE!</v>
      </c>
    </row>
    <row r="180" spans="1:15" ht="15" hidden="1" thickBot="1" x14ac:dyDescent="0.4">
      <c r="A180" s="71" t="s">
        <v>152</v>
      </c>
      <c r="B180" s="72"/>
      <c r="C180" s="73">
        <f t="shared" ref="C180:E180" si="21">C175+C176</f>
        <v>697743.18000000017</v>
      </c>
      <c r="D180" s="149"/>
      <c r="E180" s="73">
        <f t="shared" si="21"/>
        <v>9545.4133333340287</v>
      </c>
      <c r="F180" s="72"/>
      <c r="G180" s="73">
        <f t="shared" ref="G180:K180" si="22">G175+G176</f>
        <v>550115.90266666654</v>
      </c>
      <c r="H180" s="149"/>
      <c r="I180" s="73">
        <f t="shared" ref="I180" si="23">I175+I176</f>
        <v>7409.062166666612</v>
      </c>
      <c r="J180" s="235"/>
      <c r="K180" s="73">
        <f t="shared" si="22"/>
        <v>142593.46666666679</v>
      </c>
      <c r="L180" s="235"/>
      <c r="M180" s="255">
        <f>M177</f>
        <v>2164.3666666671634</v>
      </c>
      <c r="N180" s="310"/>
      <c r="O180" s="362">
        <f t="shared" si="14"/>
        <v>1409571.3915000013</v>
      </c>
    </row>
    <row r="183" spans="1:15" hidden="1" x14ac:dyDescent="0.35">
      <c r="C183" s="16">
        <f>+C57-C173</f>
        <v>697743.18000000017</v>
      </c>
      <c r="D183" s="16">
        <f t="shared" ref="D183:N183" si="24">+D57-D173</f>
        <v>0</v>
      </c>
      <c r="E183" s="16">
        <f t="shared" si="24"/>
        <v>9545.4133333340287</v>
      </c>
      <c r="F183" s="16">
        <f t="shared" si="24"/>
        <v>0</v>
      </c>
      <c r="G183" s="16">
        <f t="shared" si="24"/>
        <v>550115.90266666654</v>
      </c>
      <c r="H183" s="16">
        <f t="shared" si="24"/>
        <v>0</v>
      </c>
      <c r="I183" s="16">
        <f t="shared" si="24"/>
        <v>7409.062166666612</v>
      </c>
      <c r="J183" s="16">
        <f t="shared" si="24"/>
        <v>0</v>
      </c>
      <c r="K183" s="16">
        <f t="shared" si="24"/>
        <v>142593.46666666679</v>
      </c>
      <c r="L183" s="16">
        <f t="shared" si="24"/>
        <v>0</v>
      </c>
      <c r="M183" s="16">
        <f t="shared" si="24"/>
        <v>-47835.633333332837</v>
      </c>
      <c r="N183" s="16">
        <f t="shared" si="24"/>
        <v>0</v>
      </c>
    </row>
  </sheetData>
  <protectedRanges>
    <protectedRange algorithmName="SHA-512" hashValue="sib5Nlt62x8Cjehj5QpvQOfZQRWFyVXdW4ymlOfnLMMNdxZw1XVdONARla6+9R164l5kN77+d8cnUihMlL+w0A==" saltValue="TiYlffcKhraV9z9Br0ykmA==" spinCount="100000" sqref="C174:E174" name="Range1_3"/>
    <protectedRange algorithmName="SHA-512" hashValue="sib5Nlt62x8Cjehj5QpvQOfZQRWFyVXdW4ymlOfnLMMNdxZw1XVdONARla6+9R164l5kN77+d8cnUihMlL+w0A==" saltValue="TiYlffcKhraV9z9Br0ykmA==" spinCount="100000" sqref="G174:K174" name="Range1_3_1"/>
    <protectedRange algorithmName="SHA-512" hashValue="sib5Nlt62x8Cjehj5QpvQOfZQRWFyVXdW4ymlOfnLMMNdxZw1XVdONARla6+9R164l5kN77+d8cnUihMlL+w0A==" saltValue="TiYlffcKhraV9z9Br0ykmA==" spinCount="100000" sqref="M174:N174" name="Range1_3_4"/>
  </protectedRange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C841-E618-4E60-A33E-33B972B4D839}">
  <dimension ref="A1:T59"/>
  <sheetViews>
    <sheetView zoomScale="90" zoomScaleNormal="90" zoomScaleSheetLayoutView="40" workbookViewId="0">
      <selection sqref="A1:XFD1048576"/>
    </sheetView>
  </sheetViews>
  <sheetFormatPr defaultColWidth="9" defaultRowHeight="14.5" x14ac:dyDescent="0.35"/>
  <cols>
    <col min="1" max="1" width="27.26953125" style="154" customWidth="1"/>
    <col min="2" max="2" width="23.453125" style="154" customWidth="1"/>
    <col min="3" max="10" width="14.54296875" style="154" customWidth="1"/>
    <col min="11" max="11" width="9" style="154"/>
    <col min="12" max="12" width="14.81640625" style="154" bestFit="1" customWidth="1"/>
    <col min="13" max="16" width="9" style="154"/>
    <col min="17" max="17" width="11" style="154" bestFit="1" customWidth="1"/>
    <col min="18" max="18" width="9" style="154"/>
    <col min="19" max="19" width="12.1796875" style="154" customWidth="1"/>
    <col min="20" max="20" width="18.54296875" style="154" customWidth="1"/>
    <col min="21" max="16384" width="9" style="154"/>
  </cols>
  <sheetData>
    <row r="1" spans="1:20" ht="36" customHeight="1" x14ac:dyDescent="0.35">
      <c r="A1" s="393" t="s">
        <v>153</v>
      </c>
      <c r="B1" s="393"/>
      <c r="C1" s="393"/>
      <c r="D1" s="393"/>
      <c r="E1" s="393"/>
      <c r="F1" s="393"/>
      <c r="G1" s="393"/>
      <c r="H1" s="393"/>
      <c r="I1" s="393"/>
    </row>
    <row r="2" spans="1:20" ht="30" customHeight="1" x14ac:dyDescent="0.35">
      <c r="A2" s="394"/>
      <c r="B2" s="394"/>
      <c r="C2" s="394"/>
      <c r="D2" s="394"/>
      <c r="E2" s="395" t="s">
        <v>154</v>
      </c>
      <c r="F2" s="395"/>
      <c r="G2" s="395"/>
      <c r="H2" s="187" t="s">
        <v>155</v>
      </c>
      <c r="I2" s="187" t="s">
        <v>156</v>
      </c>
      <c r="J2" s="187" t="s">
        <v>156</v>
      </c>
      <c r="K2" s="386" t="s">
        <v>267</v>
      </c>
      <c r="L2" s="341" t="s">
        <v>310</v>
      </c>
      <c r="M2" s="333" t="s">
        <v>311</v>
      </c>
      <c r="N2" s="333" t="s">
        <v>312</v>
      </c>
      <c r="O2" s="333" t="s">
        <v>313</v>
      </c>
      <c r="P2" s="333" t="s">
        <v>314</v>
      </c>
      <c r="Q2" s="333" t="s">
        <v>315</v>
      </c>
      <c r="R2" s="333" t="s">
        <v>316</v>
      </c>
      <c r="S2" s="333" t="s">
        <v>317</v>
      </c>
      <c r="T2" s="334" t="s">
        <v>318</v>
      </c>
    </row>
    <row r="3" spans="1:20" s="193" customFormat="1" ht="29" x14ac:dyDescent="0.35">
      <c r="A3" s="188"/>
      <c r="B3" s="189"/>
      <c r="C3" s="190" t="s">
        <v>157</v>
      </c>
      <c r="D3" s="190" t="s">
        <v>158</v>
      </c>
      <c r="E3" s="191" t="s">
        <v>159</v>
      </c>
      <c r="F3" s="192" t="s">
        <v>160</v>
      </c>
      <c r="G3" s="191" t="s">
        <v>161</v>
      </c>
      <c r="H3" s="192" t="s">
        <v>162</v>
      </c>
      <c r="I3" s="191" t="s">
        <v>163</v>
      </c>
      <c r="J3" s="191" t="s">
        <v>164</v>
      </c>
      <c r="K3" s="386"/>
      <c r="L3" s="335">
        <f>(0.9*7200)-(50*12)</f>
        <v>5880</v>
      </c>
      <c r="M3" s="336">
        <f>0.018+0.0075</f>
        <v>2.5499999999999998E-2</v>
      </c>
      <c r="N3" s="336">
        <v>1.4500000000000001E-2</v>
      </c>
      <c r="O3" s="336">
        <v>1.26E-2</v>
      </c>
      <c r="P3" s="336">
        <v>1.7000000000000001E-2</v>
      </c>
      <c r="Q3" s="336">
        <v>8.4</v>
      </c>
      <c r="R3" s="336"/>
      <c r="S3" s="336"/>
      <c r="T3" s="337" t="s">
        <v>319</v>
      </c>
    </row>
    <row r="4" spans="1:20" x14ac:dyDescent="0.35">
      <c r="A4" s="396" t="s">
        <v>165</v>
      </c>
      <c r="B4" s="155" t="s">
        <v>166</v>
      </c>
      <c r="C4" s="157">
        <v>110000</v>
      </c>
      <c r="D4" s="157">
        <f>C4+(C4*0.22)</f>
        <v>134200</v>
      </c>
      <c r="E4" s="156">
        <v>1</v>
      </c>
      <c r="F4" s="194">
        <v>44986</v>
      </c>
      <c r="G4" s="157">
        <v>0</v>
      </c>
      <c r="H4" s="157">
        <v>0</v>
      </c>
      <c r="I4" s="157">
        <v>0</v>
      </c>
      <c r="J4" s="157">
        <v>0</v>
      </c>
      <c r="L4" s="344">
        <v>0</v>
      </c>
      <c r="M4" s="344">
        <f>+H4*$M$3</f>
        <v>0</v>
      </c>
      <c r="N4" s="344">
        <f>+$N$3*H4</f>
        <v>0</v>
      </c>
      <c r="O4" s="344">
        <f>+$O$3*H4</f>
        <v>0</v>
      </c>
      <c r="P4" s="344">
        <f>+$P$3*H4</f>
        <v>0</v>
      </c>
      <c r="Q4" s="345">
        <f>+$Q$3*E4</f>
        <v>8.4</v>
      </c>
      <c r="S4" s="344">
        <f>SUM(M4:Q4)</f>
        <v>8.4</v>
      </c>
      <c r="T4" s="344">
        <f>+S4+L4+H4+J4</f>
        <v>8.4</v>
      </c>
    </row>
    <row r="5" spans="1:20" x14ac:dyDescent="0.35">
      <c r="A5" s="396"/>
      <c r="B5" s="155" t="s">
        <v>167</v>
      </c>
      <c r="C5" s="157">
        <v>185000</v>
      </c>
      <c r="D5" s="157">
        <f>C5+(C5*0.22)</f>
        <v>225700</v>
      </c>
      <c r="E5" s="156">
        <v>1</v>
      </c>
      <c r="F5" s="194">
        <v>44986</v>
      </c>
      <c r="G5" s="157">
        <v>0</v>
      </c>
      <c r="H5" s="157">
        <f t="shared" ref="H5:H10" si="0">C5*E5</f>
        <v>185000</v>
      </c>
      <c r="I5" s="157">
        <f>D5*E5</f>
        <v>225700</v>
      </c>
      <c r="J5" s="157">
        <v>10000</v>
      </c>
      <c r="L5" s="344">
        <f t="shared" ref="L5:L12" si="1">+$L$3*E5</f>
        <v>5880</v>
      </c>
      <c r="M5" s="344">
        <f t="shared" ref="M5:M12" si="2">+H5*$M$3</f>
        <v>4717.5</v>
      </c>
      <c r="N5" s="344">
        <f t="shared" ref="N5:N12" si="3">+$N$3*H5</f>
        <v>2682.5</v>
      </c>
      <c r="O5" s="344">
        <f t="shared" ref="O5:O12" si="4">+$O$3*H5</f>
        <v>2331</v>
      </c>
      <c r="P5" s="344">
        <f t="shared" ref="P5:P12" si="5">+$P$3*H5</f>
        <v>3145</v>
      </c>
      <c r="Q5" s="345">
        <f t="shared" ref="Q5:Q12" si="6">+$Q$3*E5</f>
        <v>8.4</v>
      </c>
      <c r="S5" s="344">
        <f t="shared" ref="S5:S12" si="7">SUM(M5:Q5)</f>
        <v>12884.4</v>
      </c>
      <c r="T5" s="344">
        <f t="shared" ref="T5:T12" si="8">+S5+L5+H5+J5</f>
        <v>213764.4</v>
      </c>
    </row>
    <row r="6" spans="1:20" x14ac:dyDescent="0.35">
      <c r="A6" s="396"/>
      <c r="B6" s="155" t="s">
        <v>168</v>
      </c>
      <c r="C6" s="157">
        <v>140000</v>
      </c>
      <c r="D6" s="157">
        <f t="shared" ref="D6:D10" si="9">C6+(C6*0.22)</f>
        <v>170800</v>
      </c>
      <c r="E6" s="156">
        <v>1</v>
      </c>
      <c r="F6" s="194">
        <v>44986</v>
      </c>
      <c r="G6" s="157">
        <f>D6*E6*0.35</f>
        <v>59779.999999999993</v>
      </c>
      <c r="H6" s="157">
        <f t="shared" si="0"/>
        <v>140000</v>
      </c>
      <c r="I6" s="157">
        <f t="shared" ref="I6:I10" si="10">D6*E6</f>
        <v>170800</v>
      </c>
      <c r="J6" s="157">
        <v>10000</v>
      </c>
      <c r="L6" s="344">
        <f t="shared" si="1"/>
        <v>5880</v>
      </c>
      <c r="M6" s="344">
        <f t="shared" si="2"/>
        <v>3569.9999999999995</v>
      </c>
      <c r="N6" s="344">
        <f t="shared" si="3"/>
        <v>2030</v>
      </c>
      <c r="O6" s="344">
        <f t="shared" si="4"/>
        <v>1764</v>
      </c>
      <c r="P6" s="344">
        <f t="shared" si="5"/>
        <v>2380</v>
      </c>
      <c r="Q6" s="345">
        <f t="shared" si="6"/>
        <v>8.4</v>
      </c>
      <c r="S6" s="344">
        <f t="shared" si="7"/>
        <v>9752.4</v>
      </c>
      <c r="T6" s="344">
        <f t="shared" si="8"/>
        <v>165632.4</v>
      </c>
    </row>
    <row r="7" spans="1:20" x14ac:dyDescent="0.35">
      <c r="A7" s="396"/>
      <c r="B7" s="155" t="s">
        <v>169</v>
      </c>
      <c r="C7" s="157">
        <v>130000</v>
      </c>
      <c r="D7" s="157">
        <f t="shared" si="9"/>
        <v>158600</v>
      </c>
      <c r="E7" s="156">
        <v>1</v>
      </c>
      <c r="F7" s="194">
        <v>44986</v>
      </c>
      <c r="G7" s="157">
        <f t="shared" ref="G7:G10" si="11">D7*E7*0.35</f>
        <v>55510</v>
      </c>
      <c r="H7" s="157">
        <f t="shared" si="0"/>
        <v>130000</v>
      </c>
      <c r="I7" s="157">
        <f t="shared" si="10"/>
        <v>158600</v>
      </c>
      <c r="J7" s="157">
        <v>10000</v>
      </c>
      <c r="L7" s="344">
        <f t="shared" si="1"/>
        <v>5880</v>
      </c>
      <c r="M7" s="344">
        <f t="shared" si="2"/>
        <v>3315</v>
      </c>
      <c r="N7" s="344">
        <f t="shared" si="3"/>
        <v>1885</v>
      </c>
      <c r="O7" s="344">
        <f t="shared" si="4"/>
        <v>1638</v>
      </c>
      <c r="P7" s="344">
        <f t="shared" si="5"/>
        <v>2210</v>
      </c>
      <c r="Q7" s="345">
        <f t="shared" si="6"/>
        <v>8.4</v>
      </c>
      <c r="S7" s="344">
        <f t="shared" si="7"/>
        <v>9056.4</v>
      </c>
      <c r="T7" s="344">
        <f t="shared" si="8"/>
        <v>154936.4</v>
      </c>
    </row>
    <row r="8" spans="1:20" x14ac:dyDescent="0.35">
      <c r="A8" s="396"/>
      <c r="B8" s="155" t="s">
        <v>170</v>
      </c>
      <c r="C8" s="157">
        <v>85000</v>
      </c>
      <c r="D8" s="157">
        <f t="shared" si="9"/>
        <v>103700</v>
      </c>
      <c r="E8" s="156">
        <v>2</v>
      </c>
      <c r="F8" s="194">
        <v>44986</v>
      </c>
      <c r="G8" s="157">
        <f t="shared" si="11"/>
        <v>72590</v>
      </c>
      <c r="H8" s="157">
        <f t="shared" si="0"/>
        <v>170000</v>
      </c>
      <c r="I8" s="157">
        <f t="shared" si="10"/>
        <v>207400</v>
      </c>
      <c r="J8" s="157"/>
      <c r="L8" s="344">
        <f t="shared" si="1"/>
        <v>11760</v>
      </c>
      <c r="M8" s="344">
        <f t="shared" si="2"/>
        <v>4335</v>
      </c>
      <c r="N8" s="344">
        <f t="shared" si="3"/>
        <v>2465</v>
      </c>
      <c r="O8" s="344">
        <f t="shared" si="4"/>
        <v>2142</v>
      </c>
      <c r="P8" s="344">
        <f t="shared" si="5"/>
        <v>2890</v>
      </c>
      <c r="Q8" s="345">
        <f t="shared" si="6"/>
        <v>16.8</v>
      </c>
      <c r="S8" s="344">
        <f t="shared" si="7"/>
        <v>11848.8</v>
      </c>
      <c r="T8" s="344">
        <f t="shared" si="8"/>
        <v>193608.8</v>
      </c>
    </row>
    <row r="9" spans="1:20" x14ac:dyDescent="0.35">
      <c r="A9" s="396"/>
      <c r="B9" s="155" t="s">
        <v>171</v>
      </c>
      <c r="C9" s="157">
        <v>85000</v>
      </c>
      <c r="D9" s="157">
        <f t="shared" si="9"/>
        <v>103700</v>
      </c>
      <c r="E9" s="156">
        <v>1</v>
      </c>
      <c r="F9" s="194">
        <v>44986</v>
      </c>
      <c r="G9" s="157">
        <f t="shared" si="11"/>
        <v>36295</v>
      </c>
      <c r="H9" s="157">
        <f t="shared" si="0"/>
        <v>85000</v>
      </c>
      <c r="I9" s="157">
        <f t="shared" si="10"/>
        <v>103700</v>
      </c>
      <c r="J9" s="157"/>
      <c r="L9" s="344">
        <f t="shared" si="1"/>
        <v>5880</v>
      </c>
      <c r="M9" s="344">
        <f t="shared" si="2"/>
        <v>2167.5</v>
      </c>
      <c r="N9" s="344">
        <f t="shared" si="3"/>
        <v>1232.5</v>
      </c>
      <c r="O9" s="344">
        <f t="shared" si="4"/>
        <v>1071</v>
      </c>
      <c r="P9" s="344">
        <f t="shared" si="5"/>
        <v>1445</v>
      </c>
      <c r="Q9" s="345">
        <f t="shared" si="6"/>
        <v>8.4</v>
      </c>
      <c r="S9" s="344">
        <f t="shared" si="7"/>
        <v>5924.4</v>
      </c>
      <c r="T9" s="344">
        <f t="shared" si="8"/>
        <v>96804.4</v>
      </c>
    </row>
    <row r="10" spans="1:20" x14ac:dyDescent="0.35">
      <c r="A10" s="396"/>
      <c r="B10" s="155" t="s">
        <v>172</v>
      </c>
      <c r="C10" s="157">
        <v>85000</v>
      </c>
      <c r="D10" s="157">
        <f t="shared" si="9"/>
        <v>103700</v>
      </c>
      <c r="E10" s="156">
        <v>1</v>
      </c>
      <c r="F10" s="194">
        <v>44986</v>
      </c>
      <c r="G10" s="157">
        <f t="shared" si="11"/>
        <v>36295</v>
      </c>
      <c r="H10" s="157">
        <f t="shared" si="0"/>
        <v>85000</v>
      </c>
      <c r="I10" s="157">
        <f t="shared" si="10"/>
        <v>103700</v>
      </c>
      <c r="J10" s="157"/>
      <c r="L10" s="344">
        <f t="shared" si="1"/>
        <v>5880</v>
      </c>
      <c r="M10" s="344">
        <f t="shared" si="2"/>
        <v>2167.5</v>
      </c>
      <c r="N10" s="344">
        <f t="shared" si="3"/>
        <v>1232.5</v>
      </c>
      <c r="O10" s="344">
        <f t="shared" si="4"/>
        <v>1071</v>
      </c>
      <c r="P10" s="344">
        <f t="shared" si="5"/>
        <v>1445</v>
      </c>
      <c r="Q10" s="345">
        <f t="shared" si="6"/>
        <v>8.4</v>
      </c>
      <c r="S10" s="344">
        <f t="shared" si="7"/>
        <v>5924.4</v>
      </c>
      <c r="T10" s="344">
        <f t="shared" si="8"/>
        <v>96804.4</v>
      </c>
    </row>
    <row r="11" spans="1:20" x14ac:dyDescent="0.35">
      <c r="A11" s="396"/>
      <c r="B11" s="218" t="s">
        <v>173</v>
      </c>
      <c r="C11" s="157">
        <v>75000</v>
      </c>
      <c r="D11" s="157">
        <f>C11+(C11*0.22)</f>
        <v>91500</v>
      </c>
      <c r="E11" s="156">
        <v>1</v>
      </c>
      <c r="F11" s="194">
        <v>44986</v>
      </c>
      <c r="G11" s="157">
        <f>D11*E11*0.35</f>
        <v>32024.999999999996</v>
      </c>
      <c r="H11" s="157">
        <f>C11*E11</f>
        <v>75000</v>
      </c>
      <c r="I11" s="157">
        <f>D11*E11</f>
        <v>91500</v>
      </c>
      <c r="J11" s="157"/>
      <c r="L11" s="344">
        <f t="shared" si="1"/>
        <v>5880</v>
      </c>
      <c r="M11" s="344">
        <f t="shared" si="2"/>
        <v>1912.4999999999998</v>
      </c>
      <c r="N11" s="344">
        <f t="shared" si="3"/>
        <v>1087.5</v>
      </c>
      <c r="O11" s="344">
        <f t="shared" si="4"/>
        <v>945</v>
      </c>
      <c r="P11" s="344">
        <f t="shared" si="5"/>
        <v>1275</v>
      </c>
      <c r="Q11" s="345">
        <f t="shared" si="6"/>
        <v>8.4</v>
      </c>
      <c r="S11" s="344">
        <f t="shared" si="7"/>
        <v>5228.3999999999996</v>
      </c>
      <c r="T11" s="344">
        <f t="shared" si="8"/>
        <v>86108.4</v>
      </c>
    </row>
    <row r="12" spans="1:20" ht="19.899999999999999" customHeight="1" x14ac:dyDescent="0.35">
      <c r="A12" s="396"/>
      <c r="B12" s="218" t="s">
        <v>174</v>
      </c>
      <c r="C12" s="157">
        <v>80000</v>
      </c>
      <c r="D12" s="157">
        <f>C12+(C12*0.22)</f>
        <v>97600</v>
      </c>
      <c r="E12" s="213">
        <v>1</v>
      </c>
      <c r="F12" s="157"/>
      <c r="G12" s="157"/>
      <c r="H12" s="157">
        <f>C12*E12</f>
        <v>80000</v>
      </c>
      <c r="I12" s="157">
        <f>D12*E12</f>
        <v>97600</v>
      </c>
      <c r="J12" s="157"/>
      <c r="L12" s="344">
        <f t="shared" si="1"/>
        <v>5880</v>
      </c>
      <c r="M12" s="344">
        <f t="shared" si="2"/>
        <v>2039.9999999999998</v>
      </c>
      <c r="N12" s="344">
        <f t="shared" si="3"/>
        <v>1160</v>
      </c>
      <c r="O12" s="344">
        <f t="shared" si="4"/>
        <v>1008</v>
      </c>
      <c r="P12" s="344">
        <f t="shared" si="5"/>
        <v>1360</v>
      </c>
      <c r="Q12" s="345">
        <f t="shared" si="6"/>
        <v>8.4</v>
      </c>
      <c r="S12" s="344">
        <f t="shared" si="7"/>
        <v>5576.4</v>
      </c>
      <c r="T12" s="344">
        <f t="shared" si="8"/>
        <v>91456.4</v>
      </c>
    </row>
    <row r="13" spans="1:20" x14ac:dyDescent="0.35">
      <c r="A13" s="195"/>
      <c r="B13" s="155"/>
      <c r="C13" s="155"/>
      <c r="D13" s="157"/>
      <c r="E13" s="156"/>
      <c r="F13" s="194"/>
      <c r="G13" s="196">
        <f>SUM(G4:G12)</f>
        <v>292495</v>
      </c>
      <c r="H13" s="196">
        <f>SUM(H5:H12)</f>
        <v>950000</v>
      </c>
      <c r="I13" s="196">
        <f>SUM(I4:I12)</f>
        <v>1159000</v>
      </c>
      <c r="J13" s="196">
        <f>SUM(J4:J12)</f>
        <v>30000</v>
      </c>
      <c r="L13" s="344">
        <f>SUM(L4:L12)</f>
        <v>52920</v>
      </c>
      <c r="M13" s="344">
        <f t="shared" ref="M13:T13" si="12">SUM(M4:M12)</f>
        <v>24225</v>
      </c>
      <c r="N13" s="344">
        <f t="shared" si="12"/>
        <v>13775</v>
      </c>
      <c r="O13" s="344">
        <f t="shared" si="12"/>
        <v>11970</v>
      </c>
      <c r="P13" s="344">
        <f t="shared" si="12"/>
        <v>16150</v>
      </c>
      <c r="Q13" s="344">
        <f t="shared" si="12"/>
        <v>84.000000000000014</v>
      </c>
      <c r="R13" s="344">
        <f t="shared" si="12"/>
        <v>0</v>
      </c>
      <c r="S13" s="344">
        <f t="shared" si="12"/>
        <v>66204</v>
      </c>
      <c r="T13" s="344">
        <f t="shared" si="12"/>
        <v>1099124</v>
      </c>
    </row>
    <row r="14" spans="1:20" x14ac:dyDescent="0.35">
      <c r="A14" s="195"/>
      <c r="B14" s="197"/>
      <c r="C14" s="197"/>
      <c r="D14" s="157"/>
      <c r="E14" s="156"/>
      <c r="F14" s="194"/>
      <c r="G14" s="158"/>
      <c r="H14" s="158"/>
      <c r="I14" s="158"/>
    </row>
    <row r="15" spans="1:20" ht="18.5" x14ac:dyDescent="0.35">
      <c r="A15" s="397" t="s">
        <v>175</v>
      </c>
      <c r="B15" s="397"/>
      <c r="C15" s="198"/>
      <c r="D15" s="157"/>
      <c r="E15" s="156"/>
      <c r="F15" s="194"/>
      <c r="G15" s="158"/>
      <c r="H15" s="158"/>
      <c r="I15" s="158"/>
    </row>
    <row r="16" spans="1:20" ht="12.75" customHeight="1" x14ac:dyDescent="0.35">
      <c r="A16" s="220"/>
      <c r="B16" s="199"/>
      <c r="C16" s="199"/>
      <c r="D16" s="200"/>
      <c r="E16" s="201"/>
      <c r="F16" s="202"/>
      <c r="G16" s="203"/>
      <c r="H16" s="203"/>
      <c r="I16" s="203"/>
    </row>
    <row r="17" spans="1:20" s="218" customFormat="1" ht="29" x14ac:dyDescent="0.35">
      <c r="A17" s="210"/>
      <c r="B17" s="210"/>
      <c r="C17" s="210"/>
      <c r="D17" s="211" t="s">
        <v>176</v>
      </c>
      <c r="E17" s="211" t="s">
        <v>159</v>
      </c>
      <c r="F17" s="212" t="s">
        <v>160</v>
      </c>
      <c r="G17" s="211" t="s">
        <v>161</v>
      </c>
      <c r="H17" s="212" t="s">
        <v>162</v>
      </c>
      <c r="I17" s="211" t="s">
        <v>163</v>
      </c>
    </row>
    <row r="18" spans="1:20" ht="42" customHeight="1" x14ac:dyDescent="0.35">
      <c r="A18" s="390" t="s">
        <v>177</v>
      </c>
      <c r="B18" s="221" t="s">
        <v>178</v>
      </c>
      <c r="C18" s="221"/>
      <c r="D18" s="222">
        <v>90000</v>
      </c>
      <c r="E18" s="311">
        <v>1</v>
      </c>
      <c r="F18" s="223">
        <v>44986</v>
      </c>
      <c r="G18" s="222">
        <f>D18*E18*0.33</f>
        <v>29700</v>
      </c>
      <c r="H18" s="157">
        <f>D18*E18</f>
        <v>90000</v>
      </c>
      <c r="I18" s="157">
        <f t="shared" ref="I18:I20" si="13">H18+(H18*0.22)</f>
        <v>109800</v>
      </c>
      <c r="L18" s="344">
        <f t="shared" ref="L18" si="14">+$L$3*E18</f>
        <v>5880</v>
      </c>
      <c r="M18" s="344">
        <f t="shared" ref="M18" si="15">+H18*$M$3</f>
        <v>2295</v>
      </c>
      <c r="N18" s="344">
        <f t="shared" ref="N18" si="16">+$N$3*H18</f>
        <v>1305</v>
      </c>
      <c r="O18" s="344">
        <f t="shared" ref="O18" si="17">+$O$3*H18</f>
        <v>1134</v>
      </c>
      <c r="P18" s="344">
        <f t="shared" ref="P18" si="18">+$P$3*H18</f>
        <v>1530</v>
      </c>
      <c r="Q18" s="345">
        <f t="shared" ref="Q18:Q20" si="19">+$Q$3*E18</f>
        <v>8.4</v>
      </c>
      <c r="S18" s="344">
        <f t="shared" ref="S18" si="20">SUM(M18:Q18)</f>
        <v>6272.4</v>
      </c>
      <c r="T18" s="344">
        <f t="shared" ref="T18" si="21">+S18+L18+H18+J18</f>
        <v>102152.4</v>
      </c>
    </row>
    <row r="19" spans="1:20" ht="42" customHeight="1" x14ac:dyDescent="0.35">
      <c r="A19" s="391"/>
      <c r="B19" s="204" t="s">
        <v>179</v>
      </c>
      <c r="C19" s="204"/>
      <c r="D19" s="157">
        <v>90000</v>
      </c>
      <c r="E19" s="312">
        <v>1</v>
      </c>
      <c r="F19" s="194">
        <v>44986</v>
      </c>
      <c r="G19" s="157">
        <f>D19*E19*0.33</f>
        <v>29700</v>
      </c>
      <c r="H19" s="157">
        <f t="shared" ref="H19:H20" si="22">D19*E19</f>
        <v>90000</v>
      </c>
      <c r="I19" s="157">
        <f t="shared" si="13"/>
        <v>109800</v>
      </c>
      <c r="L19" s="344">
        <f t="shared" ref="L19:L20" si="23">+$L$3*E19</f>
        <v>5880</v>
      </c>
      <c r="M19" s="344">
        <f t="shared" ref="M19:M20" si="24">+H19*$M$3</f>
        <v>2295</v>
      </c>
      <c r="N19" s="344">
        <f t="shared" ref="N19:N20" si="25">+$N$3*H19</f>
        <v>1305</v>
      </c>
      <c r="O19" s="344">
        <f t="shared" ref="O19:O20" si="26">+$O$3*H19</f>
        <v>1134</v>
      </c>
      <c r="P19" s="344">
        <f t="shared" ref="P19:P20" si="27">+$P$3*H19</f>
        <v>1530</v>
      </c>
      <c r="Q19" s="345">
        <f t="shared" si="19"/>
        <v>8.4</v>
      </c>
      <c r="S19" s="344">
        <f t="shared" ref="S19:S20" si="28">SUM(M19:Q19)</f>
        <v>6272.4</v>
      </c>
      <c r="T19" s="344">
        <f t="shared" ref="T19:T20" si="29">+S19+L19+H19+J19</f>
        <v>102152.4</v>
      </c>
    </row>
    <row r="20" spans="1:20" ht="49.9" customHeight="1" x14ac:dyDescent="0.35">
      <c r="A20" s="392"/>
      <c r="B20" s="204" t="s">
        <v>180</v>
      </c>
      <c r="C20" s="204"/>
      <c r="D20" s="157">
        <v>90000</v>
      </c>
      <c r="E20" s="312">
        <v>1</v>
      </c>
      <c r="F20" s="194">
        <v>44986</v>
      </c>
      <c r="G20" s="157">
        <f>D20*E20*0.33</f>
        <v>29700</v>
      </c>
      <c r="H20" s="157">
        <f t="shared" si="22"/>
        <v>90000</v>
      </c>
      <c r="I20" s="157">
        <f t="shared" si="13"/>
        <v>109800</v>
      </c>
      <c r="L20" s="344">
        <f t="shared" si="23"/>
        <v>5880</v>
      </c>
      <c r="M20" s="344">
        <f t="shared" si="24"/>
        <v>2295</v>
      </c>
      <c r="N20" s="344">
        <f t="shared" si="25"/>
        <v>1305</v>
      </c>
      <c r="O20" s="344">
        <f t="shared" si="26"/>
        <v>1134</v>
      </c>
      <c r="P20" s="344">
        <f t="shared" si="27"/>
        <v>1530</v>
      </c>
      <c r="Q20" s="345">
        <f t="shared" si="19"/>
        <v>8.4</v>
      </c>
      <c r="S20" s="344">
        <f t="shared" si="28"/>
        <v>6272.4</v>
      </c>
      <c r="T20" s="344">
        <f t="shared" si="29"/>
        <v>102152.4</v>
      </c>
    </row>
    <row r="21" spans="1:20" x14ac:dyDescent="0.35">
      <c r="A21" s="195"/>
      <c r="B21" s="155"/>
      <c r="C21" s="155"/>
      <c r="D21" s="157"/>
      <c r="E21" s="156"/>
      <c r="F21" s="194"/>
      <c r="G21" s="196">
        <f>SUM(G18:G20)</f>
        <v>89100</v>
      </c>
      <c r="H21" s="196">
        <f>SUM(H18:H20)</f>
        <v>270000</v>
      </c>
      <c r="I21" s="196">
        <f>SUM(I18:I20)</f>
        <v>329400</v>
      </c>
      <c r="L21" s="344">
        <f>SUM(L18:L20)</f>
        <v>17640</v>
      </c>
      <c r="M21" s="344">
        <f t="shared" ref="M21:T21" si="30">SUM(M18:M20)</f>
        <v>6885</v>
      </c>
      <c r="N21" s="344">
        <f t="shared" si="30"/>
        <v>3915</v>
      </c>
      <c r="O21" s="344">
        <f t="shared" si="30"/>
        <v>3402</v>
      </c>
      <c r="P21" s="344">
        <f t="shared" si="30"/>
        <v>4590</v>
      </c>
      <c r="Q21" s="344">
        <f t="shared" si="30"/>
        <v>25.200000000000003</v>
      </c>
      <c r="R21" s="344">
        <f t="shared" si="30"/>
        <v>0</v>
      </c>
      <c r="S21" s="344">
        <f t="shared" si="30"/>
        <v>18817.199999999997</v>
      </c>
      <c r="T21" s="344">
        <f t="shared" si="30"/>
        <v>306457.19999999995</v>
      </c>
    </row>
    <row r="23" spans="1:20" ht="15.5" x14ac:dyDescent="0.35">
      <c r="G23" s="219">
        <f>G13+G21</f>
        <v>381595</v>
      </c>
      <c r="H23" s="219">
        <f t="shared" ref="H23:I23" si="31">H13+H21</f>
        <v>1220000</v>
      </c>
      <c r="I23" s="219">
        <f t="shared" si="31"/>
        <v>1488400</v>
      </c>
    </row>
    <row r="25" spans="1:20" s="218" customFormat="1" ht="29" x14ac:dyDescent="0.35">
      <c r="A25" s="210"/>
      <c r="B25" s="210"/>
      <c r="C25" s="210"/>
      <c r="D25" s="211" t="s">
        <v>181</v>
      </c>
      <c r="E25" s="211" t="s">
        <v>159</v>
      </c>
      <c r="F25" s="212" t="s">
        <v>160</v>
      </c>
      <c r="G25" s="211" t="s">
        <v>161</v>
      </c>
      <c r="H25" s="212"/>
      <c r="I25" s="212" t="s">
        <v>182</v>
      </c>
    </row>
    <row r="26" spans="1:20" ht="62" x14ac:dyDescent="0.35">
      <c r="A26" s="205" t="s">
        <v>183</v>
      </c>
      <c r="B26" s="206" t="s">
        <v>184</v>
      </c>
      <c r="C26" s="206"/>
      <c r="D26" s="157">
        <v>95000</v>
      </c>
      <c r="E26" s="156">
        <v>25</v>
      </c>
      <c r="F26" s="207">
        <v>45108</v>
      </c>
      <c r="G26" s="156">
        <v>0</v>
      </c>
      <c r="H26" s="157"/>
      <c r="I26" s="157">
        <f>D26*E26</f>
        <v>2375000</v>
      </c>
      <c r="L26" s="344">
        <f t="shared" ref="L26" si="32">+$L$3*E26</f>
        <v>147000</v>
      </c>
      <c r="M26" s="344">
        <f>+I26*$M$3</f>
        <v>60562.499999999993</v>
      </c>
      <c r="N26" s="344">
        <f t="shared" ref="N26" si="33">+$N$3*H26</f>
        <v>0</v>
      </c>
      <c r="O26" s="344">
        <f t="shared" ref="O26" si="34">+$O$3*H26</f>
        <v>0</v>
      </c>
      <c r="P26" s="344">
        <f t="shared" ref="P26" si="35">+$P$3*H26</f>
        <v>0</v>
      </c>
      <c r="Q26" s="344">
        <f t="shared" ref="Q26" si="36">+$Q$3*H26</f>
        <v>0</v>
      </c>
      <c r="S26" s="344">
        <f t="shared" ref="S26" si="37">SUM(M26:Q26)</f>
        <v>60562.499999999993</v>
      </c>
      <c r="T26" s="344">
        <f t="shared" ref="T26" si="38">+S26+L26+H26+J26</f>
        <v>207562.5</v>
      </c>
    </row>
    <row r="27" spans="1:20" ht="18.5" x14ac:dyDescent="0.45">
      <c r="A27" s="208"/>
      <c r="G27" s="196">
        <f>SUM(G26)</f>
        <v>0</v>
      </c>
      <c r="H27" s="196"/>
      <c r="I27" s="196">
        <f>SUM(I26)</f>
        <v>2375000</v>
      </c>
      <c r="L27" s="344">
        <f>SUM(L26)</f>
        <v>147000</v>
      </c>
      <c r="M27" s="344">
        <f t="shared" ref="M27:T27" si="39">SUM(M26)</f>
        <v>60562.499999999993</v>
      </c>
      <c r="N27" s="344">
        <f t="shared" si="39"/>
        <v>0</v>
      </c>
      <c r="O27" s="344">
        <f t="shared" si="39"/>
        <v>0</v>
      </c>
      <c r="P27" s="344">
        <f t="shared" si="39"/>
        <v>0</v>
      </c>
      <c r="Q27" s="344">
        <f t="shared" si="39"/>
        <v>0</v>
      </c>
      <c r="R27" s="344">
        <f t="shared" si="39"/>
        <v>0</v>
      </c>
      <c r="S27" s="344">
        <f t="shared" si="39"/>
        <v>60562.499999999993</v>
      </c>
      <c r="T27" s="344">
        <f t="shared" si="39"/>
        <v>207562.5</v>
      </c>
    </row>
    <row r="29" spans="1:20" ht="76.5" x14ac:dyDescent="0.35">
      <c r="A29" s="160" t="s">
        <v>185</v>
      </c>
      <c r="B29" s="206" t="s">
        <v>186</v>
      </c>
      <c r="C29" s="206"/>
      <c r="D29" s="209">
        <v>140000</v>
      </c>
      <c r="E29" s="156">
        <v>6</v>
      </c>
      <c r="F29" s="207">
        <v>45108</v>
      </c>
      <c r="G29" s="156">
        <v>0</v>
      </c>
      <c r="H29" s="209"/>
      <c r="I29" s="209">
        <f>D29*E29</f>
        <v>840000</v>
      </c>
      <c r="L29" s="344">
        <f t="shared" ref="L29" si="40">+$L$3*E29</f>
        <v>35280</v>
      </c>
      <c r="M29" s="344">
        <f>+I29*$M$3</f>
        <v>21420</v>
      </c>
      <c r="N29" s="344">
        <f t="shared" ref="N29" si="41">+$N$3*H29</f>
        <v>0</v>
      </c>
      <c r="O29" s="344">
        <f t="shared" ref="O29" si="42">+$O$3*H29</f>
        <v>0</v>
      </c>
      <c r="P29" s="344">
        <f t="shared" ref="P29" si="43">+$P$3*H29</f>
        <v>0</v>
      </c>
      <c r="Q29" s="344">
        <f t="shared" ref="Q29" si="44">+$Q$3*H29</f>
        <v>0</v>
      </c>
      <c r="S29" s="344">
        <f t="shared" ref="S29" si="45">SUM(M29:Q29)</f>
        <v>21420</v>
      </c>
      <c r="T29" s="344">
        <f t="shared" ref="T29" si="46">+S29+L29+H29+J29</f>
        <v>56700</v>
      </c>
    </row>
    <row r="30" spans="1:20" x14ac:dyDescent="0.35">
      <c r="G30" s="196">
        <f>SUM(G29)</f>
        <v>0</v>
      </c>
      <c r="H30" s="196"/>
      <c r="I30" s="196">
        <f>SUM(I29)</f>
        <v>840000</v>
      </c>
    </row>
    <row r="32" spans="1:20" ht="29" x14ac:dyDescent="0.35">
      <c r="A32" s="210"/>
      <c r="B32" s="210"/>
      <c r="C32" s="210"/>
      <c r="D32" s="211" t="s">
        <v>187</v>
      </c>
      <c r="E32" s="211" t="s">
        <v>188</v>
      </c>
      <c r="F32" s="212"/>
      <c r="G32" s="211"/>
      <c r="H32" s="212"/>
      <c r="I32" s="212" t="s">
        <v>189</v>
      </c>
    </row>
    <row r="33" spans="1:20" ht="61.15" customHeight="1" x14ac:dyDescent="0.35">
      <c r="A33" s="205" t="s">
        <v>190</v>
      </c>
      <c r="B33" s="155"/>
      <c r="C33" s="155"/>
      <c r="D33" s="213">
        <v>300000</v>
      </c>
      <c r="E33" s="156">
        <v>5</v>
      </c>
      <c r="F33" s="156"/>
      <c r="G33" s="156"/>
      <c r="H33" s="209"/>
      <c r="I33" s="209">
        <f>D33*E33</f>
        <v>1500000</v>
      </c>
      <c r="L33" s="344"/>
      <c r="M33" s="344"/>
      <c r="N33" s="344"/>
      <c r="O33" s="344"/>
      <c r="P33" s="344"/>
      <c r="Q33" s="344"/>
      <c r="S33" s="344"/>
      <c r="T33" s="344"/>
    </row>
    <row r="34" spans="1:20" x14ac:dyDescent="0.35">
      <c r="G34" s="196">
        <f>SUM(G33)</f>
        <v>0</v>
      </c>
      <c r="H34" s="196"/>
      <c r="I34" s="196">
        <f>SUM(I33)</f>
        <v>1500000</v>
      </c>
    </row>
    <row r="37" spans="1:20" ht="15.5" x14ac:dyDescent="0.35">
      <c r="G37" s="214" t="s">
        <v>154</v>
      </c>
      <c r="H37" s="215"/>
      <c r="I37" s="215" t="s">
        <v>156</v>
      </c>
    </row>
    <row r="38" spans="1:20" ht="15.5" x14ac:dyDescent="0.35">
      <c r="C38" s="224"/>
      <c r="D38" s="225"/>
      <c r="E38" s="224"/>
      <c r="F38" s="226" t="s">
        <v>191</v>
      </c>
      <c r="G38" s="159">
        <f>G13</f>
        <v>292495</v>
      </c>
      <c r="H38" s="159"/>
      <c r="I38" s="159">
        <f>I13</f>
        <v>1159000</v>
      </c>
    </row>
    <row r="39" spans="1:20" ht="15.5" x14ac:dyDescent="0.35">
      <c r="C39" s="224"/>
      <c r="D39" s="225"/>
      <c r="E39" s="224"/>
      <c r="F39" s="226" t="s">
        <v>192</v>
      </c>
      <c r="G39" s="159">
        <f>G21+G27+G30+G34</f>
        <v>89100</v>
      </c>
      <c r="H39" s="159"/>
      <c r="I39" s="159">
        <f>I21+I27+I30+I34</f>
        <v>5044400</v>
      </c>
    </row>
    <row r="40" spans="1:20" x14ac:dyDescent="0.35">
      <c r="C40" s="224"/>
      <c r="D40" s="225"/>
      <c r="E40" s="224"/>
      <c r="F40" s="155"/>
      <c r="G40" s="217"/>
      <c r="H40" s="217"/>
      <c r="I40" s="217"/>
    </row>
    <row r="41" spans="1:20" ht="15.5" x14ac:dyDescent="0.35">
      <c r="C41" s="224"/>
      <c r="D41" s="225"/>
      <c r="E41" s="224"/>
      <c r="F41" s="227" t="s">
        <v>193</v>
      </c>
      <c r="G41" s="158">
        <f>G38+G39</f>
        <v>381595</v>
      </c>
      <c r="H41" s="158"/>
      <c r="I41" s="158">
        <f>I38+I39</f>
        <v>6203400</v>
      </c>
    </row>
    <row r="42" spans="1:20" x14ac:dyDescent="0.35">
      <c r="C42" s="224"/>
      <c r="D42" s="225"/>
      <c r="E42" s="224"/>
    </row>
    <row r="43" spans="1:20" x14ac:dyDescent="0.35">
      <c r="C43" s="224"/>
      <c r="D43" s="225"/>
      <c r="E43" s="224"/>
    </row>
    <row r="44" spans="1:20" x14ac:dyDescent="0.35">
      <c r="C44" s="224"/>
      <c r="D44" s="225"/>
      <c r="E44" s="224"/>
    </row>
    <row r="45" spans="1:20" ht="15.5" x14ac:dyDescent="0.35">
      <c r="G45" s="214" t="s">
        <v>154</v>
      </c>
      <c r="H45" s="215"/>
      <c r="I45" s="215" t="s">
        <v>156</v>
      </c>
    </row>
    <row r="46" spans="1:20" x14ac:dyDescent="0.35">
      <c r="F46" s="228" t="s">
        <v>191</v>
      </c>
      <c r="G46" s="159">
        <f>G38</f>
        <v>292495</v>
      </c>
      <c r="H46" s="159"/>
      <c r="I46" s="159">
        <f>I38</f>
        <v>1159000</v>
      </c>
    </row>
    <row r="47" spans="1:20" x14ac:dyDescent="0.35">
      <c r="F47" s="228" t="s">
        <v>194</v>
      </c>
      <c r="G47" s="159">
        <f>G21+G27+G30</f>
        <v>89100</v>
      </c>
      <c r="H47" s="229"/>
      <c r="I47" s="229">
        <f>I21</f>
        <v>329400</v>
      </c>
    </row>
    <row r="48" spans="1:20" x14ac:dyDescent="0.35">
      <c r="F48" s="228" t="s">
        <v>195</v>
      </c>
      <c r="G48" s="159"/>
      <c r="H48" s="159"/>
      <c r="I48" s="159">
        <f>I27+I30</f>
        <v>3215000</v>
      </c>
    </row>
    <row r="49" spans="5:9" x14ac:dyDescent="0.35">
      <c r="F49" s="228" t="s">
        <v>196</v>
      </c>
      <c r="G49" s="159">
        <f>G34</f>
        <v>0</v>
      </c>
      <c r="H49" s="229"/>
      <c r="I49" s="229">
        <f>I34</f>
        <v>1500000</v>
      </c>
    </row>
    <row r="50" spans="5:9" ht="15.5" x14ac:dyDescent="0.35">
      <c r="F50" s="226"/>
      <c r="G50" s="159"/>
      <c r="H50" s="159"/>
      <c r="I50" s="159"/>
    </row>
    <row r="51" spans="5:9" ht="15.5" x14ac:dyDescent="0.35">
      <c r="F51" s="227" t="s">
        <v>193</v>
      </c>
      <c r="G51" s="158">
        <f>G46+G47</f>
        <v>381595</v>
      </c>
      <c r="H51" s="158"/>
      <c r="I51" s="158">
        <f>I46+I47+I48+I49</f>
        <v>6203400</v>
      </c>
    </row>
    <row r="54" spans="5:9" x14ac:dyDescent="0.35">
      <c r="E54" s="387" t="s">
        <v>197</v>
      </c>
      <c r="F54" s="387"/>
      <c r="G54" s="157">
        <v>0</v>
      </c>
      <c r="H54" s="157"/>
      <c r="I54" s="157">
        <f>I46</f>
        <v>1159000</v>
      </c>
    </row>
    <row r="55" spans="5:9" x14ac:dyDescent="0.35">
      <c r="E55" s="387" t="s">
        <v>198</v>
      </c>
      <c r="F55" s="387"/>
      <c r="G55" s="157">
        <f>G51-(G54+G56+G57)</f>
        <v>-18405</v>
      </c>
      <c r="H55" s="157"/>
      <c r="I55" s="157">
        <f>I51-(I54+I56+I57)</f>
        <v>1615000</v>
      </c>
    </row>
    <row r="56" spans="5:9" x14ac:dyDescent="0.35">
      <c r="E56" s="388" t="s">
        <v>199</v>
      </c>
      <c r="F56" s="389"/>
      <c r="G56" s="157">
        <v>400000</v>
      </c>
      <c r="H56" s="157"/>
      <c r="I56" s="157">
        <f>2*800000</f>
        <v>1600000</v>
      </c>
    </row>
    <row r="57" spans="5:9" x14ac:dyDescent="0.35">
      <c r="E57" s="387" t="s">
        <v>200</v>
      </c>
      <c r="F57" s="387"/>
      <c r="G57" s="157">
        <v>0</v>
      </c>
      <c r="H57" s="230"/>
      <c r="I57" s="230">
        <f>I47+I49</f>
        <v>1829400</v>
      </c>
    </row>
    <row r="59" spans="5:9" ht="15.5" x14ac:dyDescent="0.35">
      <c r="F59" s="216" t="s">
        <v>193</v>
      </c>
      <c r="G59" s="158">
        <f>SUM(G54:G58)</f>
        <v>381595</v>
      </c>
      <c r="H59" s="158"/>
      <c r="I59" s="158">
        <f>SUM(I54:I58)</f>
        <v>6203400</v>
      </c>
    </row>
  </sheetData>
  <mergeCells count="11">
    <mergeCell ref="A18:A20"/>
    <mergeCell ref="A1:I1"/>
    <mergeCell ref="A2:D2"/>
    <mergeCell ref="E2:G2"/>
    <mergeCell ref="A4:A12"/>
    <mergeCell ref="A15:B15"/>
    <mergeCell ref="K2:K3"/>
    <mergeCell ref="E54:F54"/>
    <mergeCell ref="E55:F55"/>
    <mergeCell ref="E56:F56"/>
    <mergeCell ref="E57:F57"/>
  </mergeCells>
  <pageMargins left="0.7" right="0.7" top="0.75" bottom="0.75" header="0.3" footer="0.3"/>
  <pageSetup scale="5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CB82-72C9-4B66-BE1F-7BB9D149B309}">
  <dimension ref="A1:P46"/>
  <sheetViews>
    <sheetView topLeftCell="A5" zoomScale="85" zoomScaleNormal="70" zoomScaleSheetLayoutView="99" workbookViewId="0">
      <selection activeCell="A5" sqref="A1:XFD1048576"/>
    </sheetView>
  </sheetViews>
  <sheetFormatPr defaultColWidth="9" defaultRowHeight="14.5" x14ac:dyDescent="0.35"/>
  <cols>
    <col min="1" max="1" width="28.54296875" style="75" customWidth="1"/>
    <col min="2" max="2" width="9.453125" style="75" customWidth="1"/>
    <col min="3" max="4" width="16.54296875" style="75" customWidth="1"/>
    <col min="5" max="5" width="18.453125" style="75" customWidth="1"/>
    <col min="6" max="6" width="14" style="75" customWidth="1"/>
    <col min="7" max="7" width="9" style="75"/>
    <col min="8" max="8" width="10.54296875" style="340" bestFit="1" customWidth="1"/>
    <col min="9" max="9" width="11.54296875" style="75" customWidth="1"/>
    <col min="10" max="10" width="12.54296875" style="75" customWidth="1"/>
    <col min="11" max="11" width="14" style="75" customWidth="1"/>
    <col min="12" max="14" width="9" style="75"/>
    <col min="15" max="15" width="14.26953125" style="75" bestFit="1" customWidth="1"/>
    <col min="16" max="16" width="15.7265625" style="75" bestFit="1" customWidth="1"/>
    <col min="17" max="16384" width="9" style="75"/>
  </cols>
  <sheetData>
    <row r="1" spans="1:16" ht="21" x14ac:dyDescent="0.35">
      <c r="A1" s="398" t="s">
        <v>201</v>
      </c>
      <c r="B1" s="398"/>
      <c r="C1" s="398"/>
      <c r="D1" s="398"/>
      <c r="E1" s="398"/>
      <c r="F1" s="398"/>
    </row>
    <row r="2" spans="1:16" ht="27" customHeight="1" x14ac:dyDescent="0.35">
      <c r="A2" s="399" t="s">
        <v>202</v>
      </c>
      <c r="B2" s="401" t="s">
        <v>203</v>
      </c>
      <c r="C2" s="403" t="s">
        <v>204</v>
      </c>
      <c r="D2" s="404"/>
      <c r="E2" s="405" t="s">
        <v>205</v>
      </c>
      <c r="F2" s="407" t="s">
        <v>206</v>
      </c>
      <c r="G2" s="386" t="s">
        <v>267</v>
      </c>
      <c r="H2" s="341" t="s">
        <v>310</v>
      </c>
      <c r="I2" s="333" t="s">
        <v>311</v>
      </c>
      <c r="J2" s="333" t="s">
        <v>312</v>
      </c>
      <c r="K2" s="333" t="s">
        <v>313</v>
      </c>
      <c r="L2" s="333" t="s">
        <v>314</v>
      </c>
      <c r="M2" s="333" t="s">
        <v>315</v>
      </c>
      <c r="N2" s="333" t="s">
        <v>316</v>
      </c>
      <c r="O2" s="333" t="s">
        <v>317</v>
      </c>
      <c r="P2" s="334" t="s">
        <v>318</v>
      </c>
    </row>
    <row r="3" spans="1:16" ht="27" customHeight="1" x14ac:dyDescent="0.35">
      <c r="A3" s="400"/>
      <c r="B3" s="402"/>
      <c r="C3" s="76" t="s">
        <v>207</v>
      </c>
      <c r="D3" s="76" t="s">
        <v>208</v>
      </c>
      <c r="E3" s="406"/>
      <c r="F3" s="407"/>
      <c r="G3" s="386"/>
      <c r="H3" s="335">
        <f>(0.9*7200)-(50*12)</f>
        <v>5880</v>
      </c>
      <c r="I3" s="336">
        <f>0.018+0.0075</f>
        <v>2.5499999999999998E-2</v>
      </c>
      <c r="J3" s="336">
        <v>1.4500000000000001E-2</v>
      </c>
      <c r="K3" s="336">
        <v>1.26E-2</v>
      </c>
      <c r="L3" s="336">
        <v>1.7000000000000001E-2</v>
      </c>
      <c r="M3" s="336">
        <v>8.4</v>
      </c>
      <c r="N3" s="336"/>
      <c r="O3" s="336"/>
      <c r="P3" s="337" t="s">
        <v>319</v>
      </c>
    </row>
    <row r="4" spans="1:16" x14ac:dyDescent="0.35">
      <c r="A4" s="77" t="s">
        <v>209</v>
      </c>
      <c r="B4" s="78">
        <v>2</v>
      </c>
      <c r="C4" s="79">
        <v>74000</v>
      </c>
      <c r="D4" s="79">
        <f t="shared" ref="D4:D23" si="0">C4+25000</f>
        <v>99000</v>
      </c>
      <c r="E4" s="80">
        <f t="shared" ref="E4:E21" si="1">C4+5000</f>
        <v>79000</v>
      </c>
      <c r="F4" s="80">
        <f t="shared" ref="F4:F23" si="2">B4*E4</f>
        <v>158000</v>
      </c>
      <c r="H4" s="340">
        <f>+$H$3*B4</f>
        <v>11760</v>
      </c>
      <c r="I4" s="338">
        <f>+$I$3*F4</f>
        <v>4028.9999999999995</v>
      </c>
      <c r="J4" s="338">
        <f>+$J$3*F4</f>
        <v>2291</v>
      </c>
      <c r="K4" s="339">
        <f>+$K$3*F4</f>
        <v>1990.8</v>
      </c>
      <c r="L4" s="338">
        <f>+$L$3*F4</f>
        <v>2686</v>
      </c>
      <c r="M4" s="75">
        <f>+$M$3*B4</f>
        <v>16.8</v>
      </c>
      <c r="O4" s="338">
        <f>SUM(I4:M4)</f>
        <v>11013.599999999999</v>
      </c>
      <c r="P4" s="343">
        <f>+F4+H4+O4</f>
        <v>180773.6</v>
      </c>
    </row>
    <row r="5" spans="1:16" x14ac:dyDescent="0.35">
      <c r="A5" s="332" t="s">
        <v>210</v>
      </c>
      <c r="B5" s="78">
        <v>1</v>
      </c>
      <c r="C5" s="79">
        <v>74000</v>
      </c>
      <c r="D5" s="79">
        <f t="shared" ref="D5" si="3">C5+25000</f>
        <v>99000</v>
      </c>
      <c r="E5" s="80">
        <f t="shared" ref="E5" si="4">C5+5000</f>
        <v>79000</v>
      </c>
      <c r="F5" s="80">
        <f t="shared" si="2"/>
        <v>79000</v>
      </c>
      <c r="H5" s="340">
        <f t="shared" ref="H5:H23" si="5">+$H$3*B5</f>
        <v>5880</v>
      </c>
      <c r="I5" s="338">
        <f t="shared" ref="I5:I23" si="6">+$I$3*F5</f>
        <v>2014.4999999999998</v>
      </c>
      <c r="J5" s="338">
        <f t="shared" ref="J5:J23" si="7">+$J$3*F5</f>
        <v>1145.5</v>
      </c>
      <c r="K5" s="339">
        <f t="shared" ref="K5:K23" si="8">+$K$3*F5</f>
        <v>995.4</v>
      </c>
      <c r="L5" s="338">
        <f t="shared" ref="L5:L23" si="9">+$L$3*F5</f>
        <v>1343</v>
      </c>
      <c r="M5" s="75">
        <f t="shared" ref="M5:M23" si="10">+$M$3*B5</f>
        <v>8.4</v>
      </c>
      <c r="O5" s="338">
        <f t="shared" ref="O5:O23" si="11">SUM(I5:M5)</f>
        <v>5506.7999999999993</v>
      </c>
      <c r="P5" s="343">
        <f t="shared" ref="P5:P25" si="12">+F5+H5+O5</f>
        <v>90386.8</v>
      </c>
    </row>
    <row r="6" spans="1:16" x14ac:dyDescent="0.35">
      <c r="A6" s="77" t="s">
        <v>211</v>
      </c>
      <c r="B6" s="78">
        <v>2</v>
      </c>
      <c r="C6" s="79">
        <v>70000</v>
      </c>
      <c r="D6" s="79">
        <f t="shared" si="0"/>
        <v>95000</v>
      </c>
      <c r="E6" s="80">
        <f t="shared" si="1"/>
        <v>75000</v>
      </c>
      <c r="F6" s="80">
        <f t="shared" si="2"/>
        <v>150000</v>
      </c>
      <c r="H6" s="340">
        <f t="shared" si="5"/>
        <v>11760</v>
      </c>
      <c r="I6" s="338">
        <f t="shared" si="6"/>
        <v>3824.9999999999995</v>
      </c>
      <c r="J6" s="338">
        <f t="shared" si="7"/>
        <v>2175</v>
      </c>
      <c r="K6" s="339">
        <f t="shared" si="8"/>
        <v>1890</v>
      </c>
      <c r="L6" s="338">
        <f t="shared" si="9"/>
        <v>2550</v>
      </c>
      <c r="M6" s="75">
        <f t="shared" si="10"/>
        <v>16.8</v>
      </c>
      <c r="O6" s="338">
        <f t="shared" si="11"/>
        <v>10456.799999999999</v>
      </c>
      <c r="P6" s="343">
        <f t="shared" si="12"/>
        <v>172216.8</v>
      </c>
    </row>
    <row r="7" spans="1:16" x14ac:dyDescent="0.35">
      <c r="A7" s="77" t="s">
        <v>212</v>
      </c>
      <c r="B7" s="78">
        <v>2</v>
      </c>
      <c r="C7" s="79">
        <v>70000</v>
      </c>
      <c r="D7" s="79">
        <f t="shared" si="0"/>
        <v>95000</v>
      </c>
      <c r="E7" s="80">
        <f t="shared" si="1"/>
        <v>75000</v>
      </c>
      <c r="F7" s="80">
        <f t="shared" si="2"/>
        <v>150000</v>
      </c>
      <c r="H7" s="340">
        <f t="shared" si="5"/>
        <v>11760</v>
      </c>
      <c r="I7" s="338">
        <f t="shared" si="6"/>
        <v>3824.9999999999995</v>
      </c>
      <c r="J7" s="338">
        <f t="shared" si="7"/>
        <v>2175</v>
      </c>
      <c r="K7" s="339">
        <f t="shared" si="8"/>
        <v>1890</v>
      </c>
      <c r="L7" s="338">
        <f t="shared" si="9"/>
        <v>2550</v>
      </c>
      <c r="M7" s="75">
        <f t="shared" si="10"/>
        <v>16.8</v>
      </c>
      <c r="O7" s="338">
        <f t="shared" si="11"/>
        <v>10456.799999999999</v>
      </c>
      <c r="P7" s="343">
        <f t="shared" si="12"/>
        <v>172216.8</v>
      </c>
    </row>
    <row r="8" spans="1:16" x14ac:dyDescent="0.35">
      <c r="A8" s="81" t="s">
        <v>213</v>
      </c>
      <c r="B8" s="78">
        <v>1</v>
      </c>
      <c r="C8" s="79">
        <v>74000</v>
      </c>
      <c r="D8" s="79">
        <f t="shared" si="0"/>
        <v>99000</v>
      </c>
      <c r="E8" s="80">
        <f t="shared" si="1"/>
        <v>79000</v>
      </c>
      <c r="F8" s="80">
        <f t="shared" si="2"/>
        <v>79000</v>
      </c>
      <c r="H8" s="340">
        <f t="shared" si="5"/>
        <v>5880</v>
      </c>
      <c r="I8" s="338">
        <f t="shared" si="6"/>
        <v>2014.4999999999998</v>
      </c>
      <c r="J8" s="338">
        <f t="shared" si="7"/>
        <v>1145.5</v>
      </c>
      <c r="K8" s="339">
        <f t="shared" si="8"/>
        <v>995.4</v>
      </c>
      <c r="L8" s="338">
        <f t="shared" si="9"/>
        <v>1343</v>
      </c>
      <c r="M8" s="75">
        <f t="shared" si="10"/>
        <v>8.4</v>
      </c>
      <c r="O8" s="338">
        <f t="shared" si="11"/>
        <v>5506.7999999999993</v>
      </c>
      <c r="P8" s="343">
        <f t="shared" si="12"/>
        <v>90386.8</v>
      </c>
    </row>
    <row r="9" spans="1:16" x14ac:dyDescent="0.35">
      <c r="A9" s="77" t="s">
        <v>214</v>
      </c>
      <c r="B9" s="78">
        <v>2</v>
      </c>
      <c r="C9" s="79">
        <v>74000</v>
      </c>
      <c r="D9" s="79">
        <f t="shared" si="0"/>
        <v>99000</v>
      </c>
      <c r="E9" s="80">
        <f t="shared" si="1"/>
        <v>79000</v>
      </c>
      <c r="F9" s="80">
        <f t="shared" si="2"/>
        <v>158000</v>
      </c>
      <c r="H9" s="340">
        <f t="shared" si="5"/>
        <v>11760</v>
      </c>
      <c r="I9" s="338">
        <f t="shared" si="6"/>
        <v>4028.9999999999995</v>
      </c>
      <c r="J9" s="338">
        <f t="shared" si="7"/>
        <v>2291</v>
      </c>
      <c r="K9" s="339">
        <f t="shared" si="8"/>
        <v>1990.8</v>
      </c>
      <c r="L9" s="338">
        <f t="shared" si="9"/>
        <v>2686</v>
      </c>
      <c r="M9" s="75">
        <f t="shared" si="10"/>
        <v>16.8</v>
      </c>
      <c r="O9" s="338">
        <f t="shared" si="11"/>
        <v>11013.599999999999</v>
      </c>
      <c r="P9" s="343">
        <f t="shared" si="12"/>
        <v>180773.6</v>
      </c>
    </row>
    <row r="10" spans="1:16" x14ac:dyDescent="0.35">
      <c r="A10" s="77" t="s">
        <v>215</v>
      </c>
      <c r="B10" s="78">
        <v>2</v>
      </c>
      <c r="C10" s="79">
        <v>70000</v>
      </c>
      <c r="D10" s="79">
        <f t="shared" si="0"/>
        <v>95000</v>
      </c>
      <c r="E10" s="80">
        <f t="shared" si="1"/>
        <v>75000</v>
      </c>
      <c r="F10" s="80">
        <f t="shared" si="2"/>
        <v>150000</v>
      </c>
      <c r="H10" s="340">
        <f t="shared" si="5"/>
        <v>11760</v>
      </c>
      <c r="I10" s="338">
        <f t="shared" si="6"/>
        <v>3824.9999999999995</v>
      </c>
      <c r="J10" s="338">
        <f t="shared" si="7"/>
        <v>2175</v>
      </c>
      <c r="K10" s="339">
        <f t="shared" si="8"/>
        <v>1890</v>
      </c>
      <c r="L10" s="338">
        <f t="shared" si="9"/>
        <v>2550</v>
      </c>
      <c r="M10" s="75">
        <f t="shared" si="10"/>
        <v>16.8</v>
      </c>
      <c r="O10" s="338">
        <f t="shared" si="11"/>
        <v>10456.799999999999</v>
      </c>
      <c r="P10" s="343">
        <f t="shared" si="12"/>
        <v>172216.8</v>
      </c>
    </row>
    <row r="11" spans="1:16" x14ac:dyDescent="0.35">
      <c r="A11" s="77" t="s">
        <v>216</v>
      </c>
      <c r="B11" s="78">
        <v>1</v>
      </c>
      <c r="C11" s="79">
        <v>70000</v>
      </c>
      <c r="D11" s="79">
        <f t="shared" si="0"/>
        <v>95000</v>
      </c>
      <c r="E11" s="80">
        <f t="shared" si="1"/>
        <v>75000</v>
      </c>
      <c r="F11" s="80">
        <f t="shared" si="2"/>
        <v>75000</v>
      </c>
      <c r="H11" s="340">
        <f t="shared" si="5"/>
        <v>5880</v>
      </c>
      <c r="I11" s="338">
        <f t="shared" si="6"/>
        <v>1912.4999999999998</v>
      </c>
      <c r="J11" s="338">
        <f t="shared" si="7"/>
        <v>1087.5</v>
      </c>
      <c r="K11" s="339">
        <f t="shared" si="8"/>
        <v>945</v>
      </c>
      <c r="L11" s="338">
        <f t="shared" si="9"/>
        <v>1275</v>
      </c>
      <c r="M11" s="75">
        <f t="shared" si="10"/>
        <v>8.4</v>
      </c>
      <c r="O11" s="338">
        <f t="shared" si="11"/>
        <v>5228.3999999999996</v>
      </c>
      <c r="P11" s="343">
        <f t="shared" si="12"/>
        <v>86108.4</v>
      </c>
    </row>
    <row r="12" spans="1:16" x14ac:dyDescent="0.35">
      <c r="A12" s="82" t="s">
        <v>217</v>
      </c>
      <c r="B12" s="78">
        <v>1</v>
      </c>
      <c r="C12" s="79">
        <v>74000</v>
      </c>
      <c r="D12" s="79">
        <f t="shared" si="0"/>
        <v>99000</v>
      </c>
      <c r="E12" s="80">
        <f t="shared" si="1"/>
        <v>79000</v>
      </c>
      <c r="F12" s="80">
        <f t="shared" si="2"/>
        <v>79000</v>
      </c>
      <c r="H12" s="340">
        <f t="shared" si="5"/>
        <v>5880</v>
      </c>
      <c r="I12" s="338">
        <f t="shared" si="6"/>
        <v>2014.4999999999998</v>
      </c>
      <c r="J12" s="338">
        <f t="shared" si="7"/>
        <v>1145.5</v>
      </c>
      <c r="K12" s="339">
        <f t="shared" si="8"/>
        <v>995.4</v>
      </c>
      <c r="L12" s="338">
        <f t="shared" si="9"/>
        <v>1343</v>
      </c>
      <c r="M12" s="75">
        <f t="shared" si="10"/>
        <v>8.4</v>
      </c>
      <c r="O12" s="338">
        <f t="shared" si="11"/>
        <v>5506.7999999999993</v>
      </c>
      <c r="P12" s="343">
        <f t="shared" si="12"/>
        <v>90386.8</v>
      </c>
    </row>
    <row r="13" spans="1:16" x14ac:dyDescent="0.35">
      <c r="A13" s="82" t="s">
        <v>218</v>
      </c>
      <c r="B13" s="83">
        <v>1</v>
      </c>
      <c r="C13" s="79">
        <v>66000</v>
      </c>
      <c r="D13" s="79">
        <f t="shared" si="0"/>
        <v>91000</v>
      </c>
      <c r="E13" s="80">
        <f t="shared" si="1"/>
        <v>71000</v>
      </c>
      <c r="F13" s="80">
        <f t="shared" si="2"/>
        <v>71000</v>
      </c>
      <c r="H13" s="340">
        <f t="shared" si="5"/>
        <v>5880</v>
      </c>
      <c r="I13" s="338">
        <f t="shared" si="6"/>
        <v>1810.4999999999998</v>
      </c>
      <c r="J13" s="338">
        <f t="shared" si="7"/>
        <v>1029.5</v>
      </c>
      <c r="K13" s="339">
        <f t="shared" si="8"/>
        <v>894.6</v>
      </c>
      <c r="L13" s="338">
        <f t="shared" si="9"/>
        <v>1207</v>
      </c>
      <c r="M13" s="75">
        <f t="shared" si="10"/>
        <v>8.4</v>
      </c>
      <c r="O13" s="338">
        <f t="shared" si="11"/>
        <v>4950</v>
      </c>
      <c r="P13" s="343">
        <f t="shared" si="12"/>
        <v>81830</v>
      </c>
    </row>
    <row r="14" spans="1:16" x14ac:dyDescent="0.35">
      <c r="A14" s="77" t="s">
        <v>219</v>
      </c>
      <c r="B14" s="78">
        <v>2</v>
      </c>
      <c r="C14" s="79">
        <v>74000</v>
      </c>
      <c r="D14" s="79">
        <f t="shared" si="0"/>
        <v>99000</v>
      </c>
      <c r="E14" s="80">
        <f t="shared" si="1"/>
        <v>79000</v>
      </c>
      <c r="F14" s="80">
        <f t="shared" si="2"/>
        <v>158000</v>
      </c>
      <c r="H14" s="340">
        <f t="shared" si="5"/>
        <v>11760</v>
      </c>
      <c r="I14" s="338">
        <f t="shared" si="6"/>
        <v>4028.9999999999995</v>
      </c>
      <c r="J14" s="338">
        <f t="shared" si="7"/>
        <v>2291</v>
      </c>
      <c r="K14" s="339">
        <f t="shared" si="8"/>
        <v>1990.8</v>
      </c>
      <c r="L14" s="338">
        <f t="shared" si="9"/>
        <v>2686</v>
      </c>
      <c r="M14" s="75">
        <f t="shared" si="10"/>
        <v>16.8</v>
      </c>
      <c r="O14" s="338">
        <f t="shared" si="11"/>
        <v>11013.599999999999</v>
      </c>
      <c r="P14" s="343">
        <f t="shared" si="12"/>
        <v>180773.6</v>
      </c>
    </row>
    <row r="15" spans="1:16" x14ac:dyDescent="0.35">
      <c r="A15" s="84" t="s">
        <v>220</v>
      </c>
      <c r="B15" s="78">
        <v>2</v>
      </c>
      <c r="C15" s="79">
        <v>70000</v>
      </c>
      <c r="D15" s="79">
        <f t="shared" si="0"/>
        <v>95000</v>
      </c>
      <c r="E15" s="80">
        <f t="shared" si="1"/>
        <v>75000</v>
      </c>
      <c r="F15" s="80">
        <f t="shared" si="2"/>
        <v>150000</v>
      </c>
      <c r="H15" s="340">
        <f t="shared" si="5"/>
        <v>11760</v>
      </c>
      <c r="I15" s="338">
        <f t="shared" si="6"/>
        <v>3824.9999999999995</v>
      </c>
      <c r="J15" s="338">
        <f t="shared" si="7"/>
        <v>2175</v>
      </c>
      <c r="K15" s="339">
        <f t="shared" si="8"/>
        <v>1890</v>
      </c>
      <c r="L15" s="338">
        <f t="shared" si="9"/>
        <v>2550</v>
      </c>
      <c r="M15" s="75">
        <f t="shared" si="10"/>
        <v>16.8</v>
      </c>
      <c r="O15" s="338">
        <f t="shared" si="11"/>
        <v>10456.799999999999</v>
      </c>
      <c r="P15" s="343">
        <f t="shared" si="12"/>
        <v>172216.8</v>
      </c>
    </row>
    <row r="16" spans="1:16" x14ac:dyDescent="0.35">
      <c r="A16" s="77" t="s">
        <v>221</v>
      </c>
      <c r="B16" s="78">
        <v>1</v>
      </c>
      <c r="C16" s="79">
        <v>70000</v>
      </c>
      <c r="D16" s="79">
        <f t="shared" si="0"/>
        <v>95000</v>
      </c>
      <c r="E16" s="80">
        <f t="shared" si="1"/>
        <v>75000</v>
      </c>
      <c r="F16" s="80">
        <f t="shared" si="2"/>
        <v>75000</v>
      </c>
      <c r="H16" s="340">
        <f t="shared" si="5"/>
        <v>5880</v>
      </c>
      <c r="I16" s="338">
        <f t="shared" si="6"/>
        <v>1912.4999999999998</v>
      </c>
      <c r="J16" s="338">
        <f t="shared" si="7"/>
        <v>1087.5</v>
      </c>
      <c r="K16" s="339">
        <f t="shared" si="8"/>
        <v>945</v>
      </c>
      <c r="L16" s="338">
        <f t="shared" si="9"/>
        <v>1275</v>
      </c>
      <c r="M16" s="75">
        <f t="shared" si="10"/>
        <v>8.4</v>
      </c>
      <c r="O16" s="338">
        <f t="shared" si="11"/>
        <v>5228.3999999999996</v>
      </c>
      <c r="P16" s="343">
        <f t="shared" si="12"/>
        <v>86108.4</v>
      </c>
    </row>
    <row r="17" spans="1:16" x14ac:dyDescent="0.35">
      <c r="A17" s="81" t="s">
        <v>222</v>
      </c>
      <c r="B17" s="78">
        <v>1</v>
      </c>
      <c r="C17" s="79">
        <v>74000</v>
      </c>
      <c r="D17" s="79">
        <f t="shared" si="0"/>
        <v>99000</v>
      </c>
      <c r="E17" s="80">
        <f t="shared" si="1"/>
        <v>79000</v>
      </c>
      <c r="F17" s="80">
        <f t="shared" si="2"/>
        <v>79000</v>
      </c>
      <c r="H17" s="340">
        <f t="shared" si="5"/>
        <v>5880</v>
      </c>
      <c r="I17" s="338">
        <f t="shared" si="6"/>
        <v>2014.4999999999998</v>
      </c>
      <c r="J17" s="338">
        <f t="shared" si="7"/>
        <v>1145.5</v>
      </c>
      <c r="K17" s="339">
        <f t="shared" si="8"/>
        <v>995.4</v>
      </c>
      <c r="L17" s="338">
        <f t="shared" si="9"/>
        <v>1343</v>
      </c>
      <c r="M17" s="75">
        <f t="shared" si="10"/>
        <v>8.4</v>
      </c>
      <c r="O17" s="338">
        <f t="shared" si="11"/>
        <v>5506.7999999999993</v>
      </c>
      <c r="P17" s="343">
        <f t="shared" si="12"/>
        <v>90386.8</v>
      </c>
    </row>
    <row r="18" spans="1:16" x14ac:dyDescent="0.35">
      <c r="A18" s="82" t="s">
        <v>223</v>
      </c>
      <c r="B18" s="83">
        <v>1</v>
      </c>
      <c r="C18" s="79">
        <v>66000</v>
      </c>
      <c r="D18" s="79">
        <f t="shared" si="0"/>
        <v>91000</v>
      </c>
      <c r="E18" s="80">
        <f t="shared" si="1"/>
        <v>71000</v>
      </c>
      <c r="F18" s="80">
        <f t="shared" si="2"/>
        <v>71000</v>
      </c>
      <c r="H18" s="340">
        <f t="shared" si="5"/>
        <v>5880</v>
      </c>
      <c r="I18" s="338">
        <f t="shared" si="6"/>
        <v>1810.4999999999998</v>
      </c>
      <c r="J18" s="338">
        <f t="shared" si="7"/>
        <v>1029.5</v>
      </c>
      <c r="K18" s="339">
        <f t="shared" si="8"/>
        <v>894.6</v>
      </c>
      <c r="L18" s="338">
        <f t="shared" si="9"/>
        <v>1207</v>
      </c>
      <c r="M18" s="75">
        <f t="shared" si="10"/>
        <v>8.4</v>
      </c>
      <c r="O18" s="338">
        <f t="shared" si="11"/>
        <v>4950</v>
      </c>
      <c r="P18" s="343">
        <f t="shared" si="12"/>
        <v>81830</v>
      </c>
    </row>
    <row r="19" spans="1:16" x14ac:dyDescent="0.35">
      <c r="A19" s="77" t="s">
        <v>224</v>
      </c>
      <c r="B19" s="78">
        <v>4</v>
      </c>
      <c r="C19" s="79">
        <v>60000</v>
      </c>
      <c r="D19" s="79">
        <f t="shared" si="0"/>
        <v>85000</v>
      </c>
      <c r="E19" s="80">
        <f t="shared" si="1"/>
        <v>65000</v>
      </c>
      <c r="F19" s="80">
        <f t="shared" si="2"/>
        <v>260000</v>
      </c>
      <c r="H19" s="340">
        <f t="shared" si="5"/>
        <v>23520</v>
      </c>
      <c r="I19" s="338">
        <f t="shared" si="6"/>
        <v>6630</v>
      </c>
      <c r="J19" s="338">
        <f t="shared" si="7"/>
        <v>3770</v>
      </c>
      <c r="K19" s="339">
        <f t="shared" si="8"/>
        <v>3276</v>
      </c>
      <c r="L19" s="338">
        <f t="shared" si="9"/>
        <v>4420</v>
      </c>
      <c r="M19" s="75">
        <f t="shared" si="10"/>
        <v>33.6</v>
      </c>
      <c r="O19" s="338">
        <f t="shared" si="11"/>
        <v>18129.599999999999</v>
      </c>
      <c r="P19" s="343">
        <f t="shared" si="12"/>
        <v>301649.59999999998</v>
      </c>
    </row>
    <row r="20" spans="1:16" x14ac:dyDescent="0.35">
      <c r="A20" s="77" t="s">
        <v>225</v>
      </c>
      <c r="B20" s="78">
        <v>1</v>
      </c>
      <c r="C20" s="79">
        <v>70000</v>
      </c>
      <c r="D20" s="79">
        <f t="shared" si="0"/>
        <v>95000</v>
      </c>
      <c r="E20" s="80">
        <f t="shared" si="1"/>
        <v>75000</v>
      </c>
      <c r="F20" s="80">
        <f t="shared" si="2"/>
        <v>75000</v>
      </c>
      <c r="H20" s="340">
        <f t="shared" si="5"/>
        <v>5880</v>
      </c>
      <c r="I20" s="338">
        <f t="shared" si="6"/>
        <v>1912.4999999999998</v>
      </c>
      <c r="J20" s="338">
        <f t="shared" si="7"/>
        <v>1087.5</v>
      </c>
      <c r="K20" s="339">
        <f t="shared" si="8"/>
        <v>945</v>
      </c>
      <c r="L20" s="338">
        <f t="shared" si="9"/>
        <v>1275</v>
      </c>
      <c r="M20" s="75">
        <f t="shared" si="10"/>
        <v>8.4</v>
      </c>
      <c r="O20" s="338">
        <f t="shared" si="11"/>
        <v>5228.3999999999996</v>
      </c>
      <c r="P20" s="343">
        <f t="shared" si="12"/>
        <v>86108.4</v>
      </c>
    </row>
    <row r="21" spans="1:16" x14ac:dyDescent="0.35">
      <c r="A21" s="77" t="s">
        <v>226</v>
      </c>
      <c r="B21" s="78">
        <v>1</v>
      </c>
      <c r="C21" s="79">
        <v>70000</v>
      </c>
      <c r="D21" s="79">
        <f t="shared" si="0"/>
        <v>95000</v>
      </c>
      <c r="E21" s="80">
        <f t="shared" si="1"/>
        <v>75000</v>
      </c>
      <c r="F21" s="80">
        <f t="shared" si="2"/>
        <v>75000</v>
      </c>
      <c r="H21" s="340">
        <f t="shared" si="5"/>
        <v>5880</v>
      </c>
      <c r="I21" s="338">
        <f t="shared" si="6"/>
        <v>1912.4999999999998</v>
      </c>
      <c r="J21" s="338">
        <f t="shared" si="7"/>
        <v>1087.5</v>
      </c>
      <c r="K21" s="339">
        <f t="shared" si="8"/>
        <v>945</v>
      </c>
      <c r="L21" s="338">
        <f t="shared" si="9"/>
        <v>1275</v>
      </c>
      <c r="M21" s="75">
        <f t="shared" si="10"/>
        <v>8.4</v>
      </c>
      <c r="O21" s="338">
        <f t="shared" si="11"/>
        <v>5228.3999999999996</v>
      </c>
      <c r="P21" s="343">
        <f t="shared" si="12"/>
        <v>86108.4</v>
      </c>
    </row>
    <row r="22" spans="1:16" x14ac:dyDescent="0.35">
      <c r="A22" s="77" t="s">
        <v>227</v>
      </c>
      <c r="B22" s="78">
        <v>7</v>
      </c>
      <c r="C22" s="79">
        <v>53000</v>
      </c>
      <c r="D22" s="79">
        <f t="shared" si="0"/>
        <v>78000</v>
      </c>
      <c r="E22" s="80">
        <v>54000</v>
      </c>
      <c r="F22" s="80">
        <f t="shared" si="2"/>
        <v>378000</v>
      </c>
      <c r="H22" s="340">
        <f t="shared" si="5"/>
        <v>41160</v>
      </c>
      <c r="I22" s="338">
        <f t="shared" si="6"/>
        <v>9639</v>
      </c>
      <c r="J22" s="338">
        <f t="shared" si="7"/>
        <v>5481</v>
      </c>
      <c r="K22" s="339">
        <f t="shared" si="8"/>
        <v>4762.8</v>
      </c>
      <c r="L22" s="338">
        <f t="shared" si="9"/>
        <v>6426.0000000000009</v>
      </c>
      <c r="M22" s="75">
        <f t="shared" si="10"/>
        <v>58.800000000000004</v>
      </c>
      <c r="O22" s="338">
        <f t="shared" si="11"/>
        <v>26367.599999999999</v>
      </c>
      <c r="P22" s="343">
        <f t="shared" si="12"/>
        <v>445527.6</v>
      </c>
    </row>
    <row r="23" spans="1:16" x14ac:dyDescent="0.35">
      <c r="A23" s="77" t="s">
        <v>228</v>
      </c>
      <c r="B23" s="78">
        <v>5</v>
      </c>
      <c r="C23" s="79">
        <v>63000</v>
      </c>
      <c r="D23" s="79">
        <f t="shared" si="0"/>
        <v>88000</v>
      </c>
      <c r="E23" s="80">
        <v>64000</v>
      </c>
      <c r="F23" s="80">
        <f t="shared" si="2"/>
        <v>320000</v>
      </c>
      <c r="H23" s="340">
        <f t="shared" si="5"/>
        <v>29400</v>
      </c>
      <c r="I23" s="338">
        <f t="shared" si="6"/>
        <v>8159.9999999999991</v>
      </c>
      <c r="J23" s="338">
        <f t="shared" si="7"/>
        <v>4640</v>
      </c>
      <c r="K23" s="339">
        <f t="shared" si="8"/>
        <v>4032</v>
      </c>
      <c r="L23" s="338">
        <f t="shared" si="9"/>
        <v>5440</v>
      </c>
      <c r="M23" s="75">
        <f t="shared" si="10"/>
        <v>42</v>
      </c>
      <c r="O23" s="338">
        <f t="shared" si="11"/>
        <v>22314</v>
      </c>
      <c r="P23" s="343">
        <f t="shared" si="12"/>
        <v>371714</v>
      </c>
    </row>
    <row r="24" spans="1:16" ht="15.5" x14ac:dyDescent="0.35">
      <c r="B24" s="85">
        <f>SUM(B4:B23)</f>
        <v>40</v>
      </c>
      <c r="F24" s="86">
        <f>SUM(F4:F23)</f>
        <v>2790000</v>
      </c>
      <c r="H24" s="340">
        <f>SUM(H3:H23)</f>
        <v>241080</v>
      </c>
      <c r="I24" s="340">
        <f t="shared" ref="I24:P24" si="13">SUM(I3:I23)</f>
        <v>71145.025499999989</v>
      </c>
      <c r="J24" s="340">
        <f t="shared" si="13"/>
        <v>40455.014500000005</v>
      </c>
      <c r="K24" s="340">
        <f t="shared" si="13"/>
        <v>35154.012600000002</v>
      </c>
      <c r="L24" s="340">
        <f t="shared" si="13"/>
        <v>47430.017</v>
      </c>
      <c r="M24" s="340">
        <f t="shared" si="13"/>
        <v>344.40000000000003</v>
      </c>
      <c r="N24" s="340">
        <f t="shared" si="13"/>
        <v>0</v>
      </c>
      <c r="O24" s="340">
        <f t="shared" si="13"/>
        <v>194520</v>
      </c>
      <c r="P24" s="340">
        <f t="shared" si="13"/>
        <v>3219720</v>
      </c>
    </row>
    <row r="25" spans="1:16" x14ac:dyDescent="0.35">
      <c r="B25" s="85"/>
      <c r="I25" s="75">
        <v>2707000</v>
      </c>
      <c r="L25" s="338"/>
      <c r="P25" s="343">
        <f t="shared" si="12"/>
        <v>0</v>
      </c>
    </row>
    <row r="26" spans="1:16" x14ac:dyDescent="0.35">
      <c r="B26" s="85"/>
    </row>
    <row r="27" spans="1:16" x14ac:dyDescent="0.35">
      <c r="B27" s="85"/>
    </row>
    <row r="28" spans="1:16" ht="33" customHeight="1" x14ac:dyDescent="0.35">
      <c r="A28" s="399" t="s">
        <v>202</v>
      </c>
      <c r="B28" s="401" t="s">
        <v>203</v>
      </c>
      <c r="C28" s="403" t="s">
        <v>204</v>
      </c>
      <c r="D28" s="404"/>
      <c r="E28" s="405" t="s">
        <v>205</v>
      </c>
      <c r="F28" s="407" t="s">
        <v>206</v>
      </c>
    </row>
    <row r="29" spans="1:16" ht="31.5" customHeight="1" x14ac:dyDescent="0.35">
      <c r="A29" s="400"/>
      <c r="B29" s="402"/>
      <c r="C29" s="76" t="s">
        <v>207</v>
      </c>
      <c r="D29" s="76" t="s">
        <v>208</v>
      </c>
      <c r="E29" s="406"/>
      <c r="F29" s="407"/>
    </row>
    <row r="30" spans="1:16" x14ac:dyDescent="0.35">
      <c r="A30" s="77" t="s">
        <v>229</v>
      </c>
      <c r="B30" s="78">
        <v>2</v>
      </c>
      <c r="C30" s="79">
        <v>70000</v>
      </c>
      <c r="D30" s="79">
        <f>C30+25000</f>
        <v>95000</v>
      </c>
      <c r="E30" s="80">
        <f>C30+5000</f>
        <v>75000</v>
      </c>
      <c r="F30" s="80">
        <f>B30*E30</f>
        <v>150000</v>
      </c>
      <c r="H30" s="340">
        <f t="shared" ref="H30" si="14">+$H$3*B30</f>
        <v>11760</v>
      </c>
      <c r="I30" s="338">
        <f t="shared" ref="I30" si="15">+$I$3*F30</f>
        <v>3824.9999999999995</v>
      </c>
      <c r="J30" s="338">
        <f t="shared" ref="J30" si="16">+$J$3*F30</f>
        <v>2175</v>
      </c>
      <c r="K30" s="339">
        <f t="shared" ref="K30" si="17">+$K$3*F30</f>
        <v>1890</v>
      </c>
      <c r="L30" s="338">
        <f t="shared" ref="L30" si="18">+$L$3*F30</f>
        <v>2550</v>
      </c>
      <c r="M30" s="75">
        <f t="shared" ref="M30" si="19">+$M$3*B30</f>
        <v>16.8</v>
      </c>
      <c r="O30" s="338">
        <f t="shared" ref="O30" si="20">SUM(I30:M30)</f>
        <v>10456.799999999999</v>
      </c>
      <c r="P30" s="343">
        <f t="shared" ref="P30" si="21">+F30+H30+O30</f>
        <v>172216.8</v>
      </c>
    </row>
    <row r="31" spans="1:16" x14ac:dyDescent="0.35">
      <c r="A31" s="77" t="s">
        <v>230</v>
      </c>
      <c r="B31" s="78">
        <v>1</v>
      </c>
      <c r="C31" s="79">
        <v>50000</v>
      </c>
      <c r="D31" s="79">
        <f>C31+25000</f>
        <v>75000</v>
      </c>
      <c r="E31" s="80">
        <f>C31+5000</f>
        <v>55000</v>
      </c>
      <c r="F31" s="80">
        <f>B31*E31</f>
        <v>55000</v>
      </c>
      <c r="H31" s="340">
        <f t="shared" ref="H31" si="22">+$H$3*B31</f>
        <v>5880</v>
      </c>
      <c r="I31" s="338">
        <f t="shared" ref="I31" si="23">+$I$3*F31</f>
        <v>1402.5</v>
      </c>
      <c r="J31" s="338">
        <f t="shared" ref="J31" si="24">+$J$3*F31</f>
        <v>797.5</v>
      </c>
      <c r="K31" s="339">
        <f t="shared" ref="K31" si="25">+$K$3*F31</f>
        <v>693</v>
      </c>
      <c r="L31" s="338">
        <f t="shared" ref="L31" si="26">+$L$3*F31</f>
        <v>935.00000000000011</v>
      </c>
      <c r="M31" s="75">
        <f t="shared" ref="M31" si="27">+$M$3*B31</f>
        <v>8.4</v>
      </c>
      <c r="O31" s="338">
        <f t="shared" ref="O31" si="28">SUM(I31:M31)</f>
        <v>3836.4</v>
      </c>
      <c r="P31" s="343">
        <f t="shared" ref="P31" si="29">+F31+H31+O31</f>
        <v>64716.4</v>
      </c>
    </row>
    <row r="32" spans="1:16" ht="15.5" x14ac:dyDescent="0.35">
      <c r="B32" s="85">
        <f>SUM(B30:B31)</f>
        <v>3</v>
      </c>
      <c r="F32" s="86">
        <f>SUM(F30:F31)</f>
        <v>205000</v>
      </c>
      <c r="H32" s="340">
        <f>SUM(H30:H31)</f>
        <v>17640</v>
      </c>
      <c r="I32" s="340">
        <f t="shared" ref="I32:P32" si="30">SUM(I30:I31)</f>
        <v>5227.5</v>
      </c>
      <c r="J32" s="340">
        <f t="shared" si="30"/>
        <v>2972.5</v>
      </c>
      <c r="K32" s="340">
        <f t="shared" si="30"/>
        <v>2583</v>
      </c>
      <c r="L32" s="340">
        <f t="shared" si="30"/>
        <v>3485</v>
      </c>
      <c r="M32" s="340">
        <f t="shared" si="30"/>
        <v>25.200000000000003</v>
      </c>
      <c r="N32" s="340">
        <f t="shared" si="30"/>
        <v>0</v>
      </c>
      <c r="O32" s="340">
        <f t="shared" si="30"/>
        <v>14293.199999999999</v>
      </c>
      <c r="P32" s="340">
        <f t="shared" si="30"/>
        <v>236933.19999999998</v>
      </c>
    </row>
    <row r="33" spans="1:16" x14ac:dyDescent="0.35">
      <c r="B33" s="85"/>
    </row>
    <row r="34" spans="1:16" x14ac:dyDescent="0.35">
      <c r="A34" s="77" t="s">
        <v>231</v>
      </c>
      <c r="B34" s="78">
        <v>1</v>
      </c>
      <c r="C34" s="80">
        <v>130000</v>
      </c>
      <c r="F34" s="87">
        <f t="shared" ref="F34:F39" si="31">B34*C34</f>
        <v>130000</v>
      </c>
      <c r="H34" s="340">
        <f t="shared" ref="H34:H41" si="32">+$H$3*B34</f>
        <v>5880</v>
      </c>
      <c r="I34" s="338">
        <f t="shared" ref="I34:I41" si="33">+$I$3*F34</f>
        <v>3315</v>
      </c>
      <c r="J34" s="338">
        <f t="shared" ref="J34:J41" si="34">+$J$3*F34</f>
        <v>1885</v>
      </c>
      <c r="K34" s="339">
        <f t="shared" ref="K34:K41" si="35">+$K$3*F34</f>
        <v>1638</v>
      </c>
      <c r="L34" s="338">
        <f t="shared" ref="L34:L41" si="36">+$L$3*F34</f>
        <v>2210</v>
      </c>
      <c r="M34" s="75">
        <f t="shared" ref="M34:M41" si="37">+$M$3*B34</f>
        <v>8.4</v>
      </c>
      <c r="O34" s="338">
        <f t="shared" ref="O34:O41" si="38">SUM(I34:M34)</f>
        <v>9056.4</v>
      </c>
      <c r="P34" s="343">
        <f t="shared" ref="P34:P41" si="39">+F34+H34+O34</f>
        <v>144936.4</v>
      </c>
    </row>
    <row r="35" spans="1:16" x14ac:dyDescent="0.35">
      <c r="A35" s="77" t="s">
        <v>232</v>
      </c>
      <c r="B35" s="78">
        <v>3</v>
      </c>
      <c r="C35" s="80">
        <v>85000</v>
      </c>
      <c r="F35" s="87">
        <f t="shared" si="31"/>
        <v>255000</v>
      </c>
      <c r="H35" s="340">
        <f t="shared" si="32"/>
        <v>17640</v>
      </c>
      <c r="I35" s="338">
        <f t="shared" si="33"/>
        <v>6502.5</v>
      </c>
      <c r="J35" s="338">
        <f t="shared" si="34"/>
        <v>3697.5</v>
      </c>
      <c r="K35" s="339">
        <f t="shared" si="35"/>
        <v>3213</v>
      </c>
      <c r="L35" s="338">
        <f t="shared" si="36"/>
        <v>4335</v>
      </c>
      <c r="M35" s="75">
        <f t="shared" si="37"/>
        <v>25.200000000000003</v>
      </c>
      <c r="O35" s="338">
        <f t="shared" si="38"/>
        <v>17773.2</v>
      </c>
      <c r="P35" s="343">
        <f t="shared" si="39"/>
        <v>290413.2</v>
      </c>
    </row>
    <row r="36" spans="1:16" x14ac:dyDescent="0.35">
      <c r="A36" s="77" t="s">
        <v>233</v>
      </c>
      <c r="B36" s="78">
        <v>1</v>
      </c>
      <c r="C36" s="80">
        <v>65000</v>
      </c>
      <c r="F36" s="87">
        <f t="shared" si="31"/>
        <v>65000</v>
      </c>
      <c r="H36" s="340">
        <f t="shared" si="32"/>
        <v>5880</v>
      </c>
      <c r="I36" s="338">
        <f t="shared" si="33"/>
        <v>1657.5</v>
      </c>
      <c r="J36" s="338">
        <f t="shared" si="34"/>
        <v>942.5</v>
      </c>
      <c r="K36" s="339">
        <f t="shared" si="35"/>
        <v>819</v>
      </c>
      <c r="L36" s="338">
        <f t="shared" si="36"/>
        <v>1105</v>
      </c>
      <c r="M36" s="75">
        <f t="shared" si="37"/>
        <v>8.4</v>
      </c>
      <c r="O36" s="338">
        <f t="shared" si="38"/>
        <v>4532.3999999999996</v>
      </c>
      <c r="P36" s="343">
        <f t="shared" si="39"/>
        <v>75412.399999999994</v>
      </c>
    </row>
    <row r="37" spans="1:16" x14ac:dyDescent="0.35">
      <c r="A37" s="77" t="s">
        <v>234</v>
      </c>
      <c r="B37" s="78">
        <v>1</v>
      </c>
      <c r="C37" s="80">
        <v>65000</v>
      </c>
      <c r="F37" s="87">
        <f t="shared" si="31"/>
        <v>65000</v>
      </c>
      <c r="H37" s="340">
        <f t="shared" si="32"/>
        <v>5880</v>
      </c>
      <c r="I37" s="338">
        <f t="shared" si="33"/>
        <v>1657.5</v>
      </c>
      <c r="J37" s="338">
        <f t="shared" si="34"/>
        <v>942.5</v>
      </c>
      <c r="K37" s="339">
        <f t="shared" si="35"/>
        <v>819</v>
      </c>
      <c r="L37" s="338">
        <f t="shared" si="36"/>
        <v>1105</v>
      </c>
      <c r="M37" s="75">
        <f t="shared" si="37"/>
        <v>8.4</v>
      </c>
      <c r="O37" s="338">
        <f t="shared" si="38"/>
        <v>4532.3999999999996</v>
      </c>
      <c r="P37" s="343">
        <f t="shared" si="39"/>
        <v>75412.399999999994</v>
      </c>
    </row>
    <row r="38" spans="1:16" x14ac:dyDescent="0.35">
      <c r="A38" s="77" t="s">
        <v>235</v>
      </c>
      <c r="B38" s="78">
        <v>0</v>
      </c>
      <c r="C38" s="80">
        <v>72000</v>
      </c>
      <c r="F38" s="87">
        <v>0</v>
      </c>
      <c r="H38" s="340">
        <f t="shared" si="32"/>
        <v>0</v>
      </c>
      <c r="I38" s="338">
        <f t="shared" si="33"/>
        <v>0</v>
      </c>
      <c r="J38" s="338">
        <f t="shared" si="34"/>
        <v>0</v>
      </c>
      <c r="K38" s="339">
        <f t="shared" si="35"/>
        <v>0</v>
      </c>
      <c r="L38" s="338">
        <f t="shared" si="36"/>
        <v>0</v>
      </c>
      <c r="M38" s="75">
        <f t="shared" si="37"/>
        <v>0</v>
      </c>
      <c r="O38" s="338">
        <f t="shared" si="38"/>
        <v>0</v>
      </c>
      <c r="P38" s="343">
        <f t="shared" si="39"/>
        <v>0</v>
      </c>
    </row>
    <row r="39" spans="1:16" x14ac:dyDescent="0.35">
      <c r="A39" s="77" t="s">
        <v>236</v>
      </c>
      <c r="B39" s="78">
        <v>1</v>
      </c>
      <c r="C39" s="80">
        <v>55000</v>
      </c>
      <c r="F39" s="87">
        <f t="shared" si="31"/>
        <v>55000</v>
      </c>
      <c r="H39" s="340">
        <f t="shared" si="32"/>
        <v>5880</v>
      </c>
      <c r="I39" s="338">
        <f t="shared" si="33"/>
        <v>1402.5</v>
      </c>
      <c r="J39" s="338">
        <f t="shared" si="34"/>
        <v>797.5</v>
      </c>
      <c r="K39" s="339">
        <f t="shared" si="35"/>
        <v>693</v>
      </c>
      <c r="L39" s="338">
        <f t="shared" si="36"/>
        <v>935.00000000000011</v>
      </c>
      <c r="M39" s="75">
        <f t="shared" si="37"/>
        <v>8.4</v>
      </c>
      <c r="O39" s="338">
        <f t="shared" si="38"/>
        <v>3836.4</v>
      </c>
      <c r="P39" s="343">
        <f t="shared" si="39"/>
        <v>64716.4</v>
      </c>
    </row>
    <row r="40" spans="1:16" x14ac:dyDescent="0.35">
      <c r="A40" s="77" t="s">
        <v>237</v>
      </c>
      <c r="B40" s="78">
        <v>1</v>
      </c>
      <c r="C40" s="80">
        <v>35000</v>
      </c>
      <c r="F40" s="87">
        <f>B40*C40</f>
        <v>35000</v>
      </c>
      <c r="H40" s="340">
        <f t="shared" si="32"/>
        <v>5880</v>
      </c>
      <c r="I40" s="338">
        <f t="shared" si="33"/>
        <v>892.49999999999989</v>
      </c>
      <c r="J40" s="338">
        <f t="shared" si="34"/>
        <v>507.5</v>
      </c>
      <c r="K40" s="339">
        <f t="shared" si="35"/>
        <v>441</v>
      </c>
      <c r="L40" s="338">
        <f t="shared" si="36"/>
        <v>595</v>
      </c>
      <c r="M40" s="75">
        <f t="shared" si="37"/>
        <v>8.4</v>
      </c>
      <c r="O40" s="338">
        <f t="shared" si="38"/>
        <v>2444.4</v>
      </c>
      <c r="P40" s="343">
        <f t="shared" si="39"/>
        <v>43324.4</v>
      </c>
    </row>
    <row r="41" spans="1:16" x14ac:dyDescent="0.35">
      <c r="A41" s="84" t="s">
        <v>238</v>
      </c>
      <c r="B41" s="88">
        <v>1</v>
      </c>
      <c r="C41" s="80">
        <v>35000</v>
      </c>
      <c r="D41" s="89"/>
      <c r="E41" s="89"/>
      <c r="F41" s="87">
        <f>B41*C41</f>
        <v>35000</v>
      </c>
      <c r="H41" s="340">
        <f t="shared" si="32"/>
        <v>5880</v>
      </c>
      <c r="I41" s="338">
        <f t="shared" si="33"/>
        <v>892.49999999999989</v>
      </c>
      <c r="J41" s="338">
        <f t="shared" si="34"/>
        <v>507.5</v>
      </c>
      <c r="K41" s="339">
        <f t="shared" si="35"/>
        <v>441</v>
      </c>
      <c r="L41" s="338">
        <f t="shared" si="36"/>
        <v>595</v>
      </c>
      <c r="M41" s="75">
        <f t="shared" si="37"/>
        <v>8.4</v>
      </c>
      <c r="O41" s="338">
        <f t="shared" si="38"/>
        <v>2444.4</v>
      </c>
      <c r="P41" s="343">
        <f t="shared" si="39"/>
        <v>43324.4</v>
      </c>
    </row>
    <row r="42" spans="1:16" ht="15.5" x14ac:dyDescent="0.35">
      <c r="B42" s="85">
        <f>SUM(B34:B41)</f>
        <v>9</v>
      </c>
      <c r="F42" s="86">
        <f>SUM(F34:F41)</f>
        <v>640000</v>
      </c>
      <c r="H42" s="340">
        <f>SUM(H34:H41)</f>
        <v>52920</v>
      </c>
      <c r="I42" s="340">
        <f t="shared" ref="I42:P42" si="40">SUM(I34:I41)</f>
        <v>16320</v>
      </c>
      <c r="J42" s="340">
        <f t="shared" si="40"/>
        <v>9280</v>
      </c>
      <c r="K42" s="340">
        <f t="shared" si="40"/>
        <v>8064</v>
      </c>
      <c r="L42" s="340">
        <f t="shared" si="40"/>
        <v>10880</v>
      </c>
      <c r="M42" s="340">
        <f t="shared" si="40"/>
        <v>75.600000000000009</v>
      </c>
      <c r="N42" s="340">
        <f t="shared" si="40"/>
        <v>0</v>
      </c>
      <c r="O42" s="340">
        <f t="shared" si="40"/>
        <v>44619.600000000006</v>
      </c>
      <c r="P42" s="340">
        <f t="shared" si="40"/>
        <v>737539.60000000009</v>
      </c>
    </row>
    <row r="43" spans="1:16" x14ac:dyDescent="0.35">
      <c r="B43" s="85"/>
    </row>
    <row r="44" spans="1:16" ht="18.5" x14ac:dyDescent="0.35">
      <c r="B44" s="90" t="s">
        <v>239</v>
      </c>
    </row>
    <row r="45" spans="1:16" x14ac:dyDescent="0.35">
      <c r="B45" s="85"/>
    </row>
    <row r="46" spans="1:16" ht="15.5" x14ac:dyDescent="0.35">
      <c r="B46" s="91">
        <f>B24+B32+B42</f>
        <v>52</v>
      </c>
      <c r="F46" s="92">
        <f>F24+F32+F42</f>
        <v>3635000</v>
      </c>
    </row>
  </sheetData>
  <mergeCells count="12">
    <mergeCell ref="A28:A29"/>
    <mergeCell ref="B28:B29"/>
    <mergeCell ref="C28:D28"/>
    <mergeCell ref="E28:E29"/>
    <mergeCell ref="F28:F29"/>
    <mergeCell ref="G2:G3"/>
    <mergeCell ref="A1:F1"/>
    <mergeCell ref="A2:A3"/>
    <mergeCell ref="B2:B3"/>
    <mergeCell ref="C2:D2"/>
    <mergeCell ref="E2:E3"/>
    <mergeCell ref="F2:F3"/>
  </mergeCells>
  <pageMargins left="0.7" right="0.7" top="0.75" bottom="0.75" header="0.3" footer="0.3"/>
  <pageSetup scale="7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F37F-F673-44C4-B2D3-28A2E5D8F833}">
  <dimension ref="A1:P49"/>
  <sheetViews>
    <sheetView topLeftCell="A21" zoomScale="90" zoomScaleNormal="90" zoomScaleSheetLayoutView="93" workbookViewId="0">
      <selection activeCell="F30" sqref="F30"/>
    </sheetView>
  </sheetViews>
  <sheetFormatPr defaultColWidth="9" defaultRowHeight="14.5" x14ac:dyDescent="0.35"/>
  <cols>
    <col min="1" max="1" width="25.54296875" style="75" customWidth="1"/>
    <col min="2" max="2" width="8.81640625" style="75" customWidth="1"/>
    <col min="3" max="6" width="16.54296875" style="75" customWidth="1"/>
    <col min="7" max="7" width="13" style="75" customWidth="1"/>
    <col min="8" max="8" width="11.453125" style="75" customWidth="1"/>
    <col min="9" max="14" width="9" style="75"/>
    <col min="15" max="15" width="13.453125" style="75" bestFit="1" customWidth="1"/>
    <col min="16" max="16" width="15.1796875" style="75" bestFit="1" customWidth="1"/>
    <col min="17" max="16384" width="9" style="75"/>
  </cols>
  <sheetData>
    <row r="1" spans="1:16" ht="29.25" customHeight="1" x14ac:dyDescent="0.35">
      <c r="A1" s="398" t="s">
        <v>325</v>
      </c>
      <c r="B1" s="398"/>
      <c r="C1" s="398"/>
      <c r="D1" s="398"/>
      <c r="E1" s="398"/>
      <c r="F1" s="398"/>
    </row>
    <row r="2" spans="1:16" ht="25.9" customHeight="1" x14ac:dyDescent="0.35">
      <c r="A2" s="408" t="s">
        <v>202</v>
      </c>
      <c r="B2" s="399" t="s">
        <v>240</v>
      </c>
      <c r="C2" s="409" t="s">
        <v>204</v>
      </c>
      <c r="D2" s="409"/>
      <c r="E2" s="405" t="s">
        <v>241</v>
      </c>
      <c r="F2" s="407" t="s">
        <v>206</v>
      </c>
      <c r="G2" s="386" t="s">
        <v>267</v>
      </c>
      <c r="H2" s="341" t="s">
        <v>310</v>
      </c>
      <c r="I2" s="333" t="s">
        <v>311</v>
      </c>
      <c r="J2" s="333" t="s">
        <v>312</v>
      </c>
      <c r="K2" s="333" t="s">
        <v>313</v>
      </c>
      <c r="L2" s="333" t="s">
        <v>314</v>
      </c>
      <c r="M2" s="333" t="s">
        <v>315</v>
      </c>
      <c r="N2" s="333" t="s">
        <v>316</v>
      </c>
      <c r="O2" s="333" t="s">
        <v>317</v>
      </c>
      <c r="P2" s="334" t="s">
        <v>318</v>
      </c>
    </row>
    <row r="3" spans="1:16" ht="24" customHeight="1" x14ac:dyDescent="0.35">
      <c r="A3" s="408"/>
      <c r="B3" s="400"/>
      <c r="C3" s="76" t="s">
        <v>207</v>
      </c>
      <c r="D3" s="76" t="s">
        <v>208</v>
      </c>
      <c r="E3" s="406"/>
      <c r="F3" s="407"/>
      <c r="G3" s="386"/>
      <c r="H3" s="335">
        <f>(0.9*7200)-(50*12)</f>
        <v>5880</v>
      </c>
      <c r="I3" s="336">
        <f>0.018+0.0075</f>
        <v>2.5499999999999998E-2</v>
      </c>
      <c r="J3" s="336">
        <v>1.4500000000000001E-2</v>
      </c>
      <c r="K3" s="336">
        <v>1.26E-2</v>
      </c>
      <c r="L3" s="336">
        <v>1.7000000000000001E-2</v>
      </c>
      <c r="M3" s="336">
        <v>8.4</v>
      </c>
      <c r="N3" s="336"/>
      <c r="O3" s="336"/>
      <c r="P3" s="337" t="s">
        <v>319</v>
      </c>
    </row>
    <row r="4" spans="1:16" x14ac:dyDescent="0.35">
      <c r="A4" s="77" t="s">
        <v>268</v>
      </c>
      <c r="B4" s="94">
        <v>4</v>
      </c>
      <c r="C4" s="79">
        <v>55000</v>
      </c>
      <c r="D4" s="79">
        <f t="shared" ref="D4:D5" si="0">C4+25000</f>
        <v>80000</v>
      </c>
      <c r="E4" s="95">
        <f t="shared" ref="E4:E5" si="1">C4+5000</f>
        <v>60000</v>
      </c>
      <c r="F4" s="87">
        <f>B4*E4</f>
        <v>240000</v>
      </c>
      <c r="I4" s="338"/>
      <c r="J4" s="338"/>
      <c r="K4" s="338"/>
      <c r="L4" s="338"/>
      <c r="O4" s="338"/>
      <c r="P4" s="338"/>
    </row>
    <row r="5" spans="1:16" x14ac:dyDescent="0.35">
      <c r="A5" s="77" t="s">
        <v>269</v>
      </c>
      <c r="B5" s="94">
        <v>4</v>
      </c>
      <c r="C5" s="79">
        <v>38000</v>
      </c>
      <c r="D5" s="79">
        <f t="shared" si="0"/>
        <v>63000</v>
      </c>
      <c r="E5" s="95">
        <f t="shared" si="1"/>
        <v>43000</v>
      </c>
      <c r="F5" s="87">
        <f t="shared" ref="F5" si="2">B5*E5</f>
        <v>172000</v>
      </c>
      <c r="I5" s="338"/>
      <c r="J5" s="338"/>
      <c r="K5" s="338"/>
      <c r="L5" s="338"/>
      <c r="O5" s="338"/>
      <c r="P5" s="338"/>
    </row>
    <row r="6" spans="1:16" x14ac:dyDescent="0.35">
      <c r="A6" s="77" t="s">
        <v>242</v>
      </c>
      <c r="B6" s="94">
        <v>4</v>
      </c>
      <c r="C6" s="79">
        <v>65000</v>
      </c>
      <c r="D6" s="79">
        <f t="shared" ref="D6:D28" si="3">C6+25000</f>
        <v>90000</v>
      </c>
      <c r="E6" s="95">
        <f t="shared" ref="E6:E27" si="4">C6+5000</f>
        <v>70000</v>
      </c>
      <c r="F6" s="80">
        <f t="shared" ref="F6:F28" si="5">B6*E6</f>
        <v>280000</v>
      </c>
      <c r="H6" s="75">
        <f>+$H$3*B6</f>
        <v>23520</v>
      </c>
      <c r="I6" s="338">
        <f>+$I$3*F6</f>
        <v>7139.9999999999991</v>
      </c>
      <c r="J6" s="338">
        <f>+$J$3*F6</f>
        <v>4060</v>
      </c>
      <c r="K6" s="338">
        <f>+$K$3*F6</f>
        <v>3528</v>
      </c>
      <c r="L6" s="338">
        <f>+$L$3*F6</f>
        <v>4760</v>
      </c>
      <c r="M6" s="75">
        <f>+$M$3*B6</f>
        <v>33.6</v>
      </c>
      <c r="O6" s="338">
        <f>SUM(I6:M6)</f>
        <v>19521.599999999999</v>
      </c>
      <c r="P6" s="338">
        <f>+F6+H6+O6</f>
        <v>323041.59999999998</v>
      </c>
    </row>
    <row r="7" spans="1:16" x14ac:dyDescent="0.35">
      <c r="A7" s="77" t="s">
        <v>243</v>
      </c>
      <c r="B7" s="94">
        <v>5</v>
      </c>
      <c r="C7" s="79">
        <v>65000</v>
      </c>
      <c r="D7" s="79">
        <f t="shared" si="3"/>
        <v>90000</v>
      </c>
      <c r="E7" s="95">
        <f t="shared" si="4"/>
        <v>70000</v>
      </c>
      <c r="F7" s="80">
        <f t="shared" si="5"/>
        <v>350000</v>
      </c>
      <c r="H7" s="75">
        <f t="shared" ref="H7:H28" si="6">+$H$3*B7</f>
        <v>29400</v>
      </c>
      <c r="I7" s="338">
        <f t="shared" ref="I7:I28" si="7">+$I$3*F7</f>
        <v>8925</v>
      </c>
      <c r="J7" s="338">
        <f t="shared" ref="J7:J28" si="8">+$J$3*F7</f>
        <v>5075</v>
      </c>
      <c r="K7" s="338">
        <f t="shared" ref="K7:K28" si="9">+$K$3*F7</f>
        <v>4410</v>
      </c>
      <c r="L7" s="338">
        <f t="shared" ref="L7:L28" si="10">+$L$3*F7</f>
        <v>5950</v>
      </c>
      <c r="M7" s="75">
        <f t="shared" ref="M7:M28" si="11">+$M$3*B7</f>
        <v>42</v>
      </c>
      <c r="O7" s="338">
        <f t="shared" ref="O7:O28" si="12">SUM(I7:M7)</f>
        <v>24402</v>
      </c>
      <c r="P7" s="338">
        <f t="shared" ref="P7:P28" si="13">+F7+H7+O7</f>
        <v>403802</v>
      </c>
    </row>
    <row r="8" spans="1:16" x14ac:dyDescent="0.35">
      <c r="A8" s="77" t="s">
        <v>244</v>
      </c>
      <c r="B8" s="94">
        <v>1</v>
      </c>
      <c r="C8" s="79">
        <v>70000</v>
      </c>
      <c r="D8" s="79">
        <f t="shared" si="3"/>
        <v>95000</v>
      </c>
      <c r="E8" s="95">
        <f t="shared" si="4"/>
        <v>75000</v>
      </c>
      <c r="F8" s="80">
        <f t="shared" si="5"/>
        <v>75000</v>
      </c>
      <c r="H8" s="75">
        <f t="shared" si="6"/>
        <v>5880</v>
      </c>
      <c r="I8" s="338">
        <f t="shared" si="7"/>
        <v>1912.4999999999998</v>
      </c>
      <c r="J8" s="338">
        <f t="shared" si="8"/>
        <v>1087.5</v>
      </c>
      <c r="K8" s="338">
        <f t="shared" si="9"/>
        <v>945</v>
      </c>
      <c r="L8" s="338">
        <f t="shared" si="10"/>
        <v>1275</v>
      </c>
      <c r="M8" s="75">
        <f t="shared" si="11"/>
        <v>8.4</v>
      </c>
      <c r="O8" s="338">
        <f t="shared" si="12"/>
        <v>5228.3999999999996</v>
      </c>
      <c r="P8" s="338">
        <f t="shared" si="13"/>
        <v>86108.4</v>
      </c>
    </row>
    <row r="9" spans="1:16" x14ac:dyDescent="0.35">
      <c r="A9" s="329" t="s">
        <v>245</v>
      </c>
      <c r="B9" s="94">
        <v>1</v>
      </c>
      <c r="C9" s="79">
        <v>70000</v>
      </c>
      <c r="D9" s="79">
        <f t="shared" ref="D9" si="14">C9+25000</f>
        <v>95000</v>
      </c>
      <c r="E9" s="95">
        <f t="shared" ref="E9" si="15">C9+5000</f>
        <v>75000</v>
      </c>
      <c r="F9" s="80">
        <f t="shared" ref="F9" si="16">B9*E9</f>
        <v>75000</v>
      </c>
      <c r="H9" s="75">
        <f t="shared" si="6"/>
        <v>5880</v>
      </c>
      <c r="I9" s="338">
        <f t="shared" si="7"/>
        <v>1912.4999999999998</v>
      </c>
      <c r="J9" s="338">
        <f t="shared" si="8"/>
        <v>1087.5</v>
      </c>
      <c r="K9" s="338">
        <f t="shared" si="9"/>
        <v>945</v>
      </c>
      <c r="L9" s="338">
        <f t="shared" si="10"/>
        <v>1275</v>
      </c>
      <c r="M9" s="75">
        <f t="shared" si="11"/>
        <v>8.4</v>
      </c>
      <c r="O9" s="338">
        <f t="shared" si="12"/>
        <v>5228.3999999999996</v>
      </c>
      <c r="P9" s="338">
        <f t="shared" si="13"/>
        <v>86108.4</v>
      </c>
    </row>
    <row r="10" spans="1:16" x14ac:dyDescent="0.35">
      <c r="A10" s="77" t="s">
        <v>246</v>
      </c>
      <c r="B10" s="94">
        <v>1</v>
      </c>
      <c r="C10" s="79">
        <v>68000</v>
      </c>
      <c r="D10" s="79">
        <f t="shared" si="3"/>
        <v>93000</v>
      </c>
      <c r="E10" s="95">
        <f t="shared" si="4"/>
        <v>73000</v>
      </c>
      <c r="F10" s="80">
        <f t="shared" si="5"/>
        <v>73000</v>
      </c>
      <c r="H10" s="75">
        <f t="shared" si="6"/>
        <v>5880</v>
      </c>
      <c r="I10" s="338">
        <f t="shared" si="7"/>
        <v>1861.4999999999998</v>
      </c>
      <c r="J10" s="338">
        <f t="shared" si="8"/>
        <v>1058.5</v>
      </c>
      <c r="K10" s="338">
        <f t="shared" si="9"/>
        <v>919.8</v>
      </c>
      <c r="L10" s="338">
        <f t="shared" si="10"/>
        <v>1241</v>
      </c>
      <c r="M10" s="75">
        <f t="shared" si="11"/>
        <v>8.4</v>
      </c>
      <c r="O10" s="338">
        <f t="shared" si="12"/>
        <v>5089.2</v>
      </c>
      <c r="P10" s="338">
        <f t="shared" si="13"/>
        <v>83969.2</v>
      </c>
    </row>
    <row r="11" spans="1:16" x14ac:dyDescent="0.35">
      <c r="A11" s="77" t="s">
        <v>247</v>
      </c>
      <c r="B11" s="94">
        <v>1</v>
      </c>
      <c r="C11" s="79">
        <v>68000</v>
      </c>
      <c r="D11" s="79">
        <f t="shared" si="3"/>
        <v>93000</v>
      </c>
      <c r="E11" s="95">
        <f t="shared" si="4"/>
        <v>73000</v>
      </c>
      <c r="F11" s="80">
        <f t="shared" si="5"/>
        <v>73000</v>
      </c>
      <c r="H11" s="75">
        <f t="shared" si="6"/>
        <v>5880</v>
      </c>
      <c r="I11" s="338">
        <f t="shared" si="7"/>
        <v>1861.4999999999998</v>
      </c>
      <c r="J11" s="338">
        <f t="shared" si="8"/>
        <v>1058.5</v>
      </c>
      <c r="K11" s="338">
        <f t="shared" si="9"/>
        <v>919.8</v>
      </c>
      <c r="L11" s="338">
        <f t="shared" si="10"/>
        <v>1241</v>
      </c>
      <c r="M11" s="75">
        <f t="shared" si="11"/>
        <v>8.4</v>
      </c>
      <c r="O11" s="338">
        <f t="shared" si="12"/>
        <v>5089.2</v>
      </c>
      <c r="P11" s="338">
        <f t="shared" si="13"/>
        <v>83969.2</v>
      </c>
    </row>
    <row r="12" spans="1:16" x14ac:dyDescent="0.35">
      <c r="A12" s="77" t="s">
        <v>248</v>
      </c>
      <c r="B12" s="94">
        <v>1</v>
      </c>
      <c r="C12" s="79">
        <v>74000</v>
      </c>
      <c r="D12" s="79">
        <f t="shared" si="3"/>
        <v>99000</v>
      </c>
      <c r="E12" s="95">
        <f t="shared" si="4"/>
        <v>79000</v>
      </c>
      <c r="F12" s="80">
        <f t="shared" si="5"/>
        <v>79000</v>
      </c>
      <c r="H12" s="75">
        <f t="shared" si="6"/>
        <v>5880</v>
      </c>
      <c r="I12" s="338">
        <f t="shared" si="7"/>
        <v>2014.4999999999998</v>
      </c>
      <c r="J12" s="338">
        <f t="shared" si="8"/>
        <v>1145.5</v>
      </c>
      <c r="K12" s="338">
        <f t="shared" si="9"/>
        <v>995.4</v>
      </c>
      <c r="L12" s="338">
        <f t="shared" si="10"/>
        <v>1343</v>
      </c>
      <c r="M12" s="75">
        <f t="shared" si="11"/>
        <v>8.4</v>
      </c>
      <c r="O12" s="338">
        <f t="shared" si="12"/>
        <v>5506.7999999999993</v>
      </c>
      <c r="P12" s="338">
        <f t="shared" si="13"/>
        <v>90386.8</v>
      </c>
    </row>
    <row r="13" spans="1:16" x14ac:dyDescent="0.35">
      <c r="A13" s="329" t="s">
        <v>249</v>
      </c>
      <c r="B13" s="94">
        <v>1</v>
      </c>
      <c r="C13" s="79">
        <v>74000</v>
      </c>
      <c r="D13" s="79">
        <f t="shared" ref="D13" si="17">C13+25000</f>
        <v>99000</v>
      </c>
      <c r="E13" s="95">
        <f t="shared" ref="E13" si="18">C13+5000</f>
        <v>79000</v>
      </c>
      <c r="F13" s="80">
        <f t="shared" ref="F13" si="19">B13*E13</f>
        <v>79000</v>
      </c>
      <c r="H13" s="75">
        <f t="shared" si="6"/>
        <v>5880</v>
      </c>
      <c r="I13" s="338">
        <f t="shared" si="7"/>
        <v>2014.4999999999998</v>
      </c>
      <c r="J13" s="338">
        <f t="shared" si="8"/>
        <v>1145.5</v>
      </c>
      <c r="K13" s="338">
        <f t="shared" si="9"/>
        <v>995.4</v>
      </c>
      <c r="L13" s="338">
        <f t="shared" si="10"/>
        <v>1343</v>
      </c>
      <c r="M13" s="75">
        <f t="shared" si="11"/>
        <v>8.4</v>
      </c>
      <c r="O13" s="338">
        <f t="shared" si="12"/>
        <v>5506.7999999999993</v>
      </c>
      <c r="P13" s="338">
        <f t="shared" si="13"/>
        <v>90386.8</v>
      </c>
    </row>
    <row r="14" spans="1:16" x14ac:dyDescent="0.35">
      <c r="A14" s="77" t="s">
        <v>250</v>
      </c>
      <c r="B14" s="94">
        <v>1</v>
      </c>
      <c r="C14" s="79">
        <v>70000</v>
      </c>
      <c r="D14" s="79">
        <f t="shared" si="3"/>
        <v>95000</v>
      </c>
      <c r="E14" s="95">
        <f t="shared" si="4"/>
        <v>75000</v>
      </c>
      <c r="F14" s="80">
        <f t="shared" si="5"/>
        <v>75000</v>
      </c>
      <c r="H14" s="75">
        <f t="shared" si="6"/>
        <v>5880</v>
      </c>
      <c r="I14" s="338">
        <f t="shared" si="7"/>
        <v>1912.4999999999998</v>
      </c>
      <c r="J14" s="338">
        <f t="shared" si="8"/>
        <v>1087.5</v>
      </c>
      <c r="K14" s="338">
        <f t="shared" si="9"/>
        <v>945</v>
      </c>
      <c r="L14" s="338">
        <f t="shared" si="10"/>
        <v>1275</v>
      </c>
      <c r="M14" s="75">
        <f t="shared" si="11"/>
        <v>8.4</v>
      </c>
      <c r="O14" s="338">
        <f t="shared" si="12"/>
        <v>5228.3999999999996</v>
      </c>
      <c r="P14" s="338">
        <f t="shared" si="13"/>
        <v>86108.4</v>
      </c>
    </row>
    <row r="15" spans="1:16" x14ac:dyDescent="0.35">
      <c r="A15" s="77" t="s">
        <v>251</v>
      </c>
      <c r="B15" s="94">
        <v>1</v>
      </c>
      <c r="C15" s="79">
        <v>70000</v>
      </c>
      <c r="D15" s="79">
        <f t="shared" si="3"/>
        <v>95000</v>
      </c>
      <c r="E15" s="95">
        <f t="shared" si="4"/>
        <v>75000</v>
      </c>
      <c r="F15" s="80">
        <f t="shared" si="5"/>
        <v>75000</v>
      </c>
      <c r="H15" s="75">
        <f t="shared" si="6"/>
        <v>5880</v>
      </c>
      <c r="I15" s="338">
        <f t="shared" si="7"/>
        <v>1912.4999999999998</v>
      </c>
      <c r="J15" s="338">
        <f t="shared" si="8"/>
        <v>1087.5</v>
      </c>
      <c r="K15" s="338">
        <f t="shared" si="9"/>
        <v>945</v>
      </c>
      <c r="L15" s="338">
        <f t="shared" si="10"/>
        <v>1275</v>
      </c>
      <c r="M15" s="75">
        <f t="shared" si="11"/>
        <v>8.4</v>
      </c>
      <c r="O15" s="338">
        <f t="shared" si="12"/>
        <v>5228.3999999999996</v>
      </c>
      <c r="P15" s="338">
        <f t="shared" si="13"/>
        <v>86108.4</v>
      </c>
    </row>
    <row r="16" spans="1:16" x14ac:dyDescent="0.35">
      <c r="A16" s="77" t="s">
        <v>252</v>
      </c>
      <c r="B16" s="94">
        <v>1</v>
      </c>
      <c r="C16" s="79">
        <v>74000</v>
      </c>
      <c r="D16" s="79">
        <f t="shared" si="3"/>
        <v>99000</v>
      </c>
      <c r="E16" s="95">
        <f t="shared" si="4"/>
        <v>79000</v>
      </c>
      <c r="F16" s="80">
        <f t="shared" si="5"/>
        <v>79000</v>
      </c>
      <c r="H16" s="75">
        <f t="shared" si="6"/>
        <v>5880</v>
      </c>
      <c r="I16" s="338">
        <f t="shared" si="7"/>
        <v>2014.4999999999998</v>
      </c>
      <c r="J16" s="338">
        <f t="shared" si="8"/>
        <v>1145.5</v>
      </c>
      <c r="K16" s="338">
        <f t="shared" si="9"/>
        <v>995.4</v>
      </c>
      <c r="L16" s="338">
        <f t="shared" si="10"/>
        <v>1343</v>
      </c>
      <c r="M16" s="75">
        <f t="shared" si="11"/>
        <v>8.4</v>
      </c>
      <c r="O16" s="338">
        <f t="shared" si="12"/>
        <v>5506.7999999999993</v>
      </c>
      <c r="P16" s="338">
        <f t="shared" si="13"/>
        <v>90386.8</v>
      </c>
    </row>
    <row r="17" spans="1:16" x14ac:dyDescent="0.35">
      <c r="A17" s="77" t="s">
        <v>253</v>
      </c>
      <c r="B17" s="94">
        <v>1</v>
      </c>
      <c r="C17" s="79">
        <v>74000</v>
      </c>
      <c r="D17" s="79">
        <f t="shared" si="3"/>
        <v>99000</v>
      </c>
      <c r="E17" s="95">
        <f t="shared" si="4"/>
        <v>79000</v>
      </c>
      <c r="F17" s="80">
        <f t="shared" si="5"/>
        <v>79000</v>
      </c>
      <c r="H17" s="75">
        <f t="shared" si="6"/>
        <v>5880</v>
      </c>
      <c r="I17" s="338">
        <f t="shared" si="7"/>
        <v>2014.4999999999998</v>
      </c>
      <c r="J17" s="338">
        <f t="shared" si="8"/>
        <v>1145.5</v>
      </c>
      <c r="K17" s="338">
        <f t="shared" si="9"/>
        <v>995.4</v>
      </c>
      <c r="L17" s="338">
        <f t="shared" si="10"/>
        <v>1343</v>
      </c>
      <c r="M17" s="75">
        <f t="shared" si="11"/>
        <v>8.4</v>
      </c>
      <c r="O17" s="338">
        <f t="shared" si="12"/>
        <v>5506.7999999999993</v>
      </c>
      <c r="P17" s="338">
        <f t="shared" si="13"/>
        <v>90386.8</v>
      </c>
    </row>
    <row r="18" spans="1:16" x14ac:dyDescent="0.35">
      <c r="A18" s="77" t="s">
        <v>254</v>
      </c>
      <c r="B18" s="94">
        <v>1</v>
      </c>
      <c r="C18" s="79">
        <v>70000</v>
      </c>
      <c r="D18" s="79">
        <f t="shared" si="3"/>
        <v>95000</v>
      </c>
      <c r="E18" s="95">
        <f t="shared" si="4"/>
        <v>75000</v>
      </c>
      <c r="F18" s="80">
        <f t="shared" si="5"/>
        <v>75000</v>
      </c>
      <c r="H18" s="75">
        <f t="shared" si="6"/>
        <v>5880</v>
      </c>
      <c r="I18" s="338">
        <f t="shared" si="7"/>
        <v>1912.4999999999998</v>
      </c>
      <c r="J18" s="338">
        <f t="shared" si="8"/>
        <v>1087.5</v>
      </c>
      <c r="K18" s="338">
        <f t="shared" si="9"/>
        <v>945</v>
      </c>
      <c r="L18" s="338">
        <f t="shared" si="10"/>
        <v>1275</v>
      </c>
      <c r="M18" s="75">
        <f t="shared" si="11"/>
        <v>8.4</v>
      </c>
      <c r="O18" s="338">
        <f t="shared" si="12"/>
        <v>5228.3999999999996</v>
      </c>
      <c r="P18" s="338">
        <f t="shared" si="13"/>
        <v>86108.4</v>
      </c>
    </row>
    <row r="19" spans="1:16" x14ac:dyDescent="0.35">
      <c r="A19" s="77" t="s">
        <v>255</v>
      </c>
      <c r="B19" s="94">
        <v>1</v>
      </c>
      <c r="C19" s="79">
        <v>70000</v>
      </c>
      <c r="D19" s="79">
        <f t="shared" si="3"/>
        <v>95000</v>
      </c>
      <c r="E19" s="95">
        <f t="shared" si="4"/>
        <v>75000</v>
      </c>
      <c r="F19" s="80">
        <f t="shared" si="5"/>
        <v>75000</v>
      </c>
      <c r="H19" s="75">
        <f t="shared" si="6"/>
        <v>5880</v>
      </c>
      <c r="I19" s="338">
        <f t="shared" si="7"/>
        <v>1912.4999999999998</v>
      </c>
      <c r="J19" s="338">
        <f t="shared" si="8"/>
        <v>1087.5</v>
      </c>
      <c r="K19" s="338">
        <f t="shared" si="9"/>
        <v>945</v>
      </c>
      <c r="L19" s="338">
        <f t="shared" si="10"/>
        <v>1275</v>
      </c>
      <c r="M19" s="75">
        <f t="shared" si="11"/>
        <v>8.4</v>
      </c>
      <c r="O19" s="338">
        <f t="shared" si="12"/>
        <v>5228.3999999999996</v>
      </c>
      <c r="P19" s="338">
        <f t="shared" si="13"/>
        <v>86108.4</v>
      </c>
    </row>
    <row r="20" spans="1:16" x14ac:dyDescent="0.35">
      <c r="A20" s="77" t="s">
        <v>256</v>
      </c>
      <c r="B20" s="94">
        <v>1</v>
      </c>
      <c r="C20" s="79">
        <v>74000</v>
      </c>
      <c r="D20" s="79">
        <f t="shared" si="3"/>
        <v>99000</v>
      </c>
      <c r="E20" s="95">
        <f t="shared" si="4"/>
        <v>79000</v>
      </c>
      <c r="F20" s="80">
        <f t="shared" si="5"/>
        <v>79000</v>
      </c>
      <c r="H20" s="75">
        <f t="shared" si="6"/>
        <v>5880</v>
      </c>
      <c r="I20" s="338">
        <f t="shared" si="7"/>
        <v>2014.4999999999998</v>
      </c>
      <c r="J20" s="338">
        <f t="shared" si="8"/>
        <v>1145.5</v>
      </c>
      <c r="K20" s="338">
        <f t="shared" si="9"/>
        <v>995.4</v>
      </c>
      <c r="L20" s="338">
        <f t="shared" si="10"/>
        <v>1343</v>
      </c>
      <c r="M20" s="75">
        <f t="shared" si="11"/>
        <v>8.4</v>
      </c>
      <c r="O20" s="338">
        <f t="shared" si="12"/>
        <v>5506.7999999999993</v>
      </c>
      <c r="P20" s="338">
        <f t="shared" si="13"/>
        <v>90386.8</v>
      </c>
    </row>
    <row r="21" spans="1:16" x14ac:dyDescent="0.35">
      <c r="A21" s="77" t="s">
        <v>257</v>
      </c>
      <c r="B21" s="94">
        <v>1</v>
      </c>
      <c r="C21" s="79">
        <v>74000</v>
      </c>
      <c r="D21" s="79">
        <f t="shared" si="3"/>
        <v>99000</v>
      </c>
      <c r="E21" s="95">
        <f t="shared" si="4"/>
        <v>79000</v>
      </c>
      <c r="F21" s="80">
        <f t="shared" si="5"/>
        <v>79000</v>
      </c>
      <c r="H21" s="75">
        <f t="shared" si="6"/>
        <v>5880</v>
      </c>
      <c r="I21" s="338">
        <f t="shared" si="7"/>
        <v>2014.4999999999998</v>
      </c>
      <c r="J21" s="338">
        <f t="shared" si="8"/>
        <v>1145.5</v>
      </c>
      <c r="K21" s="338">
        <f t="shared" si="9"/>
        <v>995.4</v>
      </c>
      <c r="L21" s="338">
        <f t="shared" si="10"/>
        <v>1343</v>
      </c>
      <c r="M21" s="75">
        <f t="shared" si="11"/>
        <v>8.4</v>
      </c>
      <c r="O21" s="338">
        <f t="shared" si="12"/>
        <v>5506.7999999999993</v>
      </c>
      <c r="P21" s="338">
        <f t="shared" si="13"/>
        <v>90386.8</v>
      </c>
    </row>
    <row r="22" spans="1:16" x14ac:dyDescent="0.35">
      <c r="A22" s="77" t="s">
        <v>258</v>
      </c>
      <c r="B22" s="94">
        <v>1</v>
      </c>
      <c r="C22" s="79">
        <v>70000</v>
      </c>
      <c r="D22" s="79">
        <f t="shared" si="3"/>
        <v>95000</v>
      </c>
      <c r="E22" s="95">
        <f t="shared" si="4"/>
        <v>75000</v>
      </c>
      <c r="F22" s="80">
        <f t="shared" si="5"/>
        <v>75000</v>
      </c>
      <c r="H22" s="75">
        <f t="shared" si="6"/>
        <v>5880</v>
      </c>
      <c r="I22" s="338">
        <f t="shared" si="7"/>
        <v>1912.4999999999998</v>
      </c>
      <c r="J22" s="338">
        <f t="shared" si="8"/>
        <v>1087.5</v>
      </c>
      <c r="K22" s="338">
        <f t="shared" si="9"/>
        <v>945</v>
      </c>
      <c r="L22" s="338">
        <f t="shared" si="10"/>
        <v>1275</v>
      </c>
      <c r="M22" s="75">
        <f t="shared" si="11"/>
        <v>8.4</v>
      </c>
      <c r="O22" s="338">
        <f t="shared" si="12"/>
        <v>5228.3999999999996</v>
      </c>
      <c r="P22" s="338">
        <f t="shared" si="13"/>
        <v>86108.4</v>
      </c>
    </row>
    <row r="23" spans="1:16" x14ac:dyDescent="0.35">
      <c r="A23" s="77" t="s">
        <v>259</v>
      </c>
      <c r="B23" s="94">
        <v>1</v>
      </c>
      <c r="C23" s="79">
        <v>70000</v>
      </c>
      <c r="D23" s="79">
        <f t="shared" si="3"/>
        <v>95000</v>
      </c>
      <c r="E23" s="95">
        <f t="shared" si="4"/>
        <v>75000</v>
      </c>
      <c r="F23" s="80">
        <f t="shared" si="5"/>
        <v>75000</v>
      </c>
      <c r="H23" s="75">
        <f t="shared" si="6"/>
        <v>5880</v>
      </c>
      <c r="I23" s="338">
        <f t="shared" si="7"/>
        <v>1912.4999999999998</v>
      </c>
      <c r="J23" s="338">
        <f t="shared" si="8"/>
        <v>1087.5</v>
      </c>
      <c r="K23" s="338">
        <f t="shared" si="9"/>
        <v>945</v>
      </c>
      <c r="L23" s="338">
        <f t="shared" si="10"/>
        <v>1275</v>
      </c>
      <c r="M23" s="75">
        <f t="shared" si="11"/>
        <v>8.4</v>
      </c>
      <c r="O23" s="338">
        <f t="shared" si="12"/>
        <v>5228.3999999999996</v>
      </c>
      <c r="P23" s="338">
        <f t="shared" si="13"/>
        <v>86108.4</v>
      </c>
    </row>
    <row r="24" spans="1:16" x14ac:dyDescent="0.35">
      <c r="A24" s="77" t="s">
        <v>260</v>
      </c>
      <c r="B24" s="94">
        <v>1</v>
      </c>
      <c r="C24" s="79">
        <v>74000</v>
      </c>
      <c r="D24" s="79">
        <f t="shared" si="3"/>
        <v>99000</v>
      </c>
      <c r="E24" s="95">
        <f t="shared" si="4"/>
        <v>79000</v>
      </c>
      <c r="F24" s="80">
        <f t="shared" si="5"/>
        <v>79000</v>
      </c>
      <c r="H24" s="75">
        <f t="shared" si="6"/>
        <v>5880</v>
      </c>
      <c r="I24" s="338">
        <f t="shared" si="7"/>
        <v>2014.4999999999998</v>
      </c>
      <c r="J24" s="338">
        <f t="shared" si="8"/>
        <v>1145.5</v>
      </c>
      <c r="K24" s="338">
        <f t="shared" si="9"/>
        <v>995.4</v>
      </c>
      <c r="L24" s="338">
        <f t="shared" si="10"/>
        <v>1343</v>
      </c>
      <c r="M24" s="75">
        <f t="shared" si="11"/>
        <v>8.4</v>
      </c>
      <c r="O24" s="338">
        <f t="shared" si="12"/>
        <v>5506.7999999999993</v>
      </c>
      <c r="P24" s="338">
        <f t="shared" si="13"/>
        <v>90386.8</v>
      </c>
    </row>
    <row r="25" spans="1:16" x14ac:dyDescent="0.35">
      <c r="A25" s="77" t="s">
        <v>261</v>
      </c>
      <c r="B25" s="94">
        <v>2</v>
      </c>
      <c r="C25" s="79">
        <v>60000</v>
      </c>
      <c r="D25" s="79">
        <f t="shared" si="3"/>
        <v>85000</v>
      </c>
      <c r="E25" s="95">
        <f t="shared" si="4"/>
        <v>65000</v>
      </c>
      <c r="F25" s="80">
        <f t="shared" si="5"/>
        <v>130000</v>
      </c>
      <c r="H25" s="75">
        <f t="shared" si="6"/>
        <v>11760</v>
      </c>
      <c r="I25" s="338">
        <f t="shared" si="7"/>
        <v>3315</v>
      </c>
      <c r="J25" s="338">
        <f t="shared" si="8"/>
        <v>1885</v>
      </c>
      <c r="K25" s="338">
        <f t="shared" si="9"/>
        <v>1638</v>
      </c>
      <c r="L25" s="338">
        <f t="shared" si="10"/>
        <v>2210</v>
      </c>
      <c r="M25" s="75">
        <f t="shared" si="11"/>
        <v>16.8</v>
      </c>
      <c r="O25" s="338">
        <f t="shared" si="12"/>
        <v>9064.7999999999993</v>
      </c>
      <c r="P25" s="338">
        <f t="shared" si="13"/>
        <v>150824.79999999999</v>
      </c>
    </row>
    <row r="26" spans="1:16" x14ac:dyDescent="0.35">
      <c r="A26" s="77" t="s">
        <v>262</v>
      </c>
      <c r="B26" s="330">
        <v>1</v>
      </c>
      <c r="C26" s="79">
        <v>70000</v>
      </c>
      <c r="D26" s="79">
        <f t="shared" si="3"/>
        <v>95000</v>
      </c>
      <c r="E26" s="95">
        <f t="shared" si="4"/>
        <v>75000</v>
      </c>
      <c r="F26" s="80">
        <f t="shared" si="5"/>
        <v>75000</v>
      </c>
      <c r="H26" s="75">
        <f t="shared" si="6"/>
        <v>5880</v>
      </c>
      <c r="I26" s="338">
        <f t="shared" si="7"/>
        <v>1912.4999999999998</v>
      </c>
      <c r="J26" s="338">
        <f t="shared" si="8"/>
        <v>1087.5</v>
      </c>
      <c r="K26" s="338">
        <f t="shared" si="9"/>
        <v>945</v>
      </c>
      <c r="L26" s="338">
        <f t="shared" si="10"/>
        <v>1275</v>
      </c>
      <c r="M26" s="75">
        <f t="shared" si="11"/>
        <v>8.4</v>
      </c>
      <c r="O26" s="338">
        <f t="shared" si="12"/>
        <v>5228.3999999999996</v>
      </c>
      <c r="P26" s="338">
        <f t="shared" si="13"/>
        <v>86108.4</v>
      </c>
    </row>
    <row r="27" spans="1:16" x14ac:dyDescent="0.35">
      <c r="A27" s="77" t="s">
        <v>227</v>
      </c>
      <c r="B27" s="94">
        <v>7</v>
      </c>
      <c r="C27" s="79">
        <v>53000</v>
      </c>
      <c r="D27" s="79">
        <f t="shared" si="3"/>
        <v>78000</v>
      </c>
      <c r="E27" s="95">
        <f t="shared" si="4"/>
        <v>58000</v>
      </c>
      <c r="F27" s="96">
        <f t="shared" si="5"/>
        <v>406000</v>
      </c>
      <c r="H27" s="75">
        <f t="shared" si="6"/>
        <v>41160</v>
      </c>
      <c r="I27" s="338">
        <f t="shared" si="7"/>
        <v>10353</v>
      </c>
      <c r="J27" s="338">
        <f t="shared" si="8"/>
        <v>5887</v>
      </c>
      <c r="K27" s="338">
        <f t="shared" si="9"/>
        <v>5115.6000000000004</v>
      </c>
      <c r="L27" s="338">
        <f t="shared" si="10"/>
        <v>6902.0000000000009</v>
      </c>
      <c r="M27" s="75">
        <f t="shared" si="11"/>
        <v>58.800000000000004</v>
      </c>
      <c r="O27" s="338">
        <f t="shared" si="12"/>
        <v>28316.399999999998</v>
      </c>
      <c r="P27" s="338">
        <f t="shared" si="13"/>
        <v>475476.4</v>
      </c>
    </row>
    <row r="28" spans="1:16" x14ac:dyDescent="0.35">
      <c r="A28" s="77" t="s">
        <v>228</v>
      </c>
      <c r="B28" s="331">
        <v>5</v>
      </c>
      <c r="C28" s="79">
        <v>63000</v>
      </c>
      <c r="D28" s="79">
        <f t="shared" si="3"/>
        <v>88000</v>
      </c>
      <c r="E28" s="80">
        <v>64000</v>
      </c>
      <c r="F28" s="80">
        <f t="shared" si="5"/>
        <v>320000</v>
      </c>
      <c r="H28" s="75">
        <f t="shared" si="6"/>
        <v>29400</v>
      </c>
      <c r="I28" s="338">
        <f t="shared" si="7"/>
        <v>8159.9999999999991</v>
      </c>
      <c r="J28" s="338">
        <f t="shared" si="8"/>
        <v>4640</v>
      </c>
      <c r="K28" s="338">
        <f t="shared" si="9"/>
        <v>4032</v>
      </c>
      <c r="L28" s="338">
        <f t="shared" si="10"/>
        <v>5440</v>
      </c>
      <c r="M28" s="75">
        <f t="shared" si="11"/>
        <v>42</v>
      </c>
      <c r="O28" s="338">
        <f t="shared" si="12"/>
        <v>22314</v>
      </c>
      <c r="P28" s="338">
        <f t="shared" si="13"/>
        <v>371714</v>
      </c>
    </row>
    <row r="29" spans="1:16" ht="15.5" x14ac:dyDescent="0.35">
      <c r="B29" s="97">
        <f>SUM(B4:B28)</f>
        <v>49</v>
      </c>
      <c r="F29" s="86">
        <f>SUM(F4:F28)</f>
        <v>3272000</v>
      </c>
      <c r="H29" s="342">
        <f t="shared" ref="H29:P29" si="20">SUM(H3:H28)</f>
        <v>246960</v>
      </c>
      <c r="I29" s="342">
        <f t="shared" si="20"/>
        <v>72930.025499999989</v>
      </c>
      <c r="J29" s="342">
        <f t="shared" si="20"/>
        <v>41470.014500000005</v>
      </c>
      <c r="K29" s="342">
        <f t="shared" si="20"/>
        <v>36036.012600000002</v>
      </c>
      <c r="L29" s="342">
        <f t="shared" si="20"/>
        <v>48620.017</v>
      </c>
      <c r="M29" s="342">
        <f t="shared" si="20"/>
        <v>352.80000000000013</v>
      </c>
      <c r="N29" s="342">
        <f t="shared" si="20"/>
        <v>0</v>
      </c>
      <c r="O29" s="342">
        <f t="shared" si="20"/>
        <v>199400.39999999994</v>
      </c>
      <c r="P29" s="342">
        <f t="shared" si="20"/>
        <v>3300480.3999999994</v>
      </c>
    </row>
    <row r="31" spans="1:16" x14ac:dyDescent="0.35">
      <c r="A31" s="77" t="s">
        <v>229</v>
      </c>
      <c r="B31" s="94">
        <v>2</v>
      </c>
      <c r="C31" s="79">
        <v>70000</v>
      </c>
      <c r="D31" s="79">
        <f>C31+25000</f>
        <v>95000</v>
      </c>
      <c r="E31" s="80">
        <f>C31+5000</f>
        <v>75000</v>
      </c>
      <c r="F31" s="80">
        <f t="shared" ref="F31" si="21">B31*E31</f>
        <v>150000</v>
      </c>
      <c r="H31" s="75">
        <f t="shared" ref="H31:H32" si="22">+$H$3*B31</f>
        <v>11760</v>
      </c>
      <c r="J31" s="338">
        <f t="shared" ref="J31:J32" si="23">+$J$3*F31</f>
        <v>2175</v>
      </c>
      <c r="K31" s="338">
        <f t="shared" ref="K31:K32" si="24">+$K$3*F31</f>
        <v>1890</v>
      </c>
      <c r="L31" s="338">
        <f t="shared" ref="L31:L32" si="25">+$L$3*F31</f>
        <v>2550</v>
      </c>
      <c r="M31" s="75">
        <f t="shared" ref="M31:M32" si="26">+$M$3*B31</f>
        <v>16.8</v>
      </c>
      <c r="O31" s="338">
        <f t="shared" ref="O31:O32" si="27">SUM(I31:M31)</f>
        <v>6631.8</v>
      </c>
      <c r="P31" s="338">
        <f t="shared" ref="P31:P32" si="28">+F31+H31+O31</f>
        <v>168391.8</v>
      </c>
    </row>
    <row r="32" spans="1:16" x14ac:dyDescent="0.35">
      <c r="A32" s="77" t="s">
        <v>230</v>
      </c>
      <c r="B32" s="78">
        <v>1</v>
      </c>
      <c r="C32" s="79">
        <v>50000</v>
      </c>
      <c r="D32" s="79">
        <f>C32+25000</f>
        <v>75000</v>
      </c>
      <c r="E32" s="80">
        <f>C32+5000</f>
        <v>55000</v>
      </c>
      <c r="F32" s="80">
        <f>B32*E32</f>
        <v>55000</v>
      </c>
      <c r="H32" s="75">
        <f t="shared" si="22"/>
        <v>5880</v>
      </c>
      <c r="J32" s="338">
        <f t="shared" si="23"/>
        <v>797.5</v>
      </c>
      <c r="K32" s="338">
        <f t="shared" si="24"/>
        <v>693</v>
      </c>
      <c r="L32" s="338">
        <f t="shared" si="25"/>
        <v>935.00000000000011</v>
      </c>
      <c r="M32" s="75">
        <f t="shared" si="26"/>
        <v>8.4</v>
      </c>
      <c r="O32" s="338">
        <f t="shared" si="27"/>
        <v>2433.9</v>
      </c>
      <c r="P32" s="338">
        <f t="shared" si="28"/>
        <v>63313.9</v>
      </c>
    </row>
    <row r="33" spans="1:16" ht="15.5" x14ac:dyDescent="0.35">
      <c r="B33" s="97">
        <f>SUM(B31:B32)</f>
        <v>3</v>
      </c>
      <c r="F33" s="86">
        <f>SUM(F31:F32)</f>
        <v>205000</v>
      </c>
      <c r="H33" s="75">
        <f>SUM(H31:H32)</f>
        <v>17640</v>
      </c>
      <c r="I33" s="75">
        <f t="shared" ref="I33:P33" si="29">SUM(I31:I32)</f>
        <v>0</v>
      </c>
      <c r="J33" s="75">
        <f t="shared" si="29"/>
        <v>2972.5</v>
      </c>
      <c r="K33" s="75">
        <f t="shared" si="29"/>
        <v>2583</v>
      </c>
      <c r="L33" s="75">
        <f t="shared" si="29"/>
        <v>3485</v>
      </c>
      <c r="M33" s="75">
        <f t="shared" si="29"/>
        <v>25.200000000000003</v>
      </c>
      <c r="N33" s="75">
        <f t="shared" si="29"/>
        <v>0</v>
      </c>
      <c r="O33" s="75">
        <f t="shared" si="29"/>
        <v>9065.7000000000007</v>
      </c>
      <c r="P33" s="75">
        <f t="shared" si="29"/>
        <v>231705.69999999998</v>
      </c>
    </row>
    <row r="35" spans="1:16" x14ac:dyDescent="0.35">
      <c r="A35" s="77" t="s">
        <v>231</v>
      </c>
      <c r="B35" s="98">
        <v>1</v>
      </c>
      <c r="E35" s="80">
        <v>130000</v>
      </c>
      <c r="F35" s="80">
        <f>B35*E35</f>
        <v>130000</v>
      </c>
      <c r="H35" s="75">
        <f t="shared" ref="H35:H42" si="30">+$H$3*B35</f>
        <v>5880</v>
      </c>
      <c r="J35" s="338">
        <f t="shared" ref="J35:J42" si="31">+$J$3*F35</f>
        <v>1885</v>
      </c>
      <c r="K35" s="338">
        <f t="shared" ref="K35:K42" si="32">+$K$3*F35</f>
        <v>1638</v>
      </c>
      <c r="L35" s="338">
        <f t="shared" ref="L35:L42" si="33">+$L$3*F35</f>
        <v>2210</v>
      </c>
      <c r="M35" s="75">
        <f t="shared" ref="M35:M42" si="34">+$M$3*B35</f>
        <v>8.4</v>
      </c>
      <c r="O35" s="338">
        <f t="shared" ref="O35:O42" si="35">SUM(I35:M35)</f>
        <v>5741.4</v>
      </c>
      <c r="P35" s="338">
        <f t="shared" ref="P35:P42" si="36">+F35+H35+O35</f>
        <v>141621.4</v>
      </c>
    </row>
    <row r="36" spans="1:16" x14ac:dyDescent="0.35">
      <c r="A36" s="77" t="s">
        <v>232</v>
      </c>
      <c r="B36" s="98">
        <v>3</v>
      </c>
      <c r="E36" s="80">
        <v>85000</v>
      </c>
      <c r="F36" s="80">
        <f t="shared" ref="F36:F39" si="37">B36*E36</f>
        <v>255000</v>
      </c>
      <c r="H36" s="75">
        <f t="shared" si="30"/>
        <v>17640</v>
      </c>
      <c r="J36" s="338">
        <f t="shared" si="31"/>
        <v>3697.5</v>
      </c>
      <c r="K36" s="338">
        <f t="shared" si="32"/>
        <v>3213</v>
      </c>
      <c r="L36" s="338">
        <f t="shared" si="33"/>
        <v>4335</v>
      </c>
      <c r="M36" s="75">
        <f t="shared" si="34"/>
        <v>25.200000000000003</v>
      </c>
      <c r="O36" s="338">
        <f t="shared" si="35"/>
        <v>11270.7</v>
      </c>
      <c r="P36" s="338">
        <f t="shared" si="36"/>
        <v>283910.7</v>
      </c>
    </row>
    <row r="37" spans="1:16" x14ac:dyDescent="0.35">
      <c r="A37" s="77" t="s">
        <v>235</v>
      </c>
      <c r="B37" s="98">
        <v>0</v>
      </c>
      <c r="E37" s="80">
        <v>80000</v>
      </c>
      <c r="F37" s="80">
        <v>0</v>
      </c>
      <c r="H37" s="75">
        <f t="shared" si="30"/>
        <v>0</v>
      </c>
      <c r="J37" s="338">
        <f t="shared" si="31"/>
        <v>0</v>
      </c>
      <c r="K37" s="338">
        <f t="shared" si="32"/>
        <v>0</v>
      </c>
      <c r="L37" s="338">
        <f t="shared" si="33"/>
        <v>0</v>
      </c>
      <c r="M37" s="75">
        <f t="shared" si="34"/>
        <v>0</v>
      </c>
      <c r="O37" s="338">
        <f t="shared" si="35"/>
        <v>0</v>
      </c>
      <c r="P37" s="338">
        <f t="shared" si="36"/>
        <v>0</v>
      </c>
    </row>
    <row r="38" spans="1:16" x14ac:dyDescent="0.35">
      <c r="A38" s="77" t="s">
        <v>236</v>
      </c>
      <c r="B38" s="98">
        <v>1</v>
      </c>
      <c r="E38" s="80">
        <v>55000</v>
      </c>
      <c r="F38" s="80">
        <f t="shared" si="37"/>
        <v>55000</v>
      </c>
      <c r="H38" s="75">
        <f t="shared" si="30"/>
        <v>5880</v>
      </c>
      <c r="J38" s="338">
        <f t="shared" si="31"/>
        <v>797.5</v>
      </c>
      <c r="K38" s="338">
        <f t="shared" si="32"/>
        <v>693</v>
      </c>
      <c r="L38" s="338">
        <f t="shared" si="33"/>
        <v>935.00000000000011</v>
      </c>
      <c r="M38" s="75">
        <f t="shared" si="34"/>
        <v>8.4</v>
      </c>
      <c r="O38" s="338">
        <f t="shared" si="35"/>
        <v>2433.9</v>
      </c>
      <c r="P38" s="338">
        <f t="shared" si="36"/>
        <v>63313.9</v>
      </c>
    </row>
    <row r="39" spans="1:16" x14ac:dyDescent="0.35">
      <c r="A39" s="77" t="s">
        <v>237</v>
      </c>
      <c r="B39" s="98">
        <v>2</v>
      </c>
      <c r="E39" s="80">
        <v>35000</v>
      </c>
      <c r="F39" s="80">
        <f t="shared" si="37"/>
        <v>70000</v>
      </c>
      <c r="H39" s="75">
        <f t="shared" si="30"/>
        <v>11760</v>
      </c>
      <c r="J39" s="338">
        <f t="shared" si="31"/>
        <v>1015</v>
      </c>
      <c r="K39" s="338">
        <f t="shared" si="32"/>
        <v>882</v>
      </c>
      <c r="L39" s="338">
        <f t="shared" si="33"/>
        <v>1190</v>
      </c>
      <c r="M39" s="75">
        <f t="shared" si="34"/>
        <v>16.8</v>
      </c>
      <c r="O39" s="338">
        <f t="shared" si="35"/>
        <v>3103.8</v>
      </c>
      <c r="P39" s="338">
        <f t="shared" si="36"/>
        <v>84863.8</v>
      </c>
    </row>
    <row r="40" spans="1:16" x14ac:dyDescent="0.35">
      <c r="A40" s="77" t="s">
        <v>263</v>
      </c>
      <c r="B40" s="98">
        <v>0.5</v>
      </c>
      <c r="E40" s="80">
        <v>35000</v>
      </c>
      <c r="F40" s="80">
        <v>35000</v>
      </c>
      <c r="H40" s="75">
        <f t="shared" si="30"/>
        <v>2940</v>
      </c>
      <c r="J40" s="338">
        <f t="shared" si="31"/>
        <v>507.5</v>
      </c>
      <c r="K40" s="338">
        <f t="shared" si="32"/>
        <v>441</v>
      </c>
      <c r="L40" s="338">
        <f t="shared" si="33"/>
        <v>595</v>
      </c>
      <c r="M40" s="75">
        <f t="shared" si="34"/>
        <v>4.2</v>
      </c>
      <c r="O40" s="338">
        <f t="shared" si="35"/>
        <v>1547.7</v>
      </c>
      <c r="P40" s="338">
        <f t="shared" si="36"/>
        <v>39487.699999999997</v>
      </c>
    </row>
    <row r="41" spans="1:16" x14ac:dyDescent="0.35">
      <c r="A41" s="77" t="s">
        <v>264</v>
      </c>
      <c r="B41" s="98">
        <v>0.5</v>
      </c>
      <c r="E41" s="80">
        <v>35000</v>
      </c>
      <c r="F41" s="80">
        <v>35000</v>
      </c>
      <c r="H41" s="75">
        <f t="shared" si="30"/>
        <v>2940</v>
      </c>
      <c r="J41" s="338">
        <f t="shared" si="31"/>
        <v>507.5</v>
      </c>
      <c r="K41" s="338">
        <f t="shared" si="32"/>
        <v>441</v>
      </c>
      <c r="L41" s="338">
        <f t="shared" si="33"/>
        <v>595</v>
      </c>
      <c r="M41" s="75">
        <f t="shared" si="34"/>
        <v>4.2</v>
      </c>
      <c r="O41" s="338">
        <f t="shared" si="35"/>
        <v>1547.7</v>
      </c>
      <c r="P41" s="338">
        <f t="shared" si="36"/>
        <v>39487.699999999997</v>
      </c>
    </row>
    <row r="42" spans="1:16" x14ac:dyDescent="0.35">
      <c r="A42" s="77" t="s">
        <v>238</v>
      </c>
      <c r="B42" s="98">
        <v>1</v>
      </c>
      <c r="E42" s="80">
        <v>35000</v>
      </c>
      <c r="F42" s="80">
        <v>35000</v>
      </c>
      <c r="H42" s="75">
        <f t="shared" si="30"/>
        <v>5880</v>
      </c>
      <c r="J42" s="338">
        <f t="shared" si="31"/>
        <v>507.5</v>
      </c>
      <c r="K42" s="338">
        <f t="shared" si="32"/>
        <v>441</v>
      </c>
      <c r="L42" s="338">
        <f t="shared" si="33"/>
        <v>595</v>
      </c>
      <c r="M42" s="75">
        <f t="shared" si="34"/>
        <v>8.4</v>
      </c>
      <c r="O42" s="338">
        <f t="shared" si="35"/>
        <v>1551.9</v>
      </c>
      <c r="P42" s="338">
        <f t="shared" si="36"/>
        <v>42431.9</v>
      </c>
    </row>
    <row r="43" spans="1:16" ht="15.5" x14ac:dyDescent="0.35">
      <c r="B43" s="97">
        <f>SUM(B35:B42)</f>
        <v>9</v>
      </c>
      <c r="F43" s="86">
        <f>SUM(F35:F42)</f>
        <v>615000</v>
      </c>
      <c r="H43" s="75">
        <f>SUM(H35:H42)</f>
        <v>52920</v>
      </c>
      <c r="I43" s="75">
        <f t="shared" ref="I43:P43" si="38">SUM(I35:I42)</f>
        <v>0</v>
      </c>
      <c r="J43" s="75">
        <f t="shared" si="38"/>
        <v>8917.5</v>
      </c>
      <c r="K43" s="75">
        <f t="shared" si="38"/>
        <v>7749</v>
      </c>
      <c r="L43" s="75">
        <f t="shared" si="38"/>
        <v>10455</v>
      </c>
      <c r="M43" s="75">
        <f t="shared" si="38"/>
        <v>75.600000000000009</v>
      </c>
      <c r="N43" s="75">
        <f t="shared" si="38"/>
        <v>0</v>
      </c>
      <c r="O43" s="75">
        <f t="shared" si="38"/>
        <v>27197.100000000002</v>
      </c>
      <c r="P43" s="75">
        <f t="shared" si="38"/>
        <v>695117.1</v>
      </c>
    </row>
    <row r="44" spans="1:16" x14ac:dyDescent="0.35">
      <c r="F44" s="99"/>
    </row>
    <row r="45" spans="1:16" ht="15.5" x14ac:dyDescent="0.35">
      <c r="B45" s="100">
        <f>B29+B33+B43</f>
        <v>61</v>
      </c>
      <c r="F45" s="92">
        <f>F29+F33+F43</f>
        <v>4092000</v>
      </c>
    </row>
    <row r="46" spans="1:16" x14ac:dyDescent="0.35">
      <c r="F46" s="99"/>
    </row>
    <row r="47" spans="1:16" x14ac:dyDescent="0.35">
      <c r="F47" s="99"/>
    </row>
    <row r="49" spans="6:6" ht="15.5" x14ac:dyDescent="0.35">
      <c r="F49" s="101"/>
    </row>
  </sheetData>
  <mergeCells count="7">
    <mergeCell ref="G2:G3"/>
    <mergeCell ref="A1:F1"/>
    <mergeCell ref="A2:A3"/>
    <mergeCell ref="B2:B3"/>
    <mergeCell ref="C2:D2"/>
    <mergeCell ref="E2:E3"/>
    <mergeCell ref="F2:F3"/>
  </mergeCells>
  <pageMargins left="0.7" right="0.7" top="0.75" bottom="0.75" header="0.3" footer="0.3"/>
  <pageSetup scale="8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8F61-2432-4172-99DE-CDA3141016F7}">
  <dimension ref="A1:P49"/>
  <sheetViews>
    <sheetView topLeftCell="A29" zoomScale="90" zoomScaleNormal="90" zoomScaleSheetLayoutView="93" workbookViewId="0">
      <selection activeCell="B40" sqref="B40"/>
    </sheetView>
  </sheetViews>
  <sheetFormatPr defaultColWidth="9" defaultRowHeight="14.5" x14ac:dyDescent="0.35"/>
  <cols>
    <col min="1" max="1" width="25.54296875" style="75" customWidth="1"/>
    <col min="2" max="2" width="8.81640625" style="75" customWidth="1"/>
    <col min="3" max="6" width="16.54296875" style="75" customWidth="1"/>
    <col min="7" max="7" width="13" style="75" customWidth="1"/>
    <col min="8" max="8" width="11.453125" style="75" customWidth="1"/>
    <col min="9" max="14" width="9" style="75"/>
    <col min="15" max="15" width="13.453125" style="75" bestFit="1" customWidth="1"/>
    <col min="16" max="16" width="15.1796875" style="75" bestFit="1" customWidth="1"/>
    <col min="17" max="16384" width="9" style="75"/>
  </cols>
  <sheetData>
    <row r="1" spans="1:16" ht="29.25" customHeight="1" x14ac:dyDescent="0.35">
      <c r="A1" s="398" t="s">
        <v>324</v>
      </c>
      <c r="B1" s="398"/>
      <c r="C1" s="398"/>
      <c r="D1" s="398"/>
      <c r="E1" s="398"/>
      <c r="F1" s="398"/>
    </row>
    <row r="2" spans="1:16" ht="25.9" customHeight="1" x14ac:dyDescent="0.35">
      <c r="A2" s="408" t="s">
        <v>202</v>
      </c>
      <c r="B2" s="399" t="s">
        <v>240</v>
      </c>
      <c r="C2" s="409" t="s">
        <v>204</v>
      </c>
      <c r="D2" s="409"/>
      <c r="E2" s="405" t="s">
        <v>241</v>
      </c>
      <c r="F2" s="407" t="s">
        <v>206</v>
      </c>
      <c r="G2" s="386" t="s">
        <v>267</v>
      </c>
      <c r="H2" s="341" t="s">
        <v>310</v>
      </c>
      <c r="I2" s="333" t="s">
        <v>311</v>
      </c>
      <c r="J2" s="333" t="s">
        <v>312</v>
      </c>
      <c r="K2" s="333" t="s">
        <v>313</v>
      </c>
      <c r="L2" s="333" t="s">
        <v>314</v>
      </c>
      <c r="M2" s="333" t="s">
        <v>315</v>
      </c>
      <c r="N2" s="333" t="s">
        <v>316</v>
      </c>
      <c r="O2" s="333" t="s">
        <v>317</v>
      </c>
      <c r="P2" s="334" t="s">
        <v>318</v>
      </c>
    </row>
    <row r="3" spans="1:16" ht="24" customHeight="1" x14ac:dyDescent="0.35">
      <c r="A3" s="408"/>
      <c r="B3" s="400"/>
      <c r="C3" s="76" t="s">
        <v>207</v>
      </c>
      <c r="D3" s="76" t="s">
        <v>208</v>
      </c>
      <c r="E3" s="406"/>
      <c r="F3" s="407"/>
      <c r="G3" s="386"/>
      <c r="H3" s="335">
        <f>(0.9*7200)-(50*12)</f>
        <v>5880</v>
      </c>
      <c r="I3" s="336">
        <f>0.018+0.0075</f>
        <v>2.5499999999999998E-2</v>
      </c>
      <c r="J3" s="336">
        <v>1.4500000000000001E-2</v>
      </c>
      <c r="K3" s="336">
        <v>1.26E-2</v>
      </c>
      <c r="L3" s="336">
        <v>1.7000000000000001E-2</v>
      </c>
      <c r="M3" s="336">
        <v>8.4</v>
      </c>
      <c r="N3" s="336"/>
      <c r="O3" s="336"/>
      <c r="P3" s="337" t="s">
        <v>319</v>
      </c>
    </row>
    <row r="4" spans="1:16" x14ac:dyDescent="0.35">
      <c r="A4" s="77" t="s">
        <v>268</v>
      </c>
      <c r="B4" s="94">
        <v>3</v>
      </c>
      <c r="C4" s="79">
        <v>55000</v>
      </c>
      <c r="D4" s="79">
        <f t="shared" ref="D4:D5" si="0">C4+25000</f>
        <v>80000</v>
      </c>
      <c r="E4" s="95">
        <f t="shared" ref="E4:E5" si="1">C4+5000</f>
        <v>60000</v>
      </c>
      <c r="F4" s="87">
        <f>B4*E4</f>
        <v>180000</v>
      </c>
      <c r="I4" s="338"/>
      <c r="J4" s="338"/>
      <c r="K4" s="338"/>
      <c r="L4" s="338"/>
      <c r="O4" s="338"/>
      <c r="P4" s="338"/>
    </row>
    <row r="5" spans="1:16" x14ac:dyDescent="0.35">
      <c r="A5" s="77" t="s">
        <v>269</v>
      </c>
      <c r="B5" s="94">
        <v>3</v>
      </c>
      <c r="C5" s="79">
        <v>38000</v>
      </c>
      <c r="D5" s="79">
        <f t="shared" si="0"/>
        <v>63000</v>
      </c>
      <c r="E5" s="95">
        <f t="shared" si="1"/>
        <v>43000</v>
      </c>
      <c r="F5" s="87">
        <f t="shared" ref="F5" si="2">B5*E5</f>
        <v>129000</v>
      </c>
      <c r="I5" s="338"/>
      <c r="J5" s="338"/>
      <c r="K5" s="338"/>
      <c r="L5" s="338"/>
      <c r="O5" s="338"/>
      <c r="P5" s="338"/>
    </row>
    <row r="6" spans="1:16" x14ac:dyDescent="0.35">
      <c r="A6" s="77" t="s">
        <v>242</v>
      </c>
      <c r="B6" s="94">
        <v>3</v>
      </c>
      <c r="C6" s="79">
        <v>65000</v>
      </c>
      <c r="D6" s="79">
        <f t="shared" ref="D6:D28" si="3">C6+25000</f>
        <v>90000</v>
      </c>
      <c r="E6" s="95">
        <f t="shared" ref="E6:E27" si="4">C6+5000</f>
        <v>70000</v>
      </c>
      <c r="F6" s="80">
        <f t="shared" ref="F6:F28" si="5">B6*E6</f>
        <v>210000</v>
      </c>
      <c r="H6" s="75">
        <f>+$H$3*B6</f>
        <v>17640</v>
      </c>
      <c r="I6" s="338">
        <f>+$I$3*F6</f>
        <v>5355</v>
      </c>
      <c r="J6" s="338">
        <f>+$J$3*F6</f>
        <v>3045</v>
      </c>
      <c r="K6" s="338">
        <f>+$K$3*F6</f>
        <v>2646</v>
      </c>
      <c r="L6" s="338">
        <f>+$L$3*F6</f>
        <v>3570.0000000000005</v>
      </c>
      <c r="M6" s="75">
        <f>+$M$3*B6</f>
        <v>25.200000000000003</v>
      </c>
      <c r="O6" s="338">
        <f>SUM(I6:M6)</f>
        <v>14641.2</v>
      </c>
      <c r="P6" s="338">
        <f>+F6+H6+O6</f>
        <v>242281.2</v>
      </c>
    </row>
    <row r="7" spans="1:16" x14ac:dyDescent="0.35">
      <c r="A7" s="77" t="s">
        <v>243</v>
      </c>
      <c r="B7" s="94">
        <v>4</v>
      </c>
      <c r="C7" s="79">
        <v>65000</v>
      </c>
      <c r="D7" s="79">
        <f t="shared" si="3"/>
        <v>90000</v>
      </c>
      <c r="E7" s="95">
        <f t="shared" si="4"/>
        <v>70000</v>
      </c>
      <c r="F7" s="80">
        <f t="shared" si="5"/>
        <v>280000</v>
      </c>
      <c r="H7" s="75">
        <f t="shared" ref="H7:H28" si="6">+$H$3*B7</f>
        <v>23520</v>
      </c>
      <c r="I7" s="338">
        <f t="shared" ref="I7:I28" si="7">+$I$3*F7</f>
        <v>7139.9999999999991</v>
      </c>
      <c r="J7" s="338">
        <f t="shared" ref="J7:J28" si="8">+$J$3*F7</f>
        <v>4060</v>
      </c>
      <c r="K7" s="338">
        <f t="shared" ref="K7:K28" si="9">+$K$3*F7</f>
        <v>3528</v>
      </c>
      <c r="L7" s="338">
        <f t="shared" ref="L7:L28" si="10">+$L$3*F7</f>
        <v>4760</v>
      </c>
      <c r="M7" s="75">
        <f t="shared" ref="M7:M28" si="11">+$M$3*B7</f>
        <v>33.6</v>
      </c>
      <c r="O7" s="338">
        <f t="shared" ref="O7:O28" si="12">SUM(I7:M7)</f>
        <v>19521.599999999999</v>
      </c>
      <c r="P7" s="338">
        <f t="shared" ref="P7:P28" si="13">+F7+H7+O7</f>
        <v>323041.59999999998</v>
      </c>
    </row>
    <row r="8" spans="1:16" x14ac:dyDescent="0.35">
      <c r="A8" s="77" t="s">
        <v>244</v>
      </c>
      <c r="B8" s="94">
        <v>1</v>
      </c>
      <c r="C8" s="79">
        <v>70000</v>
      </c>
      <c r="D8" s="79">
        <f t="shared" si="3"/>
        <v>95000</v>
      </c>
      <c r="E8" s="95">
        <f t="shared" si="4"/>
        <v>75000</v>
      </c>
      <c r="F8" s="80">
        <f t="shared" si="5"/>
        <v>75000</v>
      </c>
      <c r="H8" s="75">
        <f t="shared" si="6"/>
        <v>5880</v>
      </c>
      <c r="I8" s="338">
        <f t="shared" si="7"/>
        <v>1912.4999999999998</v>
      </c>
      <c r="J8" s="338">
        <f t="shared" si="8"/>
        <v>1087.5</v>
      </c>
      <c r="K8" s="338">
        <f t="shared" si="9"/>
        <v>945</v>
      </c>
      <c r="L8" s="338">
        <f t="shared" si="10"/>
        <v>1275</v>
      </c>
      <c r="M8" s="75">
        <f t="shared" si="11"/>
        <v>8.4</v>
      </c>
      <c r="O8" s="338">
        <f t="shared" si="12"/>
        <v>5228.3999999999996</v>
      </c>
      <c r="P8" s="338">
        <f t="shared" si="13"/>
        <v>86108.4</v>
      </c>
    </row>
    <row r="9" spans="1:16" x14ac:dyDescent="0.35">
      <c r="A9" s="329" t="s">
        <v>245</v>
      </c>
      <c r="B9" s="94">
        <v>1</v>
      </c>
      <c r="C9" s="79">
        <v>70000</v>
      </c>
      <c r="D9" s="79">
        <f t="shared" si="3"/>
        <v>95000</v>
      </c>
      <c r="E9" s="95">
        <f t="shared" si="4"/>
        <v>75000</v>
      </c>
      <c r="F9" s="80">
        <f t="shared" si="5"/>
        <v>75000</v>
      </c>
      <c r="H9" s="75">
        <f t="shared" si="6"/>
        <v>5880</v>
      </c>
      <c r="I9" s="338">
        <f t="shared" si="7"/>
        <v>1912.4999999999998</v>
      </c>
      <c r="J9" s="338">
        <f t="shared" si="8"/>
        <v>1087.5</v>
      </c>
      <c r="K9" s="338">
        <f t="shared" si="9"/>
        <v>945</v>
      </c>
      <c r="L9" s="338">
        <f t="shared" si="10"/>
        <v>1275</v>
      </c>
      <c r="M9" s="75">
        <f t="shared" si="11"/>
        <v>8.4</v>
      </c>
      <c r="O9" s="338">
        <f t="shared" si="12"/>
        <v>5228.3999999999996</v>
      </c>
      <c r="P9" s="338">
        <f t="shared" si="13"/>
        <v>86108.4</v>
      </c>
    </row>
    <row r="10" spans="1:16" x14ac:dyDescent="0.35">
      <c r="A10" s="77" t="s">
        <v>246</v>
      </c>
      <c r="B10" s="94">
        <v>1</v>
      </c>
      <c r="C10" s="79">
        <v>68000</v>
      </c>
      <c r="D10" s="79">
        <f t="shared" si="3"/>
        <v>93000</v>
      </c>
      <c r="E10" s="95">
        <f t="shared" si="4"/>
        <v>73000</v>
      </c>
      <c r="F10" s="80">
        <f t="shared" si="5"/>
        <v>73000</v>
      </c>
      <c r="H10" s="75">
        <f t="shared" si="6"/>
        <v>5880</v>
      </c>
      <c r="I10" s="338">
        <f t="shared" si="7"/>
        <v>1861.4999999999998</v>
      </c>
      <c r="J10" s="338">
        <f t="shared" si="8"/>
        <v>1058.5</v>
      </c>
      <c r="K10" s="338">
        <f t="shared" si="9"/>
        <v>919.8</v>
      </c>
      <c r="L10" s="338">
        <f t="shared" si="10"/>
        <v>1241</v>
      </c>
      <c r="M10" s="75">
        <f t="shared" si="11"/>
        <v>8.4</v>
      </c>
      <c r="O10" s="338">
        <f t="shared" si="12"/>
        <v>5089.2</v>
      </c>
      <c r="P10" s="338">
        <f t="shared" si="13"/>
        <v>83969.2</v>
      </c>
    </row>
    <row r="11" spans="1:16" x14ac:dyDescent="0.35">
      <c r="A11" s="77" t="s">
        <v>247</v>
      </c>
      <c r="B11" s="94">
        <v>1</v>
      </c>
      <c r="C11" s="79">
        <v>68000</v>
      </c>
      <c r="D11" s="79">
        <f t="shared" si="3"/>
        <v>93000</v>
      </c>
      <c r="E11" s="95">
        <f t="shared" si="4"/>
        <v>73000</v>
      </c>
      <c r="F11" s="80">
        <f t="shared" si="5"/>
        <v>73000</v>
      </c>
      <c r="H11" s="75">
        <f t="shared" si="6"/>
        <v>5880</v>
      </c>
      <c r="I11" s="338">
        <f t="shared" si="7"/>
        <v>1861.4999999999998</v>
      </c>
      <c r="J11" s="338">
        <f t="shared" si="8"/>
        <v>1058.5</v>
      </c>
      <c r="K11" s="338">
        <f t="shared" si="9"/>
        <v>919.8</v>
      </c>
      <c r="L11" s="338">
        <f t="shared" si="10"/>
        <v>1241</v>
      </c>
      <c r="M11" s="75">
        <f t="shared" si="11"/>
        <v>8.4</v>
      </c>
      <c r="O11" s="338">
        <f t="shared" si="12"/>
        <v>5089.2</v>
      </c>
      <c r="P11" s="338">
        <f t="shared" si="13"/>
        <v>83969.2</v>
      </c>
    </row>
    <row r="12" spans="1:16" x14ac:dyDescent="0.35">
      <c r="A12" s="77" t="s">
        <v>248</v>
      </c>
      <c r="B12" s="94">
        <v>1</v>
      </c>
      <c r="C12" s="79">
        <v>74000</v>
      </c>
      <c r="D12" s="79">
        <f t="shared" si="3"/>
        <v>99000</v>
      </c>
      <c r="E12" s="95">
        <f t="shared" si="4"/>
        <v>79000</v>
      </c>
      <c r="F12" s="80">
        <f t="shared" si="5"/>
        <v>79000</v>
      </c>
      <c r="H12" s="75">
        <f t="shared" si="6"/>
        <v>5880</v>
      </c>
      <c r="I12" s="338">
        <f t="shared" si="7"/>
        <v>2014.4999999999998</v>
      </c>
      <c r="J12" s="338">
        <f t="shared" si="8"/>
        <v>1145.5</v>
      </c>
      <c r="K12" s="338">
        <f t="shared" si="9"/>
        <v>995.4</v>
      </c>
      <c r="L12" s="338">
        <f t="shared" si="10"/>
        <v>1343</v>
      </c>
      <c r="M12" s="75">
        <f t="shared" si="11"/>
        <v>8.4</v>
      </c>
      <c r="O12" s="338">
        <f t="shared" si="12"/>
        <v>5506.7999999999993</v>
      </c>
      <c r="P12" s="338">
        <f t="shared" si="13"/>
        <v>90386.8</v>
      </c>
    </row>
    <row r="13" spans="1:16" x14ac:dyDescent="0.35">
      <c r="A13" s="329" t="s">
        <v>249</v>
      </c>
      <c r="B13" s="94">
        <v>1</v>
      </c>
      <c r="C13" s="79">
        <v>74000</v>
      </c>
      <c r="D13" s="79">
        <f t="shared" si="3"/>
        <v>99000</v>
      </c>
      <c r="E13" s="95">
        <f t="shared" si="4"/>
        <v>79000</v>
      </c>
      <c r="F13" s="80">
        <f t="shared" si="5"/>
        <v>79000</v>
      </c>
      <c r="H13" s="75">
        <f t="shared" si="6"/>
        <v>5880</v>
      </c>
      <c r="I13" s="338">
        <f t="shared" si="7"/>
        <v>2014.4999999999998</v>
      </c>
      <c r="J13" s="338">
        <f t="shared" si="8"/>
        <v>1145.5</v>
      </c>
      <c r="K13" s="338">
        <f t="shared" si="9"/>
        <v>995.4</v>
      </c>
      <c r="L13" s="338">
        <f t="shared" si="10"/>
        <v>1343</v>
      </c>
      <c r="M13" s="75">
        <f t="shared" si="11"/>
        <v>8.4</v>
      </c>
      <c r="O13" s="338">
        <f t="shared" si="12"/>
        <v>5506.7999999999993</v>
      </c>
      <c r="P13" s="338">
        <f t="shared" si="13"/>
        <v>90386.8</v>
      </c>
    </row>
    <row r="14" spans="1:16" x14ac:dyDescent="0.35">
      <c r="A14" s="77" t="s">
        <v>250</v>
      </c>
      <c r="B14" s="94">
        <v>1</v>
      </c>
      <c r="C14" s="79">
        <v>70000</v>
      </c>
      <c r="D14" s="79">
        <f t="shared" si="3"/>
        <v>95000</v>
      </c>
      <c r="E14" s="95">
        <f t="shared" si="4"/>
        <v>75000</v>
      </c>
      <c r="F14" s="80">
        <f t="shared" si="5"/>
        <v>75000</v>
      </c>
      <c r="H14" s="75">
        <f t="shared" si="6"/>
        <v>5880</v>
      </c>
      <c r="I14" s="338">
        <f t="shared" si="7"/>
        <v>1912.4999999999998</v>
      </c>
      <c r="J14" s="338">
        <f t="shared" si="8"/>
        <v>1087.5</v>
      </c>
      <c r="K14" s="338">
        <f t="shared" si="9"/>
        <v>945</v>
      </c>
      <c r="L14" s="338">
        <f t="shared" si="10"/>
        <v>1275</v>
      </c>
      <c r="M14" s="75">
        <f t="shared" si="11"/>
        <v>8.4</v>
      </c>
      <c r="O14" s="338">
        <f t="shared" si="12"/>
        <v>5228.3999999999996</v>
      </c>
      <c r="P14" s="338">
        <f t="shared" si="13"/>
        <v>86108.4</v>
      </c>
    </row>
    <row r="15" spans="1:16" x14ac:dyDescent="0.35">
      <c r="A15" s="77" t="s">
        <v>251</v>
      </c>
      <c r="B15" s="94">
        <v>1</v>
      </c>
      <c r="C15" s="79">
        <v>70000</v>
      </c>
      <c r="D15" s="79">
        <f t="shared" si="3"/>
        <v>95000</v>
      </c>
      <c r="E15" s="95">
        <f t="shared" si="4"/>
        <v>75000</v>
      </c>
      <c r="F15" s="80">
        <f t="shared" si="5"/>
        <v>75000</v>
      </c>
      <c r="H15" s="75">
        <f t="shared" si="6"/>
        <v>5880</v>
      </c>
      <c r="I15" s="338">
        <f t="shared" si="7"/>
        <v>1912.4999999999998</v>
      </c>
      <c r="J15" s="338">
        <f t="shared" si="8"/>
        <v>1087.5</v>
      </c>
      <c r="K15" s="338">
        <f t="shared" si="9"/>
        <v>945</v>
      </c>
      <c r="L15" s="338">
        <f t="shared" si="10"/>
        <v>1275</v>
      </c>
      <c r="M15" s="75">
        <f t="shared" si="11"/>
        <v>8.4</v>
      </c>
      <c r="O15" s="338">
        <f t="shared" si="12"/>
        <v>5228.3999999999996</v>
      </c>
      <c r="P15" s="338">
        <f t="shared" si="13"/>
        <v>86108.4</v>
      </c>
    </row>
    <row r="16" spans="1:16" x14ac:dyDescent="0.35">
      <c r="A16" s="77" t="s">
        <v>252</v>
      </c>
      <c r="B16" s="94">
        <v>1</v>
      </c>
      <c r="C16" s="79">
        <v>74000</v>
      </c>
      <c r="D16" s="79">
        <f t="shared" si="3"/>
        <v>99000</v>
      </c>
      <c r="E16" s="95">
        <f t="shared" si="4"/>
        <v>79000</v>
      </c>
      <c r="F16" s="80">
        <f t="shared" si="5"/>
        <v>79000</v>
      </c>
      <c r="H16" s="75">
        <f t="shared" si="6"/>
        <v>5880</v>
      </c>
      <c r="I16" s="338">
        <f t="shared" si="7"/>
        <v>2014.4999999999998</v>
      </c>
      <c r="J16" s="338">
        <f t="shared" si="8"/>
        <v>1145.5</v>
      </c>
      <c r="K16" s="338">
        <f t="shared" si="9"/>
        <v>995.4</v>
      </c>
      <c r="L16" s="338">
        <f t="shared" si="10"/>
        <v>1343</v>
      </c>
      <c r="M16" s="75">
        <f t="shared" si="11"/>
        <v>8.4</v>
      </c>
      <c r="O16" s="338">
        <f t="shared" si="12"/>
        <v>5506.7999999999993</v>
      </c>
      <c r="P16" s="338">
        <f t="shared" si="13"/>
        <v>90386.8</v>
      </c>
    </row>
    <row r="17" spans="1:16" x14ac:dyDescent="0.35">
      <c r="A17" s="77" t="s">
        <v>253</v>
      </c>
      <c r="B17" s="94">
        <v>1</v>
      </c>
      <c r="C17" s="79">
        <v>74000</v>
      </c>
      <c r="D17" s="79">
        <f t="shared" si="3"/>
        <v>99000</v>
      </c>
      <c r="E17" s="95">
        <f t="shared" si="4"/>
        <v>79000</v>
      </c>
      <c r="F17" s="80">
        <f t="shared" si="5"/>
        <v>79000</v>
      </c>
      <c r="H17" s="75">
        <f t="shared" si="6"/>
        <v>5880</v>
      </c>
      <c r="I17" s="338">
        <f t="shared" si="7"/>
        <v>2014.4999999999998</v>
      </c>
      <c r="J17" s="338">
        <f t="shared" si="8"/>
        <v>1145.5</v>
      </c>
      <c r="K17" s="338">
        <f t="shared" si="9"/>
        <v>995.4</v>
      </c>
      <c r="L17" s="338">
        <f t="shared" si="10"/>
        <v>1343</v>
      </c>
      <c r="M17" s="75">
        <f t="shared" si="11"/>
        <v>8.4</v>
      </c>
      <c r="O17" s="338">
        <f t="shared" si="12"/>
        <v>5506.7999999999993</v>
      </c>
      <c r="P17" s="338">
        <f t="shared" si="13"/>
        <v>90386.8</v>
      </c>
    </row>
    <row r="18" spans="1:16" x14ac:dyDescent="0.35">
      <c r="A18" s="77" t="s">
        <v>254</v>
      </c>
      <c r="B18" s="94">
        <v>1</v>
      </c>
      <c r="C18" s="79">
        <v>70000</v>
      </c>
      <c r="D18" s="79">
        <f t="shared" si="3"/>
        <v>95000</v>
      </c>
      <c r="E18" s="95">
        <f t="shared" si="4"/>
        <v>75000</v>
      </c>
      <c r="F18" s="80">
        <f t="shared" si="5"/>
        <v>75000</v>
      </c>
      <c r="H18" s="75">
        <f t="shared" si="6"/>
        <v>5880</v>
      </c>
      <c r="I18" s="338">
        <f t="shared" si="7"/>
        <v>1912.4999999999998</v>
      </c>
      <c r="J18" s="338">
        <f t="shared" si="8"/>
        <v>1087.5</v>
      </c>
      <c r="K18" s="338">
        <f t="shared" si="9"/>
        <v>945</v>
      </c>
      <c r="L18" s="338">
        <f t="shared" si="10"/>
        <v>1275</v>
      </c>
      <c r="M18" s="75">
        <f t="shared" si="11"/>
        <v>8.4</v>
      </c>
      <c r="O18" s="338">
        <f t="shared" si="12"/>
        <v>5228.3999999999996</v>
      </c>
      <c r="P18" s="338">
        <f t="shared" si="13"/>
        <v>86108.4</v>
      </c>
    </row>
    <row r="19" spans="1:16" x14ac:dyDescent="0.35">
      <c r="A19" s="77" t="s">
        <v>255</v>
      </c>
      <c r="B19" s="94">
        <v>1</v>
      </c>
      <c r="C19" s="79">
        <v>70000</v>
      </c>
      <c r="D19" s="79">
        <f t="shared" si="3"/>
        <v>95000</v>
      </c>
      <c r="E19" s="95">
        <f t="shared" si="4"/>
        <v>75000</v>
      </c>
      <c r="F19" s="80">
        <f t="shared" si="5"/>
        <v>75000</v>
      </c>
      <c r="H19" s="75">
        <f t="shared" si="6"/>
        <v>5880</v>
      </c>
      <c r="I19" s="338">
        <f t="shared" si="7"/>
        <v>1912.4999999999998</v>
      </c>
      <c r="J19" s="338">
        <f t="shared" si="8"/>
        <v>1087.5</v>
      </c>
      <c r="K19" s="338">
        <f t="shared" si="9"/>
        <v>945</v>
      </c>
      <c r="L19" s="338">
        <f t="shared" si="10"/>
        <v>1275</v>
      </c>
      <c r="M19" s="75">
        <f t="shared" si="11"/>
        <v>8.4</v>
      </c>
      <c r="O19" s="338">
        <f t="shared" si="12"/>
        <v>5228.3999999999996</v>
      </c>
      <c r="P19" s="338">
        <f t="shared" si="13"/>
        <v>86108.4</v>
      </c>
    </row>
    <row r="20" spans="1:16" x14ac:dyDescent="0.35">
      <c r="A20" s="77" t="s">
        <v>256</v>
      </c>
      <c r="B20" s="94">
        <v>1</v>
      </c>
      <c r="C20" s="79">
        <v>74000</v>
      </c>
      <c r="D20" s="79">
        <f t="shared" si="3"/>
        <v>99000</v>
      </c>
      <c r="E20" s="95">
        <f t="shared" si="4"/>
        <v>79000</v>
      </c>
      <c r="F20" s="80">
        <f t="shared" si="5"/>
        <v>79000</v>
      </c>
      <c r="H20" s="75">
        <f t="shared" si="6"/>
        <v>5880</v>
      </c>
      <c r="I20" s="338">
        <f t="shared" si="7"/>
        <v>2014.4999999999998</v>
      </c>
      <c r="J20" s="338">
        <f t="shared" si="8"/>
        <v>1145.5</v>
      </c>
      <c r="K20" s="338">
        <f t="shared" si="9"/>
        <v>995.4</v>
      </c>
      <c r="L20" s="338">
        <f t="shared" si="10"/>
        <v>1343</v>
      </c>
      <c r="M20" s="75">
        <f t="shared" si="11"/>
        <v>8.4</v>
      </c>
      <c r="O20" s="338">
        <f t="shared" si="12"/>
        <v>5506.7999999999993</v>
      </c>
      <c r="P20" s="338">
        <f t="shared" si="13"/>
        <v>90386.8</v>
      </c>
    </row>
    <row r="21" spans="1:16" x14ac:dyDescent="0.35">
      <c r="A21" s="77" t="s">
        <v>257</v>
      </c>
      <c r="B21" s="94">
        <v>1</v>
      </c>
      <c r="C21" s="79">
        <v>74000</v>
      </c>
      <c r="D21" s="79">
        <f t="shared" si="3"/>
        <v>99000</v>
      </c>
      <c r="E21" s="95">
        <f t="shared" si="4"/>
        <v>79000</v>
      </c>
      <c r="F21" s="80">
        <f t="shared" si="5"/>
        <v>79000</v>
      </c>
      <c r="H21" s="75">
        <f t="shared" si="6"/>
        <v>5880</v>
      </c>
      <c r="I21" s="338">
        <f t="shared" si="7"/>
        <v>2014.4999999999998</v>
      </c>
      <c r="J21" s="338">
        <f t="shared" si="8"/>
        <v>1145.5</v>
      </c>
      <c r="K21" s="338">
        <f t="shared" si="9"/>
        <v>995.4</v>
      </c>
      <c r="L21" s="338">
        <f t="shared" si="10"/>
        <v>1343</v>
      </c>
      <c r="M21" s="75">
        <f t="shared" si="11"/>
        <v>8.4</v>
      </c>
      <c r="O21" s="338">
        <f t="shared" si="12"/>
        <v>5506.7999999999993</v>
      </c>
      <c r="P21" s="338">
        <f t="shared" si="13"/>
        <v>90386.8</v>
      </c>
    </row>
    <row r="22" spans="1:16" x14ac:dyDescent="0.35">
      <c r="A22" s="77" t="s">
        <v>258</v>
      </c>
      <c r="B22" s="94">
        <v>1</v>
      </c>
      <c r="C22" s="79">
        <v>70000</v>
      </c>
      <c r="D22" s="79">
        <f t="shared" si="3"/>
        <v>95000</v>
      </c>
      <c r="E22" s="95">
        <f t="shared" si="4"/>
        <v>75000</v>
      </c>
      <c r="F22" s="80">
        <f t="shared" si="5"/>
        <v>75000</v>
      </c>
      <c r="H22" s="75">
        <f t="shared" si="6"/>
        <v>5880</v>
      </c>
      <c r="I22" s="338">
        <f t="shared" si="7"/>
        <v>1912.4999999999998</v>
      </c>
      <c r="J22" s="338">
        <f t="shared" si="8"/>
        <v>1087.5</v>
      </c>
      <c r="K22" s="338">
        <f t="shared" si="9"/>
        <v>945</v>
      </c>
      <c r="L22" s="338">
        <f t="shared" si="10"/>
        <v>1275</v>
      </c>
      <c r="M22" s="75">
        <f t="shared" si="11"/>
        <v>8.4</v>
      </c>
      <c r="O22" s="338">
        <f t="shared" si="12"/>
        <v>5228.3999999999996</v>
      </c>
      <c r="P22" s="338">
        <f t="shared" si="13"/>
        <v>86108.4</v>
      </c>
    </row>
    <row r="23" spans="1:16" x14ac:dyDescent="0.35">
      <c r="A23" s="77" t="s">
        <v>259</v>
      </c>
      <c r="B23" s="94">
        <v>1</v>
      </c>
      <c r="C23" s="79">
        <v>70000</v>
      </c>
      <c r="D23" s="79">
        <f t="shared" si="3"/>
        <v>95000</v>
      </c>
      <c r="E23" s="95">
        <f t="shared" si="4"/>
        <v>75000</v>
      </c>
      <c r="F23" s="80">
        <f t="shared" si="5"/>
        <v>75000</v>
      </c>
      <c r="H23" s="75">
        <f t="shared" si="6"/>
        <v>5880</v>
      </c>
      <c r="I23" s="338">
        <f t="shared" si="7"/>
        <v>1912.4999999999998</v>
      </c>
      <c r="J23" s="338">
        <f t="shared" si="8"/>
        <v>1087.5</v>
      </c>
      <c r="K23" s="338">
        <f t="shared" si="9"/>
        <v>945</v>
      </c>
      <c r="L23" s="338">
        <f t="shared" si="10"/>
        <v>1275</v>
      </c>
      <c r="M23" s="75">
        <f t="shared" si="11"/>
        <v>8.4</v>
      </c>
      <c r="O23" s="338">
        <f t="shared" si="12"/>
        <v>5228.3999999999996</v>
      </c>
      <c r="P23" s="338">
        <f t="shared" si="13"/>
        <v>86108.4</v>
      </c>
    </row>
    <row r="24" spans="1:16" x14ac:dyDescent="0.35">
      <c r="A24" s="77" t="s">
        <v>260</v>
      </c>
      <c r="B24" s="94">
        <v>1</v>
      </c>
      <c r="C24" s="79">
        <v>74000</v>
      </c>
      <c r="D24" s="79">
        <f t="shared" si="3"/>
        <v>99000</v>
      </c>
      <c r="E24" s="95">
        <f t="shared" si="4"/>
        <v>79000</v>
      </c>
      <c r="F24" s="80">
        <f t="shared" si="5"/>
        <v>79000</v>
      </c>
      <c r="H24" s="75">
        <f t="shared" si="6"/>
        <v>5880</v>
      </c>
      <c r="I24" s="338">
        <f t="shared" si="7"/>
        <v>2014.4999999999998</v>
      </c>
      <c r="J24" s="338">
        <f t="shared" si="8"/>
        <v>1145.5</v>
      </c>
      <c r="K24" s="338">
        <f t="shared" si="9"/>
        <v>995.4</v>
      </c>
      <c r="L24" s="338">
        <f t="shared" si="10"/>
        <v>1343</v>
      </c>
      <c r="M24" s="75">
        <f t="shared" si="11"/>
        <v>8.4</v>
      </c>
      <c r="O24" s="338">
        <f t="shared" si="12"/>
        <v>5506.7999999999993</v>
      </c>
      <c r="P24" s="338">
        <f t="shared" si="13"/>
        <v>90386.8</v>
      </c>
    </row>
    <row r="25" spans="1:16" x14ac:dyDescent="0.35">
      <c r="A25" s="77" t="s">
        <v>261</v>
      </c>
      <c r="B25" s="94">
        <v>2</v>
      </c>
      <c r="C25" s="79">
        <v>60000</v>
      </c>
      <c r="D25" s="79">
        <f t="shared" si="3"/>
        <v>85000</v>
      </c>
      <c r="E25" s="95">
        <f t="shared" si="4"/>
        <v>65000</v>
      </c>
      <c r="F25" s="80">
        <f t="shared" si="5"/>
        <v>130000</v>
      </c>
      <c r="H25" s="75">
        <f t="shared" si="6"/>
        <v>11760</v>
      </c>
      <c r="I25" s="338">
        <f t="shared" si="7"/>
        <v>3315</v>
      </c>
      <c r="J25" s="338">
        <f t="shared" si="8"/>
        <v>1885</v>
      </c>
      <c r="K25" s="338">
        <f t="shared" si="9"/>
        <v>1638</v>
      </c>
      <c r="L25" s="338">
        <f t="shared" si="10"/>
        <v>2210</v>
      </c>
      <c r="M25" s="75">
        <f t="shared" si="11"/>
        <v>16.8</v>
      </c>
      <c r="O25" s="338">
        <f t="shared" si="12"/>
        <v>9064.7999999999993</v>
      </c>
      <c r="P25" s="338">
        <f t="shared" si="13"/>
        <v>150824.79999999999</v>
      </c>
    </row>
    <row r="26" spans="1:16" x14ac:dyDescent="0.35">
      <c r="A26" s="77" t="s">
        <v>262</v>
      </c>
      <c r="B26" s="330">
        <v>1</v>
      </c>
      <c r="C26" s="79">
        <v>70000</v>
      </c>
      <c r="D26" s="79">
        <f t="shared" si="3"/>
        <v>95000</v>
      </c>
      <c r="E26" s="95">
        <f t="shared" si="4"/>
        <v>75000</v>
      </c>
      <c r="F26" s="80">
        <f t="shared" si="5"/>
        <v>75000</v>
      </c>
      <c r="H26" s="75">
        <f t="shared" si="6"/>
        <v>5880</v>
      </c>
      <c r="I26" s="338">
        <f t="shared" si="7"/>
        <v>1912.4999999999998</v>
      </c>
      <c r="J26" s="338">
        <f t="shared" si="8"/>
        <v>1087.5</v>
      </c>
      <c r="K26" s="338">
        <f t="shared" si="9"/>
        <v>945</v>
      </c>
      <c r="L26" s="338">
        <f t="shared" si="10"/>
        <v>1275</v>
      </c>
      <c r="M26" s="75">
        <f t="shared" si="11"/>
        <v>8.4</v>
      </c>
      <c r="O26" s="338">
        <f t="shared" si="12"/>
        <v>5228.3999999999996</v>
      </c>
      <c r="P26" s="338">
        <f t="shared" si="13"/>
        <v>86108.4</v>
      </c>
    </row>
    <row r="27" spans="1:16" x14ac:dyDescent="0.35">
      <c r="A27" s="77" t="s">
        <v>227</v>
      </c>
      <c r="B27" s="94">
        <v>7</v>
      </c>
      <c r="C27" s="79">
        <v>53000</v>
      </c>
      <c r="D27" s="79">
        <f t="shared" si="3"/>
        <v>78000</v>
      </c>
      <c r="E27" s="95">
        <f t="shared" si="4"/>
        <v>58000</v>
      </c>
      <c r="F27" s="96">
        <f t="shared" si="5"/>
        <v>406000</v>
      </c>
      <c r="H27" s="75">
        <f t="shared" si="6"/>
        <v>41160</v>
      </c>
      <c r="I27" s="338">
        <f t="shared" si="7"/>
        <v>10353</v>
      </c>
      <c r="J27" s="338">
        <f t="shared" si="8"/>
        <v>5887</v>
      </c>
      <c r="K27" s="338">
        <f t="shared" si="9"/>
        <v>5115.6000000000004</v>
      </c>
      <c r="L27" s="338">
        <f t="shared" si="10"/>
        <v>6902.0000000000009</v>
      </c>
      <c r="M27" s="75">
        <f t="shared" si="11"/>
        <v>58.800000000000004</v>
      </c>
      <c r="O27" s="338">
        <f t="shared" si="12"/>
        <v>28316.399999999998</v>
      </c>
      <c r="P27" s="338">
        <f t="shared" si="13"/>
        <v>475476.4</v>
      </c>
    </row>
    <row r="28" spans="1:16" x14ac:dyDescent="0.35">
      <c r="A28" s="77" t="s">
        <v>228</v>
      </c>
      <c r="B28" s="331">
        <v>5</v>
      </c>
      <c r="C28" s="79">
        <v>63000</v>
      </c>
      <c r="D28" s="79">
        <f t="shared" si="3"/>
        <v>88000</v>
      </c>
      <c r="E28" s="80">
        <v>64000</v>
      </c>
      <c r="F28" s="80">
        <f t="shared" si="5"/>
        <v>320000</v>
      </c>
      <c r="H28" s="75">
        <f t="shared" si="6"/>
        <v>29400</v>
      </c>
      <c r="I28" s="338">
        <f t="shared" si="7"/>
        <v>8159.9999999999991</v>
      </c>
      <c r="J28" s="338">
        <f t="shared" si="8"/>
        <v>4640</v>
      </c>
      <c r="K28" s="338">
        <f t="shared" si="9"/>
        <v>4032</v>
      </c>
      <c r="L28" s="338">
        <f t="shared" si="10"/>
        <v>5440</v>
      </c>
      <c r="M28" s="75">
        <f t="shared" si="11"/>
        <v>42</v>
      </c>
      <c r="O28" s="338">
        <f t="shared" si="12"/>
        <v>22314</v>
      </c>
      <c r="P28" s="338">
        <f t="shared" si="13"/>
        <v>371714</v>
      </c>
    </row>
    <row r="29" spans="1:16" ht="15.5" x14ac:dyDescent="0.35">
      <c r="B29" s="97">
        <f>SUM(B4:B28)</f>
        <v>45</v>
      </c>
      <c r="F29" s="86">
        <f>SUM(F4:F28)</f>
        <v>3029000</v>
      </c>
      <c r="H29" s="342">
        <f t="shared" ref="H29:P29" si="14">SUM(H3:H28)</f>
        <v>235200</v>
      </c>
      <c r="I29" s="342">
        <f t="shared" si="14"/>
        <v>69360.025499999989</v>
      </c>
      <c r="J29" s="342">
        <f t="shared" si="14"/>
        <v>39440.014500000005</v>
      </c>
      <c r="K29" s="342">
        <f t="shared" si="14"/>
        <v>34272.012600000002</v>
      </c>
      <c r="L29" s="342">
        <f t="shared" si="14"/>
        <v>46240.017</v>
      </c>
      <c r="M29" s="342">
        <f t="shared" si="14"/>
        <v>336.00000000000011</v>
      </c>
      <c r="N29" s="342">
        <f t="shared" si="14"/>
        <v>0</v>
      </c>
      <c r="O29" s="342">
        <f t="shared" si="14"/>
        <v>189639.59999999998</v>
      </c>
      <c r="P29" s="342">
        <f t="shared" si="14"/>
        <v>3138959.5999999996</v>
      </c>
    </row>
    <row r="31" spans="1:16" x14ac:dyDescent="0.35">
      <c r="A31" s="77" t="s">
        <v>229</v>
      </c>
      <c r="B31" s="94">
        <v>2</v>
      </c>
      <c r="C31" s="79">
        <v>70000</v>
      </c>
      <c r="D31" s="79">
        <f>C31+25000</f>
        <v>95000</v>
      </c>
      <c r="E31" s="80">
        <f>C31+5000</f>
        <v>75000</v>
      </c>
      <c r="F31" s="80">
        <f t="shared" ref="F31" si="15">B31*E31</f>
        <v>150000</v>
      </c>
      <c r="H31" s="75">
        <f t="shared" ref="H31:H32" si="16">+$H$3*B31</f>
        <v>11760</v>
      </c>
      <c r="J31" s="338">
        <f t="shared" ref="J31:J32" si="17">+$J$3*F31</f>
        <v>2175</v>
      </c>
      <c r="K31" s="338">
        <f t="shared" ref="K31:K32" si="18">+$K$3*F31</f>
        <v>1890</v>
      </c>
      <c r="L31" s="338">
        <f t="shared" ref="L31:L32" si="19">+$L$3*F31</f>
        <v>2550</v>
      </c>
      <c r="M31" s="75">
        <f t="shared" ref="M31:M32" si="20">+$M$3*B31</f>
        <v>16.8</v>
      </c>
      <c r="O31" s="338">
        <f t="shared" ref="O31:O32" si="21">SUM(I31:M31)</f>
        <v>6631.8</v>
      </c>
      <c r="P31" s="338">
        <f t="shared" ref="P31:P32" si="22">+F31+H31+O31</f>
        <v>168391.8</v>
      </c>
    </row>
    <row r="32" spans="1:16" x14ac:dyDescent="0.35">
      <c r="A32" s="77" t="s">
        <v>230</v>
      </c>
      <c r="B32" s="78">
        <v>1</v>
      </c>
      <c r="C32" s="79">
        <v>50000</v>
      </c>
      <c r="D32" s="79">
        <f>C32+25000</f>
        <v>75000</v>
      </c>
      <c r="E32" s="80">
        <f>C32+5000</f>
        <v>55000</v>
      </c>
      <c r="F32" s="80">
        <f>B32*E32</f>
        <v>55000</v>
      </c>
      <c r="H32" s="75">
        <f t="shared" si="16"/>
        <v>5880</v>
      </c>
      <c r="J32" s="338">
        <f t="shared" si="17"/>
        <v>797.5</v>
      </c>
      <c r="K32" s="338">
        <f t="shared" si="18"/>
        <v>693</v>
      </c>
      <c r="L32" s="338">
        <f t="shared" si="19"/>
        <v>935.00000000000011</v>
      </c>
      <c r="M32" s="75">
        <f t="shared" si="20"/>
        <v>8.4</v>
      </c>
      <c r="O32" s="338">
        <f t="shared" si="21"/>
        <v>2433.9</v>
      </c>
      <c r="P32" s="338">
        <f t="shared" si="22"/>
        <v>63313.9</v>
      </c>
    </row>
    <row r="33" spans="1:16" ht="15.5" x14ac:dyDescent="0.35">
      <c r="B33" s="97">
        <f>SUM(B31:B32)</f>
        <v>3</v>
      </c>
      <c r="F33" s="86">
        <f>SUM(F31:F32)</f>
        <v>205000</v>
      </c>
      <c r="H33" s="75">
        <f>SUM(H31:H32)</f>
        <v>17640</v>
      </c>
      <c r="I33" s="75">
        <f t="shared" ref="I33:P33" si="23">SUM(I31:I32)</f>
        <v>0</v>
      </c>
      <c r="J33" s="75">
        <f t="shared" si="23"/>
        <v>2972.5</v>
      </c>
      <c r="K33" s="75">
        <f t="shared" si="23"/>
        <v>2583</v>
      </c>
      <c r="L33" s="75">
        <f t="shared" si="23"/>
        <v>3485</v>
      </c>
      <c r="M33" s="75">
        <f t="shared" si="23"/>
        <v>25.200000000000003</v>
      </c>
      <c r="N33" s="75">
        <f t="shared" si="23"/>
        <v>0</v>
      </c>
      <c r="O33" s="75">
        <f t="shared" si="23"/>
        <v>9065.7000000000007</v>
      </c>
      <c r="P33" s="75">
        <f t="shared" si="23"/>
        <v>231705.69999999998</v>
      </c>
    </row>
    <row r="35" spans="1:16" x14ac:dyDescent="0.35">
      <c r="A35" s="77" t="s">
        <v>231</v>
      </c>
      <c r="B35" s="98">
        <v>1</v>
      </c>
      <c r="E35" s="80">
        <v>130000</v>
      </c>
      <c r="F35" s="80">
        <f>B35*E35</f>
        <v>130000</v>
      </c>
      <c r="H35" s="75">
        <f t="shared" ref="H35:H42" si="24">+$H$3*B35</f>
        <v>5880</v>
      </c>
      <c r="J35" s="338">
        <f t="shared" ref="J35:J42" si="25">+$J$3*F35</f>
        <v>1885</v>
      </c>
      <c r="K35" s="338">
        <f t="shared" ref="K35:K42" si="26">+$K$3*F35</f>
        <v>1638</v>
      </c>
      <c r="L35" s="338">
        <f t="shared" ref="L35:L42" si="27">+$L$3*F35</f>
        <v>2210</v>
      </c>
      <c r="M35" s="75">
        <f t="shared" ref="M35:M42" si="28">+$M$3*B35</f>
        <v>8.4</v>
      </c>
      <c r="O35" s="338">
        <f t="shared" ref="O35:O42" si="29">SUM(I35:M35)</f>
        <v>5741.4</v>
      </c>
      <c r="P35" s="338">
        <f t="shared" ref="P35:P42" si="30">+F35+H35+O35</f>
        <v>141621.4</v>
      </c>
    </row>
    <row r="36" spans="1:16" x14ac:dyDescent="0.35">
      <c r="A36" s="77" t="s">
        <v>232</v>
      </c>
      <c r="B36" s="98">
        <v>3</v>
      </c>
      <c r="E36" s="80">
        <v>85000</v>
      </c>
      <c r="F36" s="80">
        <f t="shared" ref="F36:F39" si="31">B36*E36</f>
        <v>255000</v>
      </c>
      <c r="H36" s="75">
        <f t="shared" si="24"/>
        <v>17640</v>
      </c>
      <c r="J36" s="338">
        <f t="shared" si="25"/>
        <v>3697.5</v>
      </c>
      <c r="K36" s="338">
        <f t="shared" si="26"/>
        <v>3213</v>
      </c>
      <c r="L36" s="338">
        <f t="shared" si="27"/>
        <v>4335</v>
      </c>
      <c r="M36" s="75">
        <f t="shared" si="28"/>
        <v>25.200000000000003</v>
      </c>
      <c r="O36" s="338">
        <f t="shared" si="29"/>
        <v>11270.7</v>
      </c>
      <c r="P36" s="338">
        <f t="shared" si="30"/>
        <v>283910.7</v>
      </c>
    </row>
    <row r="37" spans="1:16" x14ac:dyDescent="0.35">
      <c r="A37" s="77" t="s">
        <v>235</v>
      </c>
      <c r="B37" s="98">
        <v>0</v>
      </c>
      <c r="E37" s="80">
        <v>80000</v>
      </c>
      <c r="F37" s="80">
        <v>0</v>
      </c>
      <c r="H37" s="75">
        <f t="shared" si="24"/>
        <v>0</v>
      </c>
      <c r="J37" s="338">
        <f t="shared" si="25"/>
        <v>0</v>
      </c>
      <c r="K37" s="338">
        <f t="shared" si="26"/>
        <v>0</v>
      </c>
      <c r="L37" s="338">
        <f t="shared" si="27"/>
        <v>0</v>
      </c>
      <c r="M37" s="75">
        <f t="shared" si="28"/>
        <v>0</v>
      </c>
      <c r="O37" s="338">
        <f t="shared" si="29"/>
        <v>0</v>
      </c>
      <c r="P37" s="338">
        <f t="shared" si="30"/>
        <v>0</v>
      </c>
    </row>
    <row r="38" spans="1:16" x14ac:dyDescent="0.35">
      <c r="A38" s="77" t="s">
        <v>236</v>
      </c>
      <c r="B38" s="98">
        <v>1</v>
      </c>
      <c r="E38" s="80">
        <v>55000</v>
      </c>
      <c r="F38" s="80">
        <f t="shared" si="31"/>
        <v>55000</v>
      </c>
      <c r="H38" s="75">
        <f t="shared" si="24"/>
        <v>5880</v>
      </c>
      <c r="J38" s="338">
        <f t="shared" si="25"/>
        <v>797.5</v>
      </c>
      <c r="K38" s="338">
        <f t="shared" si="26"/>
        <v>693</v>
      </c>
      <c r="L38" s="338">
        <f t="shared" si="27"/>
        <v>935.00000000000011</v>
      </c>
      <c r="M38" s="75">
        <f t="shared" si="28"/>
        <v>8.4</v>
      </c>
      <c r="O38" s="338">
        <f t="shared" si="29"/>
        <v>2433.9</v>
      </c>
      <c r="P38" s="338">
        <f t="shared" si="30"/>
        <v>63313.9</v>
      </c>
    </row>
    <row r="39" spans="1:16" x14ac:dyDescent="0.35">
      <c r="A39" s="77" t="s">
        <v>237</v>
      </c>
      <c r="B39" s="98">
        <v>2</v>
      </c>
      <c r="E39" s="80">
        <v>35000</v>
      </c>
      <c r="F39" s="80">
        <f t="shared" si="31"/>
        <v>70000</v>
      </c>
      <c r="H39" s="75">
        <f t="shared" si="24"/>
        <v>11760</v>
      </c>
      <c r="J39" s="338">
        <f t="shared" si="25"/>
        <v>1015</v>
      </c>
      <c r="K39" s="338">
        <f t="shared" si="26"/>
        <v>882</v>
      </c>
      <c r="L39" s="338">
        <f t="shared" si="27"/>
        <v>1190</v>
      </c>
      <c r="M39" s="75">
        <f t="shared" si="28"/>
        <v>16.8</v>
      </c>
      <c r="O39" s="338">
        <f t="shared" si="29"/>
        <v>3103.8</v>
      </c>
      <c r="P39" s="338">
        <f t="shared" si="30"/>
        <v>84863.8</v>
      </c>
    </row>
    <row r="40" spans="1:16" x14ac:dyDescent="0.35">
      <c r="A40" s="77" t="s">
        <v>263</v>
      </c>
      <c r="B40" s="98">
        <v>0.5</v>
      </c>
      <c r="E40" s="80">
        <v>35000</v>
      </c>
      <c r="F40" s="80">
        <v>35000</v>
      </c>
      <c r="H40" s="75">
        <f t="shared" si="24"/>
        <v>2940</v>
      </c>
      <c r="J40" s="338">
        <f t="shared" si="25"/>
        <v>507.5</v>
      </c>
      <c r="K40" s="338">
        <f t="shared" si="26"/>
        <v>441</v>
      </c>
      <c r="L40" s="338">
        <f t="shared" si="27"/>
        <v>595</v>
      </c>
      <c r="M40" s="75">
        <f t="shared" si="28"/>
        <v>4.2</v>
      </c>
      <c r="O40" s="338">
        <f t="shared" si="29"/>
        <v>1547.7</v>
      </c>
      <c r="P40" s="338">
        <f t="shared" si="30"/>
        <v>39487.699999999997</v>
      </c>
    </row>
    <row r="41" spans="1:16" x14ac:dyDescent="0.35">
      <c r="A41" s="77" t="s">
        <v>264</v>
      </c>
      <c r="B41" s="98">
        <v>0.5</v>
      </c>
      <c r="E41" s="80">
        <v>35000</v>
      </c>
      <c r="F41" s="80">
        <v>35000</v>
      </c>
      <c r="H41" s="75">
        <f t="shared" si="24"/>
        <v>2940</v>
      </c>
      <c r="J41" s="338">
        <f t="shared" si="25"/>
        <v>507.5</v>
      </c>
      <c r="K41" s="338">
        <f t="shared" si="26"/>
        <v>441</v>
      </c>
      <c r="L41" s="338">
        <f t="shared" si="27"/>
        <v>595</v>
      </c>
      <c r="M41" s="75">
        <f t="shared" si="28"/>
        <v>4.2</v>
      </c>
      <c r="O41" s="338">
        <f t="shared" si="29"/>
        <v>1547.7</v>
      </c>
      <c r="P41" s="338">
        <f t="shared" si="30"/>
        <v>39487.699999999997</v>
      </c>
    </row>
    <row r="42" spans="1:16" x14ac:dyDescent="0.35">
      <c r="A42" s="77" t="s">
        <v>238</v>
      </c>
      <c r="B42" s="98">
        <v>1</v>
      </c>
      <c r="E42" s="80">
        <v>35000</v>
      </c>
      <c r="F42" s="80">
        <v>35000</v>
      </c>
      <c r="H42" s="75">
        <f t="shared" si="24"/>
        <v>5880</v>
      </c>
      <c r="J42" s="338">
        <f t="shared" si="25"/>
        <v>507.5</v>
      </c>
      <c r="K42" s="338">
        <f t="shared" si="26"/>
        <v>441</v>
      </c>
      <c r="L42" s="338">
        <f t="shared" si="27"/>
        <v>595</v>
      </c>
      <c r="M42" s="75">
        <f t="shared" si="28"/>
        <v>8.4</v>
      </c>
      <c r="O42" s="338">
        <f t="shared" si="29"/>
        <v>1551.9</v>
      </c>
      <c r="P42" s="338">
        <f t="shared" si="30"/>
        <v>42431.9</v>
      </c>
    </row>
    <row r="43" spans="1:16" ht="15.5" x14ac:dyDescent="0.35">
      <c r="B43" s="97">
        <f>SUM(B35:B42)</f>
        <v>9</v>
      </c>
      <c r="F43" s="86">
        <f>SUM(F35:F42)</f>
        <v>615000</v>
      </c>
      <c r="H43" s="75">
        <f>SUM(H35:H42)</f>
        <v>52920</v>
      </c>
      <c r="I43" s="75">
        <f t="shared" ref="I43:P43" si="32">SUM(I35:I42)</f>
        <v>0</v>
      </c>
      <c r="J43" s="75">
        <f t="shared" si="32"/>
        <v>8917.5</v>
      </c>
      <c r="K43" s="75">
        <f t="shared" si="32"/>
        <v>7749</v>
      </c>
      <c r="L43" s="75">
        <f t="shared" si="32"/>
        <v>10455</v>
      </c>
      <c r="M43" s="75">
        <f t="shared" si="32"/>
        <v>75.600000000000009</v>
      </c>
      <c r="N43" s="75">
        <f t="shared" si="32"/>
        <v>0</v>
      </c>
      <c r="O43" s="75">
        <f t="shared" si="32"/>
        <v>27197.100000000002</v>
      </c>
      <c r="P43" s="75">
        <f t="shared" si="32"/>
        <v>695117.1</v>
      </c>
    </row>
    <row r="44" spans="1:16" x14ac:dyDescent="0.35">
      <c r="F44" s="99"/>
    </row>
    <row r="45" spans="1:16" ht="15.5" x14ac:dyDescent="0.35">
      <c r="B45" s="100">
        <f>B29+B33+B43</f>
        <v>57</v>
      </c>
      <c r="F45" s="92">
        <f>F29+F33+F43</f>
        <v>3849000</v>
      </c>
    </row>
    <row r="46" spans="1:16" x14ac:dyDescent="0.35">
      <c r="F46" s="99"/>
    </row>
    <row r="47" spans="1:16" x14ac:dyDescent="0.35">
      <c r="F47" s="99"/>
    </row>
    <row r="49" spans="6:6" ht="15.5" x14ac:dyDescent="0.35">
      <c r="F49" s="101"/>
    </row>
  </sheetData>
  <mergeCells count="7">
    <mergeCell ref="G2:G3"/>
    <mergeCell ref="A1:F1"/>
    <mergeCell ref="A2:A3"/>
    <mergeCell ref="B2:B3"/>
    <mergeCell ref="C2:D2"/>
    <mergeCell ref="E2:E3"/>
    <mergeCell ref="F2:F3"/>
  </mergeCells>
  <pageMargins left="0.7" right="0.7" top="0.75" bottom="0.75" header="0.3" footer="0.3"/>
  <pageSetup scale="8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902B-14F4-43A3-BDAF-D2DAF012D023}">
  <dimension ref="A1:P60"/>
  <sheetViews>
    <sheetView topLeftCell="A36" zoomScaleNormal="100" workbookViewId="0">
      <selection activeCell="J37" sqref="J37"/>
    </sheetView>
  </sheetViews>
  <sheetFormatPr defaultColWidth="9" defaultRowHeight="14.5" x14ac:dyDescent="0.35"/>
  <cols>
    <col min="1" max="1" width="27.1796875" style="154" customWidth="1"/>
    <col min="2" max="2" width="7" style="154" customWidth="1"/>
    <col min="3" max="5" width="16.54296875" style="154" customWidth="1"/>
    <col min="6" max="6" width="16" style="154" customWidth="1"/>
    <col min="7" max="7" width="11.1796875" style="154" customWidth="1"/>
    <col min="8" max="8" width="15.81640625" style="154" customWidth="1"/>
    <col min="9" max="14" width="9" style="154"/>
    <col min="15" max="15" width="13.453125" style="154" bestFit="1" customWidth="1"/>
    <col min="16" max="16" width="15.1796875" style="154" bestFit="1" customWidth="1"/>
    <col min="17" max="16384" width="9" style="154"/>
  </cols>
  <sheetData>
    <row r="1" spans="1:16" ht="29.25" customHeight="1" x14ac:dyDescent="0.35">
      <c r="A1" s="410" t="s">
        <v>265</v>
      </c>
      <c r="B1" s="410"/>
      <c r="C1" s="410"/>
      <c r="D1" s="410"/>
      <c r="E1" s="410"/>
      <c r="F1" s="410"/>
    </row>
    <row r="2" spans="1:16" ht="25.9" customHeight="1" x14ac:dyDescent="0.35">
      <c r="A2" s="411" t="s">
        <v>266</v>
      </c>
      <c r="B2" s="411"/>
      <c r="C2" s="411"/>
      <c r="D2" s="411"/>
      <c r="E2" s="411"/>
      <c r="F2" s="411"/>
    </row>
    <row r="3" spans="1:16" ht="25.9" customHeight="1" x14ac:dyDescent="0.35">
      <c r="A3" s="412" t="s">
        <v>202</v>
      </c>
      <c r="B3" s="413" t="s">
        <v>240</v>
      </c>
      <c r="C3" s="415" t="s">
        <v>204</v>
      </c>
      <c r="D3" s="415"/>
      <c r="E3" s="416" t="s">
        <v>241</v>
      </c>
      <c r="F3" s="418" t="s">
        <v>206</v>
      </c>
      <c r="G3" s="386" t="s">
        <v>267</v>
      </c>
      <c r="H3" s="341" t="s">
        <v>310</v>
      </c>
      <c r="I3" s="346" t="s">
        <v>320</v>
      </c>
      <c r="J3" s="333" t="s">
        <v>312</v>
      </c>
      <c r="K3" s="333" t="s">
        <v>313</v>
      </c>
      <c r="L3" s="333" t="s">
        <v>314</v>
      </c>
      <c r="M3" s="333" t="s">
        <v>315</v>
      </c>
      <c r="N3" s="333" t="s">
        <v>316</v>
      </c>
      <c r="O3" s="333" t="s">
        <v>317</v>
      </c>
      <c r="P3" s="334" t="s">
        <v>318</v>
      </c>
    </row>
    <row r="4" spans="1:16" ht="24" customHeight="1" x14ac:dyDescent="0.35">
      <c r="A4" s="412"/>
      <c r="B4" s="414"/>
      <c r="C4" s="313" t="s">
        <v>207</v>
      </c>
      <c r="D4" s="313" t="s">
        <v>208</v>
      </c>
      <c r="E4" s="417"/>
      <c r="F4" s="418"/>
      <c r="G4" s="386"/>
      <c r="H4" s="335">
        <f>(0.9*7200)-(50*12)</f>
        <v>5880</v>
      </c>
      <c r="I4" s="336">
        <f>5000*0.4</f>
        <v>2000</v>
      </c>
      <c r="J4" s="336">
        <v>1.4500000000000001E-2</v>
      </c>
      <c r="K4" s="336">
        <v>1.26E-2</v>
      </c>
      <c r="L4" s="336">
        <v>1.7000000000000001E-2</v>
      </c>
      <c r="M4" s="336">
        <v>8.4</v>
      </c>
      <c r="N4" s="336"/>
      <c r="O4" s="336"/>
      <c r="P4" s="337" t="s">
        <v>319</v>
      </c>
    </row>
    <row r="5" spans="1:16" x14ac:dyDescent="0.35">
      <c r="A5" s="77" t="s">
        <v>268</v>
      </c>
      <c r="B5" s="94">
        <v>1</v>
      </c>
      <c r="C5" s="79">
        <v>53000</v>
      </c>
      <c r="D5" s="79">
        <f t="shared" ref="D5:D6" si="0">C5+25000</f>
        <v>78000</v>
      </c>
      <c r="E5" s="95">
        <f t="shared" ref="E5:E6" si="1">C5+5000</f>
        <v>58000</v>
      </c>
      <c r="F5" s="87">
        <f>B5*E5</f>
        <v>58000</v>
      </c>
      <c r="G5" s="319"/>
      <c r="H5" s="154">
        <f>+$H$4*B5</f>
        <v>5880</v>
      </c>
      <c r="I5" s="154">
        <f>+B5*$I$4</f>
        <v>2000</v>
      </c>
      <c r="J5" s="154">
        <f>+F5*$J$4</f>
        <v>841</v>
      </c>
      <c r="K5" s="225">
        <f>+$K$4*F5</f>
        <v>730.8</v>
      </c>
      <c r="L5" s="344">
        <f>+$L$4*F5</f>
        <v>986.00000000000011</v>
      </c>
      <c r="M5" s="154">
        <f>+$M$4*B5</f>
        <v>8.4</v>
      </c>
      <c r="O5" s="154">
        <f>SUM(J5:M5)</f>
        <v>2566.2000000000003</v>
      </c>
      <c r="P5" s="344">
        <f>+F5+H5+O5</f>
        <v>66446.2</v>
      </c>
    </row>
    <row r="6" spans="1:16" x14ac:dyDescent="0.35">
      <c r="A6" s="77" t="s">
        <v>269</v>
      </c>
      <c r="B6" s="94">
        <v>1</v>
      </c>
      <c r="C6" s="79">
        <v>38000</v>
      </c>
      <c r="D6" s="79">
        <f t="shared" si="0"/>
        <v>63000</v>
      </c>
      <c r="E6" s="95">
        <f t="shared" si="1"/>
        <v>43000</v>
      </c>
      <c r="F6" s="87">
        <f t="shared" ref="F6" si="2">B6*E6</f>
        <v>43000</v>
      </c>
      <c r="G6" s="319"/>
      <c r="H6" s="154">
        <f t="shared" ref="H6:H40" si="3">+$H$4*B6</f>
        <v>5880</v>
      </c>
      <c r="I6" s="154">
        <f t="shared" ref="I6:I40" si="4">+B6*$I$4</f>
        <v>2000</v>
      </c>
      <c r="J6" s="154">
        <f t="shared" ref="J6:J40" si="5">+F6*$J$4</f>
        <v>623.5</v>
      </c>
      <c r="K6" s="225">
        <f t="shared" ref="K6:K40" si="6">+$K$4*F6</f>
        <v>541.79999999999995</v>
      </c>
      <c r="L6" s="344">
        <f t="shared" ref="L6:L40" si="7">+$L$4*F6</f>
        <v>731</v>
      </c>
      <c r="M6" s="154">
        <f t="shared" ref="M6:M40" si="8">+$M$4*B6</f>
        <v>8.4</v>
      </c>
      <c r="O6" s="154">
        <f t="shared" ref="O6:O40" si="9">SUM(J6:M6)</f>
        <v>1904.7</v>
      </c>
      <c r="P6" s="344">
        <f t="shared" ref="P6:P40" si="10">+F6+H6+O6</f>
        <v>50784.7</v>
      </c>
    </row>
    <row r="7" spans="1:16" x14ac:dyDescent="0.35">
      <c r="A7" s="314" t="s">
        <v>242</v>
      </c>
      <c r="B7" s="315">
        <v>2</v>
      </c>
      <c r="C7" s="316">
        <v>66000</v>
      </c>
      <c r="D7" s="316">
        <f>C7+25000</f>
        <v>91000</v>
      </c>
      <c r="E7" s="317">
        <f>C7+5000</f>
        <v>71000</v>
      </c>
      <c r="F7" s="318">
        <f>B7*E7</f>
        <v>142000</v>
      </c>
      <c r="G7" s="319"/>
      <c r="H7" s="154">
        <f t="shared" si="3"/>
        <v>11760</v>
      </c>
      <c r="I7" s="154">
        <f t="shared" si="4"/>
        <v>4000</v>
      </c>
      <c r="J7" s="154">
        <f t="shared" si="5"/>
        <v>2059</v>
      </c>
      <c r="K7" s="225">
        <f t="shared" si="6"/>
        <v>1789.2</v>
      </c>
      <c r="L7" s="344">
        <f t="shared" si="7"/>
        <v>2414</v>
      </c>
      <c r="M7" s="154">
        <f t="shared" si="8"/>
        <v>16.8</v>
      </c>
      <c r="O7" s="154">
        <f t="shared" si="9"/>
        <v>6279</v>
      </c>
      <c r="P7" s="344">
        <f t="shared" si="10"/>
        <v>160039</v>
      </c>
    </row>
    <row r="8" spans="1:16" x14ac:dyDescent="0.35">
      <c r="A8" s="314" t="s">
        <v>243</v>
      </c>
      <c r="B8" s="315">
        <v>2</v>
      </c>
      <c r="C8" s="316">
        <v>66000</v>
      </c>
      <c r="D8" s="316">
        <f>C8+25000</f>
        <v>91000</v>
      </c>
      <c r="E8" s="317">
        <f t="shared" ref="E8:E40" si="11">C8+5000</f>
        <v>71000</v>
      </c>
      <c r="F8" s="318">
        <f t="shared" ref="F8:F40" si="12">B8*E8</f>
        <v>142000</v>
      </c>
      <c r="G8" s="319"/>
      <c r="H8" s="154">
        <f t="shared" si="3"/>
        <v>11760</v>
      </c>
      <c r="I8" s="154">
        <f t="shared" si="4"/>
        <v>4000</v>
      </c>
      <c r="J8" s="154">
        <f t="shared" si="5"/>
        <v>2059</v>
      </c>
      <c r="K8" s="225">
        <f t="shared" si="6"/>
        <v>1789.2</v>
      </c>
      <c r="L8" s="344">
        <f t="shared" si="7"/>
        <v>2414</v>
      </c>
      <c r="M8" s="154">
        <f t="shared" si="8"/>
        <v>16.8</v>
      </c>
      <c r="O8" s="154">
        <f t="shared" si="9"/>
        <v>6279</v>
      </c>
      <c r="P8" s="344">
        <f t="shared" si="10"/>
        <v>160039</v>
      </c>
    </row>
    <row r="9" spans="1:16" x14ac:dyDescent="0.35">
      <c r="A9" s="314" t="s">
        <v>270</v>
      </c>
      <c r="B9" s="315">
        <v>1</v>
      </c>
      <c r="C9" s="316">
        <v>73000</v>
      </c>
      <c r="D9" s="316">
        <f t="shared" ref="D9:D40" si="13">C9+25000</f>
        <v>98000</v>
      </c>
      <c r="E9" s="317">
        <f t="shared" si="11"/>
        <v>78000</v>
      </c>
      <c r="F9" s="318">
        <f t="shared" si="12"/>
        <v>78000</v>
      </c>
      <c r="G9" s="319"/>
      <c r="H9" s="154">
        <f t="shared" si="3"/>
        <v>5880</v>
      </c>
      <c r="I9" s="154">
        <f t="shared" si="4"/>
        <v>2000</v>
      </c>
      <c r="J9" s="154">
        <f t="shared" si="5"/>
        <v>1131</v>
      </c>
      <c r="K9" s="225">
        <f t="shared" si="6"/>
        <v>982.8</v>
      </c>
      <c r="L9" s="344">
        <f t="shared" si="7"/>
        <v>1326</v>
      </c>
      <c r="M9" s="154">
        <f t="shared" si="8"/>
        <v>8.4</v>
      </c>
      <c r="O9" s="154">
        <f t="shared" si="9"/>
        <v>3448.2000000000003</v>
      </c>
      <c r="P9" s="344">
        <f t="shared" si="10"/>
        <v>87328.2</v>
      </c>
    </row>
    <row r="10" spans="1:16" x14ac:dyDescent="0.35">
      <c r="A10" s="314" t="s">
        <v>245</v>
      </c>
      <c r="B10" s="315">
        <v>1</v>
      </c>
      <c r="C10" s="316">
        <v>73000</v>
      </c>
      <c r="D10" s="316">
        <f t="shared" si="13"/>
        <v>98000</v>
      </c>
      <c r="E10" s="317">
        <f t="shared" si="11"/>
        <v>78000</v>
      </c>
      <c r="F10" s="318">
        <v>0</v>
      </c>
      <c r="G10" s="320">
        <v>78000</v>
      </c>
      <c r="H10" s="154">
        <f>+H4*B10</f>
        <v>5880</v>
      </c>
      <c r="I10" s="154">
        <f t="shared" si="4"/>
        <v>2000</v>
      </c>
      <c r="J10" s="154">
        <f>+E10*J4</f>
        <v>1131</v>
      </c>
      <c r="K10" s="225">
        <f>+K4*E10</f>
        <v>982.8</v>
      </c>
      <c r="L10" s="344">
        <f>+L4*E10</f>
        <v>1326</v>
      </c>
      <c r="M10" s="154">
        <f t="shared" si="8"/>
        <v>8.4</v>
      </c>
      <c r="O10" s="154">
        <f t="shared" si="9"/>
        <v>3448.2000000000003</v>
      </c>
      <c r="P10" s="344">
        <f t="shared" si="10"/>
        <v>9328.2000000000007</v>
      </c>
    </row>
    <row r="11" spans="1:16" x14ac:dyDescent="0.35">
      <c r="A11" s="314" t="s">
        <v>246</v>
      </c>
      <c r="B11" s="315">
        <v>1</v>
      </c>
      <c r="C11" s="316">
        <v>68000</v>
      </c>
      <c r="D11" s="316">
        <f t="shared" si="13"/>
        <v>93000</v>
      </c>
      <c r="E11" s="317">
        <f t="shared" si="11"/>
        <v>73000</v>
      </c>
      <c r="F11" s="318">
        <f t="shared" si="12"/>
        <v>73000</v>
      </c>
      <c r="G11" s="319"/>
      <c r="H11" s="154">
        <f t="shared" si="3"/>
        <v>5880</v>
      </c>
      <c r="I11" s="154">
        <f t="shared" si="4"/>
        <v>2000</v>
      </c>
      <c r="J11" s="154">
        <f t="shared" si="5"/>
        <v>1058.5</v>
      </c>
      <c r="K11" s="225">
        <f t="shared" si="6"/>
        <v>919.8</v>
      </c>
      <c r="L11" s="344">
        <f t="shared" si="7"/>
        <v>1241</v>
      </c>
      <c r="M11" s="154">
        <f t="shared" si="8"/>
        <v>8.4</v>
      </c>
      <c r="O11" s="154">
        <f t="shared" si="9"/>
        <v>3227.7000000000003</v>
      </c>
      <c r="P11" s="344">
        <f t="shared" si="10"/>
        <v>82107.7</v>
      </c>
    </row>
    <row r="12" spans="1:16" x14ac:dyDescent="0.35">
      <c r="A12" s="314" t="s">
        <v>247</v>
      </c>
      <c r="B12" s="315">
        <v>1</v>
      </c>
      <c r="C12" s="316">
        <v>68000</v>
      </c>
      <c r="D12" s="316">
        <f t="shared" si="13"/>
        <v>93000</v>
      </c>
      <c r="E12" s="317">
        <f t="shared" si="11"/>
        <v>73000</v>
      </c>
      <c r="F12" s="318">
        <f t="shared" si="12"/>
        <v>73000</v>
      </c>
      <c r="G12" s="319"/>
      <c r="H12" s="154">
        <f t="shared" si="3"/>
        <v>5880</v>
      </c>
      <c r="I12" s="154">
        <f t="shared" si="4"/>
        <v>2000</v>
      </c>
      <c r="J12" s="154">
        <f t="shared" si="5"/>
        <v>1058.5</v>
      </c>
      <c r="K12" s="225">
        <f t="shared" si="6"/>
        <v>919.8</v>
      </c>
      <c r="L12" s="344">
        <f t="shared" si="7"/>
        <v>1241</v>
      </c>
      <c r="M12" s="154">
        <f t="shared" si="8"/>
        <v>8.4</v>
      </c>
      <c r="O12" s="154">
        <f t="shared" si="9"/>
        <v>3227.7000000000003</v>
      </c>
      <c r="P12" s="344">
        <f t="shared" si="10"/>
        <v>82107.7</v>
      </c>
    </row>
    <row r="13" spans="1:16" x14ac:dyDescent="0.35">
      <c r="A13" s="314" t="s">
        <v>271</v>
      </c>
      <c r="B13" s="315">
        <v>1</v>
      </c>
      <c r="C13" s="316">
        <v>83000</v>
      </c>
      <c r="D13" s="316">
        <f t="shared" si="13"/>
        <v>108000</v>
      </c>
      <c r="E13" s="317">
        <f t="shared" si="11"/>
        <v>88000</v>
      </c>
      <c r="F13" s="318">
        <f t="shared" si="12"/>
        <v>88000</v>
      </c>
      <c r="G13" s="319"/>
      <c r="H13" s="154">
        <f t="shared" si="3"/>
        <v>5880</v>
      </c>
      <c r="I13" s="154">
        <f t="shared" si="4"/>
        <v>2000</v>
      </c>
      <c r="J13" s="154">
        <f t="shared" si="5"/>
        <v>1276</v>
      </c>
      <c r="K13" s="225">
        <f t="shared" si="6"/>
        <v>1108.8</v>
      </c>
      <c r="L13" s="344">
        <f t="shared" si="7"/>
        <v>1496</v>
      </c>
      <c r="M13" s="154">
        <f t="shared" si="8"/>
        <v>8.4</v>
      </c>
      <c r="O13" s="154">
        <f t="shared" si="9"/>
        <v>3889.2000000000003</v>
      </c>
      <c r="P13" s="344">
        <f t="shared" si="10"/>
        <v>97769.2</v>
      </c>
    </row>
    <row r="14" spans="1:16" x14ac:dyDescent="0.35">
      <c r="A14" s="314" t="s">
        <v>249</v>
      </c>
      <c r="B14" s="315">
        <v>1</v>
      </c>
      <c r="C14" s="316">
        <v>83000</v>
      </c>
      <c r="D14" s="316">
        <f t="shared" si="13"/>
        <v>108000</v>
      </c>
      <c r="E14" s="317">
        <f t="shared" si="11"/>
        <v>88000</v>
      </c>
      <c r="F14" s="328">
        <v>88000</v>
      </c>
      <c r="G14" s="318">
        <v>0</v>
      </c>
      <c r="H14" s="154">
        <f t="shared" si="3"/>
        <v>5880</v>
      </c>
      <c r="I14" s="154">
        <f t="shared" si="4"/>
        <v>2000</v>
      </c>
      <c r="J14" s="154">
        <f t="shared" si="5"/>
        <v>1276</v>
      </c>
      <c r="K14" s="225">
        <f t="shared" si="6"/>
        <v>1108.8</v>
      </c>
      <c r="L14" s="344">
        <f t="shared" si="7"/>
        <v>1496</v>
      </c>
      <c r="M14" s="154">
        <f t="shared" si="8"/>
        <v>8.4</v>
      </c>
      <c r="O14" s="154">
        <f t="shared" si="9"/>
        <v>3889.2000000000003</v>
      </c>
      <c r="P14" s="344">
        <f t="shared" si="10"/>
        <v>97769.2</v>
      </c>
    </row>
    <row r="15" spans="1:16" x14ac:dyDescent="0.35">
      <c r="A15" s="314" t="s">
        <v>250</v>
      </c>
      <c r="B15" s="315">
        <v>1</v>
      </c>
      <c r="C15" s="316">
        <v>75000</v>
      </c>
      <c r="D15" s="316">
        <f t="shared" si="13"/>
        <v>100000</v>
      </c>
      <c r="E15" s="317">
        <f t="shared" si="11"/>
        <v>80000</v>
      </c>
      <c r="F15" s="318">
        <f t="shared" si="12"/>
        <v>80000</v>
      </c>
      <c r="G15" s="319"/>
      <c r="H15" s="154">
        <f t="shared" si="3"/>
        <v>5880</v>
      </c>
      <c r="I15" s="154">
        <f t="shared" si="4"/>
        <v>2000</v>
      </c>
      <c r="J15" s="154">
        <f t="shared" si="5"/>
        <v>1160</v>
      </c>
      <c r="K15" s="225">
        <f t="shared" si="6"/>
        <v>1008</v>
      </c>
      <c r="L15" s="344">
        <f t="shared" si="7"/>
        <v>1360</v>
      </c>
      <c r="M15" s="154">
        <f t="shared" si="8"/>
        <v>8.4</v>
      </c>
      <c r="O15" s="154">
        <f t="shared" si="9"/>
        <v>3536.4</v>
      </c>
      <c r="P15" s="344">
        <f t="shared" si="10"/>
        <v>89416.4</v>
      </c>
    </row>
    <row r="16" spans="1:16" x14ac:dyDescent="0.35">
      <c r="A16" s="314" t="s">
        <v>272</v>
      </c>
      <c r="B16" s="315">
        <v>1</v>
      </c>
      <c r="C16" s="316">
        <v>75000</v>
      </c>
      <c r="D16" s="316">
        <f t="shared" si="13"/>
        <v>100000</v>
      </c>
      <c r="E16" s="317">
        <f t="shared" si="11"/>
        <v>80000</v>
      </c>
      <c r="F16" s="318">
        <f t="shared" si="12"/>
        <v>80000</v>
      </c>
      <c r="G16" s="319"/>
      <c r="H16" s="154">
        <f t="shared" si="3"/>
        <v>5880</v>
      </c>
      <c r="I16" s="154">
        <f t="shared" si="4"/>
        <v>2000</v>
      </c>
      <c r="J16" s="154">
        <f t="shared" si="5"/>
        <v>1160</v>
      </c>
      <c r="K16" s="225">
        <f t="shared" si="6"/>
        <v>1008</v>
      </c>
      <c r="L16" s="344">
        <f t="shared" si="7"/>
        <v>1360</v>
      </c>
      <c r="M16" s="154">
        <f t="shared" si="8"/>
        <v>8.4</v>
      </c>
      <c r="O16" s="154">
        <f t="shared" si="9"/>
        <v>3536.4</v>
      </c>
      <c r="P16" s="344">
        <f t="shared" si="10"/>
        <v>89416.4</v>
      </c>
    </row>
    <row r="17" spans="1:16" ht="22.5" customHeight="1" x14ac:dyDescent="0.35">
      <c r="A17" s="321" t="s">
        <v>273</v>
      </c>
      <c r="B17" s="322">
        <v>1</v>
      </c>
      <c r="C17" s="316">
        <v>83000</v>
      </c>
      <c r="D17" s="316">
        <f>C17+25000</f>
        <v>108000</v>
      </c>
      <c r="E17" s="317">
        <f>C17+5000</f>
        <v>88000</v>
      </c>
      <c r="F17" s="318">
        <f>B17*E17</f>
        <v>88000</v>
      </c>
      <c r="G17" s="319"/>
      <c r="H17" s="154">
        <f t="shared" ref="H17" si="14">+$H$4*B17</f>
        <v>5880</v>
      </c>
      <c r="I17" s="154">
        <f t="shared" ref="I17" si="15">+B17*$I$4</f>
        <v>2000</v>
      </c>
      <c r="J17" s="154">
        <f t="shared" ref="J17" si="16">+F17*$J$4</f>
        <v>1276</v>
      </c>
      <c r="K17" s="225">
        <f t="shared" ref="K17" si="17">+$K$4*F17</f>
        <v>1108.8</v>
      </c>
      <c r="L17" s="344">
        <f t="shared" ref="L17" si="18">+$L$4*F17</f>
        <v>1496</v>
      </c>
      <c r="M17" s="154">
        <f t="shared" si="8"/>
        <v>8.4</v>
      </c>
      <c r="O17" s="154">
        <f t="shared" ref="O17" si="19">SUM(J17:M17)</f>
        <v>3889.2000000000003</v>
      </c>
      <c r="P17" s="344">
        <f t="shared" ref="P17" si="20">+F17+H17+O17</f>
        <v>97769.2</v>
      </c>
    </row>
    <row r="18" spans="1:16" x14ac:dyDescent="0.35">
      <c r="A18" s="321" t="s">
        <v>274</v>
      </c>
      <c r="B18" s="322">
        <v>1</v>
      </c>
      <c r="C18" s="316">
        <v>73000</v>
      </c>
      <c r="D18" s="316">
        <f>C18+25000</f>
        <v>98000</v>
      </c>
      <c r="E18" s="317">
        <f>C18+5000</f>
        <v>78000</v>
      </c>
      <c r="F18" s="318">
        <f>B18*E18</f>
        <v>78000</v>
      </c>
      <c r="G18" s="319"/>
      <c r="H18" s="154">
        <f t="shared" si="3"/>
        <v>5880</v>
      </c>
      <c r="I18" s="154">
        <f t="shared" si="4"/>
        <v>2000</v>
      </c>
      <c r="J18" s="154">
        <f t="shared" si="5"/>
        <v>1131</v>
      </c>
      <c r="K18" s="225">
        <f t="shared" si="6"/>
        <v>982.8</v>
      </c>
      <c r="L18" s="344">
        <f t="shared" si="7"/>
        <v>1326</v>
      </c>
      <c r="M18" s="154">
        <f t="shared" si="8"/>
        <v>8.4</v>
      </c>
      <c r="O18" s="154">
        <f t="shared" si="9"/>
        <v>3448.2000000000003</v>
      </c>
      <c r="P18" s="344">
        <f t="shared" si="10"/>
        <v>87328.2</v>
      </c>
    </row>
    <row r="19" spans="1:16" x14ac:dyDescent="0.35">
      <c r="A19" s="314" t="s">
        <v>275</v>
      </c>
      <c r="B19" s="315">
        <v>1</v>
      </c>
      <c r="C19" s="316">
        <v>80000</v>
      </c>
      <c r="D19" s="316">
        <f t="shared" ref="D19:D21" si="21">C19+25000</f>
        <v>105000</v>
      </c>
      <c r="E19" s="317">
        <f t="shared" si="11"/>
        <v>85000</v>
      </c>
      <c r="F19" s="318">
        <f t="shared" ref="F19:F21" si="22">B19*E19</f>
        <v>85000</v>
      </c>
      <c r="G19" s="319"/>
      <c r="H19" s="154">
        <f t="shared" si="3"/>
        <v>5880</v>
      </c>
      <c r="I19" s="154">
        <f t="shared" si="4"/>
        <v>2000</v>
      </c>
      <c r="J19" s="154">
        <f t="shared" si="5"/>
        <v>1232.5</v>
      </c>
      <c r="K19" s="225">
        <f t="shared" si="6"/>
        <v>1071</v>
      </c>
      <c r="L19" s="344">
        <f t="shared" si="7"/>
        <v>1445</v>
      </c>
      <c r="M19" s="154">
        <f t="shared" si="8"/>
        <v>8.4</v>
      </c>
      <c r="O19" s="154">
        <f t="shared" si="9"/>
        <v>3756.9</v>
      </c>
      <c r="P19" s="344">
        <f t="shared" si="10"/>
        <v>94636.9</v>
      </c>
    </row>
    <row r="20" spans="1:16" x14ac:dyDescent="0.35">
      <c r="A20" s="314" t="s">
        <v>276</v>
      </c>
      <c r="B20" s="315">
        <v>1</v>
      </c>
      <c r="C20" s="316">
        <v>80000</v>
      </c>
      <c r="D20" s="316">
        <f t="shared" si="21"/>
        <v>105000</v>
      </c>
      <c r="E20" s="317">
        <f t="shared" si="11"/>
        <v>85000</v>
      </c>
      <c r="F20" s="318">
        <v>0</v>
      </c>
      <c r="G20" s="320">
        <v>85000</v>
      </c>
      <c r="H20" s="154">
        <f t="shared" ref="H20:H23" si="23">+$H$4*B20</f>
        <v>5880</v>
      </c>
      <c r="I20" s="154">
        <f t="shared" ref="I20:I23" si="24">+B20*$I$4</f>
        <v>2000</v>
      </c>
      <c r="J20" s="154">
        <f>+E20*J4</f>
        <v>1232.5</v>
      </c>
      <c r="K20" s="225">
        <f>+E20*K4</f>
        <v>1071</v>
      </c>
      <c r="L20" s="344">
        <f>+L4*E20</f>
        <v>1445</v>
      </c>
      <c r="M20" s="154">
        <f t="shared" ref="M20:M23" si="25">+$M$4*B20</f>
        <v>8.4</v>
      </c>
      <c r="O20" s="154">
        <f t="shared" ref="O20:O23" si="26">SUM(J20:M20)</f>
        <v>3756.9</v>
      </c>
      <c r="P20" s="344">
        <f t="shared" ref="P20:P23" si="27">+F20+H20+O20</f>
        <v>9636.9</v>
      </c>
    </row>
    <row r="21" spans="1:16" x14ac:dyDescent="0.35">
      <c r="A21" s="314" t="s">
        <v>254</v>
      </c>
      <c r="B21" s="315">
        <v>1</v>
      </c>
      <c r="C21" s="316">
        <v>75000</v>
      </c>
      <c r="D21" s="316">
        <f t="shared" si="21"/>
        <v>100000</v>
      </c>
      <c r="E21" s="317">
        <f t="shared" si="11"/>
        <v>80000</v>
      </c>
      <c r="F21" s="318">
        <f t="shared" si="22"/>
        <v>80000</v>
      </c>
      <c r="G21" s="319"/>
      <c r="H21" s="154">
        <f t="shared" si="23"/>
        <v>5880</v>
      </c>
      <c r="I21" s="154">
        <f t="shared" si="24"/>
        <v>2000</v>
      </c>
      <c r="J21" s="154">
        <f t="shared" ref="J21:J22" si="28">+F21*$J$4</f>
        <v>1160</v>
      </c>
      <c r="K21" s="225">
        <f t="shared" ref="K21:K22" si="29">+$K$4*F21</f>
        <v>1008</v>
      </c>
      <c r="L21" s="344">
        <f t="shared" ref="L21:L22" si="30">+$L$4*F21</f>
        <v>1360</v>
      </c>
      <c r="M21" s="154">
        <f t="shared" si="25"/>
        <v>8.4</v>
      </c>
      <c r="O21" s="154">
        <f t="shared" si="26"/>
        <v>3536.4</v>
      </c>
      <c r="P21" s="344">
        <f t="shared" si="27"/>
        <v>89416.4</v>
      </c>
    </row>
    <row r="22" spans="1:16" x14ac:dyDescent="0.35">
      <c r="A22" s="314" t="s">
        <v>277</v>
      </c>
      <c r="B22" s="315">
        <v>1</v>
      </c>
      <c r="C22" s="316">
        <v>80000</v>
      </c>
      <c r="D22" s="316">
        <f t="shared" si="13"/>
        <v>105000</v>
      </c>
      <c r="E22" s="317">
        <f t="shared" si="11"/>
        <v>85000</v>
      </c>
      <c r="F22" s="318">
        <f t="shared" si="12"/>
        <v>85000</v>
      </c>
      <c r="G22" s="319"/>
      <c r="H22" s="154">
        <f t="shared" si="23"/>
        <v>5880</v>
      </c>
      <c r="I22" s="154">
        <f t="shared" si="24"/>
        <v>2000</v>
      </c>
      <c r="J22" s="154">
        <f t="shared" si="28"/>
        <v>1232.5</v>
      </c>
      <c r="K22" s="225">
        <f t="shared" si="29"/>
        <v>1071</v>
      </c>
      <c r="L22" s="344">
        <f t="shared" si="30"/>
        <v>1445</v>
      </c>
      <c r="M22" s="154">
        <f t="shared" si="25"/>
        <v>8.4</v>
      </c>
      <c r="O22" s="154">
        <f t="shared" si="26"/>
        <v>3756.9</v>
      </c>
      <c r="P22" s="344">
        <f t="shared" si="27"/>
        <v>94636.9</v>
      </c>
    </row>
    <row r="23" spans="1:16" x14ac:dyDescent="0.35">
      <c r="A23" s="314" t="s">
        <v>278</v>
      </c>
      <c r="B23" s="315">
        <v>1</v>
      </c>
      <c r="C23" s="316">
        <v>80000</v>
      </c>
      <c r="D23" s="316">
        <f t="shared" si="13"/>
        <v>105000</v>
      </c>
      <c r="E23" s="317">
        <f>C23+5000</f>
        <v>85000</v>
      </c>
      <c r="F23" s="318">
        <v>0</v>
      </c>
      <c r="G23" s="320">
        <v>85000</v>
      </c>
      <c r="H23" s="154">
        <f t="shared" si="23"/>
        <v>5880</v>
      </c>
      <c r="I23" s="154">
        <f t="shared" si="24"/>
        <v>2000</v>
      </c>
      <c r="J23" s="154">
        <f>+E23*J4</f>
        <v>1232.5</v>
      </c>
      <c r="K23" s="225">
        <f>+K4*E23</f>
        <v>1071</v>
      </c>
      <c r="L23" s="347">
        <f>+E23*L4</f>
        <v>1445</v>
      </c>
      <c r="M23" s="154">
        <f t="shared" si="25"/>
        <v>8.4</v>
      </c>
      <c r="O23" s="154">
        <f t="shared" si="26"/>
        <v>3756.9</v>
      </c>
      <c r="P23" s="344">
        <f t="shared" si="27"/>
        <v>9636.9</v>
      </c>
    </row>
    <row r="24" spans="1:16" x14ac:dyDescent="0.35">
      <c r="A24" s="314" t="s">
        <v>258</v>
      </c>
      <c r="B24" s="315">
        <v>1</v>
      </c>
      <c r="C24" s="316">
        <v>75000</v>
      </c>
      <c r="D24" s="316">
        <f t="shared" si="13"/>
        <v>100000</v>
      </c>
      <c r="E24" s="317">
        <f t="shared" si="11"/>
        <v>80000</v>
      </c>
      <c r="F24" s="318">
        <f t="shared" si="12"/>
        <v>80000</v>
      </c>
      <c r="G24" s="319"/>
      <c r="H24" s="154">
        <f t="shared" si="3"/>
        <v>5880</v>
      </c>
      <c r="I24" s="154">
        <f t="shared" si="4"/>
        <v>2000</v>
      </c>
      <c r="J24" s="154">
        <f t="shared" si="5"/>
        <v>1160</v>
      </c>
      <c r="K24" s="225">
        <f t="shared" si="6"/>
        <v>1008</v>
      </c>
      <c r="L24" s="344">
        <f t="shared" si="7"/>
        <v>1360</v>
      </c>
      <c r="M24" s="154">
        <f t="shared" si="8"/>
        <v>8.4</v>
      </c>
      <c r="O24" s="154">
        <f t="shared" si="9"/>
        <v>3536.4</v>
      </c>
      <c r="P24" s="344">
        <f t="shared" si="10"/>
        <v>89416.4</v>
      </c>
    </row>
    <row r="25" spans="1:16" x14ac:dyDescent="0.35">
      <c r="A25" s="314" t="s">
        <v>279</v>
      </c>
      <c r="B25" s="315">
        <v>1</v>
      </c>
      <c r="C25" s="316">
        <v>75000</v>
      </c>
      <c r="D25" s="316">
        <f>C25+25000</f>
        <v>100000</v>
      </c>
      <c r="E25" s="317">
        <f>C25+5000</f>
        <v>80000</v>
      </c>
      <c r="F25" s="318">
        <f>B25*E25</f>
        <v>80000</v>
      </c>
      <c r="G25" s="319"/>
      <c r="H25" s="154">
        <f t="shared" si="3"/>
        <v>5880</v>
      </c>
      <c r="I25" s="154">
        <f t="shared" si="4"/>
        <v>2000</v>
      </c>
      <c r="J25" s="154">
        <f t="shared" si="5"/>
        <v>1160</v>
      </c>
      <c r="K25" s="225">
        <f t="shared" si="6"/>
        <v>1008</v>
      </c>
      <c r="L25" s="344">
        <f t="shared" si="7"/>
        <v>1360</v>
      </c>
      <c r="M25" s="154">
        <f t="shared" si="8"/>
        <v>8.4</v>
      </c>
      <c r="O25" s="154">
        <f t="shared" si="9"/>
        <v>3536.4</v>
      </c>
      <c r="P25" s="344">
        <f t="shared" si="10"/>
        <v>89416.4</v>
      </c>
    </row>
    <row r="26" spans="1:16" x14ac:dyDescent="0.35">
      <c r="A26" s="314" t="s">
        <v>280</v>
      </c>
      <c r="B26" s="315">
        <v>1</v>
      </c>
      <c r="C26" s="316">
        <v>80000</v>
      </c>
      <c r="D26" s="316">
        <f t="shared" si="13"/>
        <v>105000</v>
      </c>
      <c r="E26" s="317">
        <f t="shared" si="11"/>
        <v>85000</v>
      </c>
      <c r="F26" s="318">
        <f t="shared" si="12"/>
        <v>85000</v>
      </c>
      <c r="G26" s="319"/>
      <c r="H26" s="154">
        <f t="shared" si="3"/>
        <v>5880</v>
      </c>
      <c r="I26" s="154">
        <f t="shared" si="4"/>
        <v>2000</v>
      </c>
      <c r="J26" s="154">
        <f t="shared" si="5"/>
        <v>1232.5</v>
      </c>
      <c r="K26" s="225">
        <f t="shared" si="6"/>
        <v>1071</v>
      </c>
      <c r="L26" s="344">
        <f t="shared" si="7"/>
        <v>1445</v>
      </c>
      <c r="M26" s="154">
        <f t="shared" si="8"/>
        <v>8.4</v>
      </c>
      <c r="O26" s="154">
        <f t="shared" si="9"/>
        <v>3756.9</v>
      </c>
      <c r="P26" s="344">
        <f t="shared" si="10"/>
        <v>94636.9</v>
      </c>
    </row>
    <row r="27" spans="1:16" x14ac:dyDescent="0.35">
      <c r="A27" s="314" t="s">
        <v>281</v>
      </c>
      <c r="B27" s="315">
        <v>1</v>
      </c>
      <c r="C27" s="316">
        <v>73000</v>
      </c>
      <c r="D27" s="316">
        <f t="shared" si="13"/>
        <v>98000</v>
      </c>
      <c r="E27" s="317">
        <f t="shared" si="11"/>
        <v>78000</v>
      </c>
      <c r="F27" s="318">
        <f t="shared" si="12"/>
        <v>78000</v>
      </c>
      <c r="G27" s="319"/>
      <c r="H27" s="154">
        <f t="shared" si="3"/>
        <v>5880</v>
      </c>
      <c r="I27" s="154">
        <f t="shared" si="4"/>
        <v>2000</v>
      </c>
      <c r="J27" s="154">
        <f t="shared" si="5"/>
        <v>1131</v>
      </c>
      <c r="K27" s="225">
        <f t="shared" si="6"/>
        <v>982.8</v>
      </c>
      <c r="L27" s="344">
        <f t="shared" si="7"/>
        <v>1326</v>
      </c>
      <c r="M27" s="154">
        <f t="shared" si="8"/>
        <v>8.4</v>
      </c>
      <c r="O27" s="154">
        <f t="shared" si="9"/>
        <v>3448.2000000000003</v>
      </c>
      <c r="P27" s="344">
        <f t="shared" si="10"/>
        <v>87328.2</v>
      </c>
    </row>
    <row r="28" spans="1:16" x14ac:dyDescent="0.35">
      <c r="A28" s="314" t="s">
        <v>282</v>
      </c>
      <c r="B28" s="315">
        <v>1</v>
      </c>
      <c r="C28" s="316">
        <v>88000</v>
      </c>
      <c r="D28" s="316">
        <f t="shared" si="13"/>
        <v>113000</v>
      </c>
      <c r="E28" s="317">
        <f t="shared" si="11"/>
        <v>93000</v>
      </c>
      <c r="F28" s="318">
        <f t="shared" si="12"/>
        <v>93000</v>
      </c>
      <c r="G28" s="319"/>
      <c r="H28" s="154">
        <f t="shared" si="3"/>
        <v>5880</v>
      </c>
      <c r="I28" s="154">
        <f t="shared" si="4"/>
        <v>2000</v>
      </c>
      <c r="J28" s="154">
        <f t="shared" si="5"/>
        <v>1348.5</v>
      </c>
      <c r="K28" s="225">
        <f t="shared" si="6"/>
        <v>1171.8</v>
      </c>
      <c r="L28" s="344">
        <f t="shared" si="7"/>
        <v>1581</v>
      </c>
      <c r="M28" s="154">
        <f t="shared" si="8"/>
        <v>8.4</v>
      </c>
      <c r="O28" s="154">
        <f t="shared" si="9"/>
        <v>4109.7</v>
      </c>
      <c r="P28" s="344">
        <f t="shared" si="10"/>
        <v>102989.7</v>
      </c>
    </row>
    <row r="29" spans="1:16" x14ac:dyDescent="0.35">
      <c r="A29" s="314" t="s">
        <v>283</v>
      </c>
      <c r="B29" s="315">
        <v>1</v>
      </c>
      <c r="C29" s="316">
        <v>88000</v>
      </c>
      <c r="D29" s="316">
        <f t="shared" si="13"/>
        <v>113000</v>
      </c>
      <c r="E29" s="317">
        <f t="shared" si="11"/>
        <v>93000</v>
      </c>
      <c r="F29" s="318">
        <v>0</v>
      </c>
      <c r="G29" s="320">
        <v>93000</v>
      </c>
      <c r="H29" s="154">
        <f t="shared" si="3"/>
        <v>5880</v>
      </c>
      <c r="I29" s="154">
        <f t="shared" si="4"/>
        <v>2000</v>
      </c>
      <c r="J29" s="154">
        <f>+E29*J4</f>
        <v>1348.5</v>
      </c>
      <c r="K29" s="225">
        <f>+E29*K4</f>
        <v>1171.8</v>
      </c>
      <c r="L29" s="344">
        <f>+E29*L4</f>
        <v>1581</v>
      </c>
      <c r="M29" s="154">
        <f t="shared" si="8"/>
        <v>8.4</v>
      </c>
      <c r="O29" s="154">
        <f t="shared" si="9"/>
        <v>4109.7</v>
      </c>
      <c r="P29" s="344">
        <f t="shared" si="10"/>
        <v>9989.7000000000007</v>
      </c>
    </row>
    <row r="30" spans="1:16" x14ac:dyDescent="0.35">
      <c r="A30" s="314" t="s">
        <v>211</v>
      </c>
      <c r="B30" s="315">
        <v>1</v>
      </c>
      <c r="C30" s="316">
        <v>83000</v>
      </c>
      <c r="D30" s="316">
        <f t="shared" si="13"/>
        <v>108000</v>
      </c>
      <c r="E30" s="317">
        <f t="shared" si="11"/>
        <v>88000</v>
      </c>
      <c r="F30" s="318">
        <f t="shared" si="12"/>
        <v>88000</v>
      </c>
      <c r="G30" s="319"/>
      <c r="H30" s="154">
        <f t="shared" si="3"/>
        <v>5880</v>
      </c>
      <c r="I30" s="154">
        <f t="shared" si="4"/>
        <v>2000</v>
      </c>
      <c r="J30" s="154">
        <f t="shared" si="5"/>
        <v>1276</v>
      </c>
      <c r="K30" s="225">
        <f t="shared" si="6"/>
        <v>1108.8</v>
      </c>
      <c r="L30" s="344">
        <f t="shared" si="7"/>
        <v>1496</v>
      </c>
      <c r="M30" s="154">
        <f t="shared" si="8"/>
        <v>8.4</v>
      </c>
      <c r="O30" s="154">
        <f t="shared" si="9"/>
        <v>3889.2000000000003</v>
      </c>
      <c r="P30" s="344">
        <f t="shared" si="10"/>
        <v>97769.2</v>
      </c>
    </row>
    <row r="31" spans="1:16" x14ac:dyDescent="0.35">
      <c r="A31" s="321" t="s">
        <v>284</v>
      </c>
      <c r="B31" s="322">
        <v>1</v>
      </c>
      <c r="C31" s="316">
        <v>86000</v>
      </c>
      <c r="D31" s="316">
        <f>C31+25000</f>
        <v>111000</v>
      </c>
      <c r="E31" s="317">
        <f t="shared" si="11"/>
        <v>91000</v>
      </c>
      <c r="F31" s="318">
        <f t="shared" si="12"/>
        <v>91000</v>
      </c>
      <c r="G31" s="319"/>
      <c r="H31" s="154">
        <f t="shared" si="3"/>
        <v>5880</v>
      </c>
      <c r="I31" s="154">
        <f t="shared" si="4"/>
        <v>2000</v>
      </c>
      <c r="J31" s="154">
        <f t="shared" si="5"/>
        <v>1319.5</v>
      </c>
      <c r="K31" s="225">
        <f t="shared" si="6"/>
        <v>1146.5999999999999</v>
      </c>
      <c r="L31" s="344">
        <f t="shared" si="7"/>
        <v>1547</v>
      </c>
      <c r="M31" s="154">
        <f t="shared" si="8"/>
        <v>8.4</v>
      </c>
      <c r="O31" s="154">
        <f t="shared" si="9"/>
        <v>4021.5</v>
      </c>
      <c r="P31" s="344">
        <f t="shared" si="10"/>
        <v>100901.5</v>
      </c>
    </row>
    <row r="32" spans="1:16" x14ac:dyDescent="0.35">
      <c r="A32" s="321" t="s">
        <v>215</v>
      </c>
      <c r="B32" s="322">
        <v>1</v>
      </c>
      <c r="C32" s="316">
        <v>83000</v>
      </c>
      <c r="D32" s="316">
        <f t="shared" si="13"/>
        <v>108000</v>
      </c>
      <c r="E32" s="317">
        <f t="shared" si="11"/>
        <v>88000</v>
      </c>
      <c r="F32" s="318">
        <f t="shared" si="12"/>
        <v>88000</v>
      </c>
      <c r="G32" s="319"/>
      <c r="H32" s="154">
        <f t="shared" si="3"/>
        <v>5880</v>
      </c>
      <c r="I32" s="154">
        <f t="shared" si="4"/>
        <v>2000</v>
      </c>
      <c r="J32" s="154">
        <f t="shared" si="5"/>
        <v>1276</v>
      </c>
      <c r="K32" s="225">
        <f t="shared" si="6"/>
        <v>1108.8</v>
      </c>
      <c r="L32" s="344">
        <f t="shared" si="7"/>
        <v>1496</v>
      </c>
      <c r="M32" s="154">
        <f t="shared" si="8"/>
        <v>8.4</v>
      </c>
      <c r="O32" s="154">
        <f t="shared" si="9"/>
        <v>3889.2000000000003</v>
      </c>
      <c r="P32" s="344">
        <f t="shared" si="10"/>
        <v>97769.2</v>
      </c>
    </row>
    <row r="33" spans="1:16" x14ac:dyDescent="0.35">
      <c r="A33" s="321" t="s">
        <v>285</v>
      </c>
      <c r="B33" s="322">
        <v>1</v>
      </c>
      <c r="C33" s="316">
        <v>83000</v>
      </c>
      <c r="D33" s="316">
        <f>C33+25000</f>
        <v>108000</v>
      </c>
      <c r="E33" s="317">
        <f>C33+5000</f>
        <v>88000</v>
      </c>
      <c r="F33" s="318">
        <f>B33*E33</f>
        <v>88000</v>
      </c>
      <c r="G33" s="319"/>
      <c r="H33" s="154">
        <f t="shared" si="3"/>
        <v>5880</v>
      </c>
      <c r="I33" s="154">
        <f t="shared" si="4"/>
        <v>2000</v>
      </c>
      <c r="J33" s="154">
        <f t="shared" si="5"/>
        <v>1276</v>
      </c>
      <c r="K33" s="225">
        <f t="shared" si="6"/>
        <v>1108.8</v>
      </c>
      <c r="L33" s="344">
        <f t="shared" si="7"/>
        <v>1496</v>
      </c>
      <c r="M33" s="154">
        <f t="shared" si="8"/>
        <v>8.4</v>
      </c>
      <c r="O33" s="154">
        <f t="shared" si="9"/>
        <v>3889.2000000000003</v>
      </c>
      <c r="P33" s="344">
        <f t="shared" si="10"/>
        <v>97769.2</v>
      </c>
    </row>
    <row r="34" spans="1:16" x14ac:dyDescent="0.35">
      <c r="A34" s="314" t="s">
        <v>286</v>
      </c>
      <c r="B34" s="315">
        <v>1</v>
      </c>
      <c r="C34" s="316">
        <v>86000</v>
      </c>
      <c r="D34" s="316">
        <f>C34+25000</f>
        <v>111000</v>
      </c>
      <c r="E34" s="317">
        <f t="shared" si="11"/>
        <v>91000</v>
      </c>
      <c r="F34" s="318">
        <f>B34*E34</f>
        <v>91000</v>
      </c>
      <c r="G34" s="319"/>
      <c r="H34" s="154">
        <f t="shared" si="3"/>
        <v>5880</v>
      </c>
      <c r="I34" s="154">
        <f t="shared" si="4"/>
        <v>2000</v>
      </c>
      <c r="J34" s="154">
        <f t="shared" si="5"/>
        <v>1319.5</v>
      </c>
      <c r="K34" s="225">
        <f t="shared" si="6"/>
        <v>1146.5999999999999</v>
      </c>
      <c r="L34" s="344">
        <f t="shared" si="7"/>
        <v>1547</v>
      </c>
      <c r="M34" s="154">
        <f t="shared" si="8"/>
        <v>8.4</v>
      </c>
      <c r="O34" s="154">
        <f t="shared" si="9"/>
        <v>4021.5</v>
      </c>
      <c r="P34" s="344">
        <f t="shared" si="10"/>
        <v>100901.5</v>
      </c>
    </row>
    <row r="35" spans="1:16" x14ac:dyDescent="0.35">
      <c r="A35" s="323" t="s">
        <v>287</v>
      </c>
      <c r="B35" s="324">
        <v>1</v>
      </c>
      <c r="C35" s="316">
        <v>76000</v>
      </c>
      <c r="D35" s="316">
        <f>C35+25000</f>
        <v>101000</v>
      </c>
      <c r="E35" s="317">
        <f t="shared" si="11"/>
        <v>81000</v>
      </c>
      <c r="F35" s="317">
        <f>B35*E35</f>
        <v>81000</v>
      </c>
      <c r="G35" s="319"/>
      <c r="H35" s="154">
        <f t="shared" si="3"/>
        <v>5880</v>
      </c>
      <c r="I35" s="154">
        <f t="shared" si="4"/>
        <v>2000</v>
      </c>
      <c r="J35" s="154">
        <f t="shared" si="5"/>
        <v>1174.5</v>
      </c>
      <c r="K35" s="225">
        <f t="shared" si="6"/>
        <v>1020.6</v>
      </c>
      <c r="L35" s="344">
        <f t="shared" si="7"/>
        <v>1377</v>
      </c>
      <c r="M35" s="154">
        <f t="shared" si="8"/>
        <v>8.4</v>
      </c>
      <c r="O35" s="154">
        <f t="shared" si="9"/>
        <v>3580.5</v>
      </c>
      <c r="P35" s="344">
        <f t="shared" si="10"/>
        <v>90460.5</v>
      </c>
    </row>
    <row r="36" spans="1:16" x14ac:dyDescent="0.35">
      <c r="A36" s="321" t="s">
        <v>288</v>
      </c>
      <c r="B36" s="322">
        <v>1</v>
      </c>
      <c r="C36" s="316">
        <v>86000</v>
      </c>
      <c r="D36" s="316">
        <f>C36+25000</f>
        <v>111000</v>
      </c>
      <c r="E36" s="317">
        <f t="shared" si="11"/>
        <v>91000</v>
      </c>
      <c r="F36" s="318">
        <f t="shared" ref="F36:F37" si="31">B36*E36</f>
        <v>91000</v>
      </c>
      <c r="G36" s="319"/>
      <c r="H36" s="154">
        <f t="shared" si="3"/>
        <v>5880</v>
      </c>
      <c r="I36" s="154">
        <f t="shared" si="4"/>
        <v>2000</v>
      </c>
      <c r="J36" s="154">
        <f t="shared" si="5"/>
        <v>1319.5</v>
      </c>
      <c r="K36" s="225">
        <f t="shared" si="6"/>
        <v>1146.5999999999999</v>
      </c>
      <c r="L36" s="344">
        <f t="shared" si="7"/>
        <v>1547</v>
      </c>
      <c r="M36" s="154">
        <f t="shared" si="8"/>
        <v>8.4</v>
      </c>
      <c r="O36" s="154">
        <f t="shared" si="9"/>
        <v>4021.5</v>
      </c>
      <c r="P36" s="344">
        <f t="shared" si="10"/>
        <v>100901.5</v>
      </c>
    </row>
    <row r="37" spans="1:16" x14ac:dyDescent="0.35">
      <c r="A37" s="321" t="s">
        <v>289</v>
      </c>
      <c r="B37" s="322">
        <v>1</v>
      </c>
      <c r="C37" s="316">
        <v>83000</v>
      </c>
      <c r="D37" s="316">
        <f t="shared" ref="D37" si="32">C37+25000</f>
        <v>108000</v>
      </c>
      <c r="E37" s="317">
        <f t="shared" si="11"/>
        <v>88000</v>
      </c>
      <c r="F37" s="318">
        <f t="shared" si="31"/>
        <v>88000</v>
      </c>
      <c r="G37" s="319"/>
      <c r="H37" s="154">
        <f t="shared" si="3"/>
        <v>5880</v>
      </c>
      <c r="I37" s="154">
        <f t="shared" si="4"/>
        <v>2000</v>
      </c>
      <c r="J37" s="154">
        <f t="shared" si="5"/>
        <v>1276</v>
      </c>
      <c r="K37" s="225">
        <f t="shared" si="6"/>
        <v>1108.8</v>
      </c>
      <c r="L37" s="344">
        <f t="shared" si="7"/>
        <v>1496</v>
      </c>
      <c r="M37" s="154">
        <f t="shared" si="8"/>
        <v>8.4</v>
      </c>
      <c r="O37" s="154">
        <f t="shared" si="9"/>
        <v>3889.2000000000003</v>
      </c>
      <c r="P37" s="344">
        <f t="shared" si="10"/>
        <v>97769.2</v>
      </c>
    </row>
    <row r="38" spans="1:16" x14ac:dyDescent="0.35">
      <c r="A38" s="314" t="s">
        <v>290</v>
      </c>
      <c r="B38" s="315">
        <v>4</v>
      </c>
      <c r="C38" s="316">
        <v>63000</v>
      </c>
      <c r="D38" s="316">
        <f t="shared" si="13"/>
        <v>88000</v>
      </c>
      <c r="E38" s="317">
        <f t="shared" si="11"/>
        <v>68000</v>
      </c>
      <c r="F38" s="318">
        <f t="shared" si="12"/>
        <v>272000</v>
      </c>
      <c r="G38" s="319"/>
      <c r="H38" s="154">
        <f t="shared" si="3"/>
        <v>23520</v>
      </c>
      <c r="I38" s="154">
        <f t="shared" si="4"/>
        <v>8000</v>
      </c>
      <c r="J38" s="154">
        <f t="shared" si="5"/>
        <v>3944</v>
      </c>
      <c r="K38" s="225">
        <f t="shared" si="6"/>
        <v>3427.2</v>
      </c>
      <c r="L38" s="344">
        <f t="shared" si="7"/>
        <v>4624</v>
      </c>
      <c r="M38" s="154">
        <f t="shared" si="8"/>
        <v>33.6</v>
      </c>
      <c r="O38" s="154">
        <f t="shared" si="9"/>
        <v>12028.800000000001</v>
      </c>
      <c r="P38" s="344">
        <f t="shared" si="10"/>
        <v>307548.79999999999</v>
      </c>
    </row>
    <row r="39" spans="1:16" x14ac:dyDescent="0.35">
      <c r="A39" s="314" t="s">
        <v>291</v>
      </c>
      <c r="B39" s="325">
        <v>8</v>
      </c>
      <c r="C39" s="316">
        <v>53000</v>
      </c>
      <c r="D39" s="316">
        <f t="shared" si="13"/>
        <v>78000</v>
      </c>
      <c r="E39" s="317">
        <f t="shared" si="11"/>
        <v>58000</v>
      </c>
      <c r="F39" s="318">
        <f t="shared" si="12"/>
        <v>464000</v>
      </c>
      <c r="G39" s="319"/>
      <c r="H39" s="154">
        <f t="shared" si="3"/>
        <v>47040</v>
      </c>
      <c r="I39" s="154">
        <f t="shared" si="4"/>
        <v>16000</v>
      </c>
      <c r="J39" s="154">
        <f t="shared" si="5"/>
        <v>6728</v>
      </c>
      <c r="K39" s="225">
        <f t="shared" si="6"/>
        <v>5846.4</v>
      </c>
      <c r="L39" s="344">
        <f t="shared" si="7"/>
        <v>7888.0000000000009</v>
      </c>
      <c r="M39" s="154">
        <f t="shared" si="8"/>
        <v>67.2</v>
      </c>
      <c r="O39" s="154">
        <f t="shared" si="9"/>
        <v>20529.600000000002</v>
      </c>
      <c r="P39" s="344">
        <f t="shared" si="10"/>
        <v>531569.6</v>
      </c>
    </row>
    <row r="40" spans="1:16" x14ac:dyDescent="0.35">
      <c r="A40" s="314" t="s">
        <v>228</v>
      </c>
      <c r="B40" s="325">
        <v>5</v>
      </c>
      <c r="C40" s="316">
        <v>68000</v>
      </c>
      <c r="D40" s="316">
        <f t="shared" si="13"/>
        <v>93000</v>
      </c>
      <c r="E40" s="317">
        <f t="shared" si="11"/>
        <v>73000</v>
      </c>
      <c r="F40" s="318">
        <f t="shared" si="12"/>
        <v>365000</v>
      </c>
      <c r="G40" s="319"/>
      <c r="H40" s="154">
        <f t="shared" si="3"/>
        <v>29400</v>
      </c>
      <c r="I40" s="154">
        <f t="shared" si="4"/>
        <v>10000</v>
      </c>
      <c r="J40" s="154">
        <f t="shared" si="5"/>
        <v>5292.5</v>
      </c>
      <c r="K40" s="225">
        <f t="shared" si="6"/>
        <v>4599</v>
      </c>
      <c r="L40" s="344">
        <f t="shared" si="7"/>
        <v>6205</v>
      </c>
      <c r="M40" s="154">
        <f t="shared" si="8"/>
        <v>42</v>
      </c>
      <c r="O40" s="154">
        <f t="shared" si="9"/>
        <v>16138.5</v>
      </c>
      <c r="P40" s="344">
        <f t="shared" si="10"/>
        <v>410538.5</v>
      </c>
    </row>
    <row r="41" spans="1:16" x14ac:dyDescent="0.35">
      <c r="H41" s="154">
        <f>SUM(H5:H40)</f>
        <v>305760</v>
      </c>
      <c r="I41" s="154">
        <f t="shared" ref="I41:P41" si="33">SUM(I5:I40)</f>
        <v>104000</v>
      </c>
      <c r="J41" s="154">
        <f t="shared" si="33"/>
        <v>56912.5</v>
      </c>
      <c r="K41" s="154">
        <f t="shared" si="33"/>
        <v>49454.999999999993</v>
      </c>
      <c r="L41" s="154">
        <f t="shared" si="33"/>
        <v>66725</v>
      </c>
      <c r="M41" s="154">
        <f t="shared" si="33"/>
        <v>436.8</v>
      </c>
      <c r="N41" s="154">
        <f t="shared" si="33"/>
        <v>0</v>
      </c>
      <c r="O41" s="154">
        <f t="shared" si="33"/>
        <v>173529.29999999996</v>
      </c>
      <c r="P41" s="154">
        <f t="shared" si="33"/>
        <v>4063289.2999999993</v>
      </c>
    </row>
    <row r="42" spans="1:16" ht="15.5" x14ac:dyDescent="0.35">
      <c r="B42" s="327">
        <f>SUM(B5:B40)+4</f>
        <v>56</v>
      </c>
      <c r="F42" s="162">
        <f>SUM(F5:F40)</f>
        <v>3584000</v>
      </c>
      <c r="G42" s="326">
        <f>SUM(G7:G41)</f>
        <v>341000</v>
      </c>
      <c r="H42" s="162">
        <f>F42+G42</f>
        <v>3925000</v>
      </c>
    </row>
    <row r="44" spans="1:16" x14ac:dyDescent="0.35">
      <c r="A44" s="155" t="s">
        <v>229</v>
      </c>
      <c r="B44" s="156">
        <v>2</v>
      </c>
      <c r="C44" s="157">
        <v>75000</v>
      </c>
      <c r="D44" s="157">
        <f>C44+25000</f>
        <v>100000</v>
      </c>
      <c r="E44" s="158">
        <f>C44+5000</f>
        <v>80000</v>
      </c>
      <c r="F44" s="158">
        <f>B44*E44</f>
        <v>160000</v>
      </c>
      <c r="H44" s="154">
        <f t="shared" ref="H44:H45" si="34">+$H$4*B44</f>
        <v>11760</v>
      </c>
      <c r="I44" s="154">
        <f t="shared" ref="I44:I45" si="35">+B44*$I$4</f>
        <v>4000</v>
      </c>
      <c r="J44" s="154">
        <f t="shared" ref="J44:J45" si="36">+F44*$J$4</f>
        <v>2320</v>
      </c>
      <c r="K44" s="225">
        <f t="shared" ref="K44:K45" si="37">+$K$4*F44</f>
        <v>2016</v>
      </c>
      <c r="L44" s="344">
        <f t="shared" ref="L44:L45" si="38">+$L$4*F44</f>
        <v>2720</v>
      </c>
      <c r="M44" s="154">
        <f t="shared" ref="M44:M45" si="39">+$M$4*B44</f>
        <v>16.8</v>
      </c>
      <c r="O44" s="154">
        <f t="shared" ref="O44:O45" si="40">SUM(J44:M44)</f>
        <v>7072.8</v>
      </c>
      <c r="P44" s="344">
        <f t="shared" ref="P44:P45" si="41">+F44+H44+O44</f>
        <v>178832.8</v>
      </c>
    </row>
    <row r="45" spans="1:16" x14ac:dyDescent="0.35">
      <c r="A45" s="155" t="s">
        <v>292</v>
      </c>
      <c r="B45" s="161">
        <v>1</v>
      </c>
      <c r="C45" s="157">
        <v>50000</v>
      </c>
      <c r="D45" s="157">
        <f t="shared" ref="D45" si="42">C45+25000</f>
        <v>75000</v>
      </c>
      <c r="E45" s="158">
        <f t="shared" ref="E45" si="43">C45+5000</f>
        <v>55000</v>
      </c>
      <c r="F45" s="158">
        <f>B45*E45</f>
        <v>55000</v>
      </c>
      <c r="H45" s="154">
        <f t="shared" si="34"/>
        <v>5880</v>
      </c>
      <c r="I45" s="154">
        <f t="shared" si="35"/>
        <v>2000</v>
      </c>
      <c r="J45" s="154">
        <f t="shared" si="36"/>
        <v>797.5</v>
      </c>
      <c r="K45" s="225">
        <f t="shared" si="37"/>
        <v>693</v>
      </c>
      <c r="L45" s="344">
        <f t="shared" si="38"/>
        <v>935.00000000000011</v>
      </c>
      <c r="M45" s="154">
        <f t="shared" si="39"/>
        <v>8.4</v>
      </c>
      <c r="O45" s="154">
        <f t="shared" si="40"/>
        <v>2433.9</v>
      </c>
      <c r="P45" s="344">
        <f t="shared" si="41"/>
        <v>63313.9</v>
      </c>
    </row>
    <row r="46" spans="1:16" ht="15.5" x14ac:dyDescent="0.35">
      <c r="B46" s="163"/>
      <c r="F46" s="162">
        <f>SUM(F44:F45)</f>
        <v>215000</v>
      </c>
      <c r="H46" s="154">
        <f>SUM(H44:H45)</f>
        <v>17640</v>
      </c>
      <c r="I46" s="154">
        <f t="shared" ref="I46:P46" si="44">SUM(I44:I45)</f>
        <v>6000</v>
      </c>
      <c r="J46" s="154">
        <f t="shared" si="44"/>
        <v>3117.5</v>
      </c>
      <c r="K46" s="154">
        <f t="shared" si="44"/>
        <v>2709</v>
      </c>
      <c r="L46" s="154">
        <f t="shared" si="44"/>
        <v>3655</v>
      </c>
      <c r="M46" s="154">
        <f t="shared" si="44"/>
        <v>25.200000000000003</v>
      </c>
      <c r="N46" s="154">
        <f t="shared" si="44"/>
        <v>0</v>
      </c>
      <c r="O46" s="154">
        <f t="shared" si="44"/>
        <v>9506.7000000000007</v>
      </c>
      <c r="P46" s="154">
        <f t="shared" si="44"/>
        <v>242146.69999999998</v>
      </c>
    </row>
    <row r="47" spans="1:16" x14ac:dyDescent="0.35">
      <c r="B47" s="163"/>
    </row>
    <row r="48" spans="1:16" x14ac:dyDescent="0.35">
      <c r="A48" s="155" t="s">
        <v>231</v>
      </c>
      <c r="B48" s="156">
        <v>1</v>
      </c>
      <c r="C48" s="164">
        <v>140000</v>
      </c>
      <c r="D48" s="155"/>
      <c r="E48" s="155"/>
      <c r="F48" s="164">
        <f>B48*C48</f>
        <v>140000</v>
      </c>
      <c r="H48" s="154">
        <f t="shared" ref="H48:H56" si="45">+$H$4*B48</f>
        <v>5880</v>
      </c>
      <c r="I48" s="154">
        <f t="shared" ref="I48:I56" si="46">+B48*$I$4</f>
        <v>2000</v>
      </c>
      <c r="J48" s="154">
        <f t="shared" ref="J48:J56" si="47">+F48*$J$4</f>
        <v>2030</v>
      </c>
      <c r="K48" s="225">
        <f t="shared" ref="K48:K56" si="48">+$K$4*F48</f>
        <v>1764</v>
      </c>
      <c r="L48" s="344">
        <f t="shared" ref="L48:L56" si="49">+$L$4*F48</f>
        <v>2380</v>
      </c>
      <c r="M48" s="154">
        <f t="shared" ref="M48:M56" si="50">+$M$4*B48</f>
        <v>8.4</v>
      </c>
      <c r="O48" s="154">
        <f t="shared" ref="O48:O56" si="51">SUM(J48:M48)</f>
        <v>6182.4</v>
      </c>
      <c r="P48" s="344">
        <f t="shared" ref="P48:P56" si="52">+F48+H48+O48</f>
        <v>152062.39999999999</v>
      </c>
    </row>
    <row r="49" spans="1:16" x14ac:dyDescent="0.35">
      <c r="A49" s="155" t="s">
        <v>293</v>
      </c>
      <c r="B49" s="156">
        <v>3</v>
      </c>
      <c r="C49" s="164">
        <v>90000</v>
      </c>
      <c r="D49" s="155"/>
      <c r="E49" s="155"/>
      <c r="F49" s="164">
        <f t="shared" ref="F49:F56" si="53">B49*C49</f>
        <v>270000</v>
      </c>
      <c r="H49" s="154">
        <f t="shared" si="45"/>
        <v>17640</v>
      </c>
      <c r="I49" s="154">
        <f t="shared" si="46"/>
        <v>6000</v>
      </c>
      <c r="J49" s="154">
        <f t="shared" si="47"/>
        <v>3915</v>
      </c>
      <c r="K49" s="225">
        <f t="shared" si="48"/>
        <v>3402</v>
      </c>
      <c r="L49" s="344">
        <f t="shared" si="49"/>
        <v>4590</v>
      </c>
      <c r="M49" s="154">
        <f t="shared" si="50"/>
        <v>25.200000000000003</v>
      </c>
      <c r="O49" s="154">
        <f t="shared" si="51"/>
        <v>11932.2</v>
      </c>
      <c r="P49" s="344">
        <f t="shared" si="52"/>
        <v>299572.2</v>
      </c>
    </row>
    <row r="50" spans="1:16" x14ac:dyDescent="0.35">
      <c r="A50" s="155" t="s">
        <v>294</v>
      </c>
      <c r="B50" s="156">
        <v>1</v>
      </c>
      <c r="C50" s="164">
        <v>90000</v>
      </c>
      <c r="D50" s="155"/>
      <c r="E50" s="155"/>
      <c r="F50" s="164">
        <f t="shared" si="53"/>
        <v>90000</v>
      </c>
      <c r="H50" s="154">
        <f t="shared" si="45"/>
        <v>5880</v>
      </c>
      <c r="I50" s="154">
        <f t="shared" si="46"/>
        <v>2000</v>
      </c>
      <c r="J50" s="154">
        <f t="shared" si="47"/>
        <v>1305</v>
      </c>
      <c r="K50" s="225">
        <f t="shared" si="48"/>
        <v>1134</v>
      </c>
      <c r="L50" s="344">
        <f t="shared" si="49"/>
        <v>1530</v>
      </c>
      <c r="M50" s="154">
        <f t="shared" si="50"/>
        <v>8.4</v>
      </c>
      <c r="O50" s="154">
        <f t="shared" si="51"/>
        <v>3977.4</v>
      </c>
      <c r="P50" s="344">
        <f t="shared" si="52"/>
        <v>99857.4</v>
      </c>
    </row>
    <row r="51" spans="1:16" x14ac:dyDescent="0.35">
      <c r="A51" s="155" t="s">
        <v>295</v>
      </c>
      <c r="B51" s="156">
        <v>1</v>
      </c>
      <c r="C51" s="164">
        <v>80000</v>
      </c>
      <c r="D51" s="155"/>
      <c r="E51" s="155"/>
      <c r="F51" s="164">
        <f t="shared" si="53"/>
        <v>80000</v>
      </c>
      <c r="H51" s="154">
        <f t="shared" si="45"/>
        <v>5880</v>
      </c>
      <c r="I51" s="154">
        <f t="shared" si="46"/>
        <v>2000</v>
      </c>
      <c r="J51" s="154">
        <f t="shared" si="47"/>
        <v>1160</v>
      </c>
      <c r="K51" s="225">
        <f t="shared" si="48"/>
        <v>1008</v>
      </c>
      <c r="L51" s="344">
        <f t="shared" si="49"/>
        <v>1360</v>
      </c>
      <c r="M51" s="154">
        <f t="shared" si="50"/>
        <v>8.4</v>
      </c>
      <c r="O51" s="154">
        <f t="shared" si="51"/>
        <v>3536.4</v>
      </c>
      <c r="P51" s="344">
        <f t="shared" si="52"/>
        <v>89416.4</v>
      </c>
    </row>
    <row r="52" spans="1:16" x14ac:dyDescent="0.35">
      <c r="A52" s="155" t="s">
        <v>264</v>
      </c>
      <c r="B52" s="156">
        <v>1</v>
      </c>
      <c r="C52" s="164">
        <v>65000</v>
      </c>
      <c r="D52" s="155"/>
      <c r="E52" s="155"/>
      <c r="F52" s="164">
        <f t="shared" si="53"/>
        <v>65000</v>
      </c>
      <c r="H52" s="154">
        <f t="shared" si="45"/>
        <v>5880</v>
      </c>
      <c r="I52" s="154">
        <f t="shared" si="46"/>
        <v>2000</v>
      </c>
      <c r="J52" s="154">
        <f t="shared" si="47"/>
        <v>942.5</v>
      </c>
      <c r="K52" s="225">
        <f t="shared" si="48"/>
        <v>819</v>
      </c>
      <c r="L52" s="344">
        <f t="shared" si="49"/>
        <v>1105</v>
      </c>
      <c r="M52" s="154">
        <f t="shared" si="50"/>
        <v>8.4</v>
      </c>
      <c r="O52" s="154">
        <f t="shared" si="51"/>
        <v>2874.9</v>
      </c>
      <c r="P52" s="344">
        <f t="shared" si="52"/>
        <v>73754.899999999994</v>
      </c>
    </row>
    <row r="53" spans="1:16" x14ac:dyDescent="0.35">
      <c r="A53" s="155" t="s">
        <v>296</v>
      </c>
      <c r="B53" s="156">
        <v>1</v>
      </c>
      <c r="C53" s="164">
        <v>55000</v>
      </c>
      <c r="D53" s="155"/>
      <c r="E53" s="155"/>
      <c r="F53" s="164">
        <f t="shared" si="53"/>
        <v>55000</v>
      </c>
      <c r="H53" s="154">
        <f t="shared" si="45"/>
        <v>5880</v>
      </c>
      <c r="I53" s="154">
        <f t="shared" si="46"/>
        <v>2000</v>
      </c>
      <c r="J53" s="154">
        <f t="shared" si="47"/>
        <v>797.5</v>
      </c>
      <c r="K53" s="225">
        <f t="shared" si="48"/>
        <v>693</v>
      </c>
      <c r="L53" s="344">
        <f t="shared" si="49"/>
        <v>935.00000000000011</v>
      </c>
      <c r="M53" s="154">
        <f t="shared" si="50"/>
        <v>8.4</v>
      </c>
      <c r="O53" s="154">
        <f t="shared" si="51"/>
        <v>2433.9</v>
      </c>
      <c r="P53" s="344">
        <f t="shared" si="52"/>
        <v>63313.9</v>
      </c>
    </row>
    <row r="54" spans="1:16" x14ac:dyDescent="0.35">
      <c r="A54" s="155" t="s">
        <v>297</v>
      </c>
      <c r="B54" s="156">
        <v>1</v>
      </c>
      <c r="C54" s="164">
        <v>45000</v>
      </c>
      <c r="D54" s="155"/>
      <c r="E54" s="155"/>
      <c r="F54" s="164">
        <f t="shared" si="53"/>
        <v>45000</v>
      </c>
      <c r="H54" s="154">
        <f t="shared" si="45"/>
        <v>5880</v>
      </c>
      <c r="I54" s="154">
        <f t="shared" si="46"/>
        <v>2000</v>
      </c>
      <c r="J54" s="154">
        <f t="shared" si="47"/>
        <v>652.5</v>
      </c>
      <c r="K54" s="225">
        <f t="shared" si="48"/>
        <v>567</v>
      </c>
      <c r="L54" s="344">
        <f t="shared" si="49"/>
        <v>765</v>
      </c>
      <c r="M54" s="154">
        <f t="shared" si="50"/>
        <v>8.4</v>
      </c>
      <c r="O54" s="154">
        <f t="shared" si="51"/>
        <v>1992.9</v>
      </c>
      <c r="P54" s="344">
        <f t="shared" si="52"/>
        <v>52872.9</v>
      </c>
    </row>
    <row r="55" spans="1:16" x14ac:dyDescent="0.35">
      <c r="A55" s="155" t="s">
        <v>298</v>
      </c>
      <c r="B55" s="156">
        <v>1</v>
      </c>
      <c r="C55" s="164">
        <v>35000</v>
      </c>
      <c r="D55" s="155"/>
      <c r="E55" s="155"/>
      <c r="F55" s="164">
        <f t="shared" si="53"/>
        <v>35000</v>
      </c>
      <c r="H55" s="154">
        <f t="shared" si="45"/>
        <v>5880</v>
      </c>
      <c r="I55" s="154">
        <f t="shared" si="46"/>
        <v>2000</v>
      </c>
      <c r="J55" s="154">
        <f t="shared" si="47"/>
        <v>507.5</v>
      </c>
      <c r="K55" s="225">
        <f t="shared" si="48"/>
        <v>441</v>
      </c>
      <c r="L55" s="344">
        <f t="shared" si="49"/>
        <v>595</v>
      </c>
      <c r="M55" s="154">
        <f t="shared" si="50"/>
        <v>8.4</v>
      </c>
      <c r="O55" s="154">
        <f t="shared" si="51"/>
        <v>1551.9</v>
      </c>
      <c r="P55" s="344">
        <f t="shared" si="52"/>
        <v>42431.9</v>
      </c>
    </row>
    <row r="56" spans="1:16" x14ac:dyDescent="0.35">
      <c r="A56" s="155" t="s">
        <v>238</v>
      </c>
      <c r="B56" s="156">
        <v>1</v>
      </c>
      <c r="C56" s="164">
        <v>35000</v>
      </c>
      <c r="D56" s="155"/>
      <c r="E56" s="155"/>
      <c r="F56" s="164">
        <f t="shared" si="53"/>
        <v>35000</v>
      </c>
      <c r="H56" s="154">
        <f t="shared" si="45"/>
        <v>5880</v>
      </c>
      <c r="I56" s="154">
        <f t="shared" si="46"/>
        <v>2000</v>
      </c>
      <c r="J56" s="154">
        <f t="shared" si="47"/>
        <v>507.5</v>
      </c>
      <c r="K56" s="225">
        <f t="shared" si="48"/>
        <v>441</v>
      </c>
      <c r="L56" s="344">
        <f t="shared" si="49"/>
        <v>595</v>
      </c>
      <c r="M56" s="154">
        <f t="shared" si="50"/>
        <v>8.4</v>
      </c>
      <c r="O56" s="154">
        <f t="shared" si="51"/>
        <v>1551.9</v>
      </c>
      <c r="P56" s="344">
        <f t="shared" si="52"/>
        <v>42431.9</v>
      </c>
    </row>
    <row r="57" spans="1:16" x14ac:dyDescent="0.35">
      <c r="B57" s="163"/>
      <c r="H57" s="154">
        <f>SUM(H48:H56)</f>
        <v>64680</v>
      </c>
      <c r="I57" s="154">
        <f t="shared" ref="I57:P57" si="54">SUM(I48:I56)</f>
        <v>22000</v>
      </c>
      <c r="J57" s="154">
        <f t="shared" si="54"/>
        <v>11817.5</v>
      </c>
      <c r="K57" s="154">
        <f t="shared" si="54"/>
        <v>10269</v>
      </c>
      <c r="L57" s="154">
        <f t="shared" si="54"/>
        <v>13855</v>
      </c>
      <c r="M57" s="154">
        <f t="shared" si="54"/>
        <v>92.40000000000002</v>
      </c>
      <c r="N57" s="154">
        <f t="shared" si="54"/>
        <v>0</v>
      </c>
      <c r="O57" s="154">
        <f t="shared" si="54"/>
        <v>36033.900000000009</v>
      </c>
      <c r="P57" s="154">
        <f t="shared" si="54"/>
        <v>915713.90000000014</v>
      </c>
    </row>
    <row r="58" spans="1:16" ht="15.5" x14ac:dyDescent="0.35">
      <c r="B58" s="161">
        <f>SUM(B44:B57)</f>
        <v>14</v>
      </c>
      <c r="C58" s="165"/>
      <c r="F58" s="162">
        <f>SUM(F48:F57)</f>
        <v>815000</v>
      </c>
    </row>
    <row r="60" spans="1:16" ht="15.5" x14ac:dyDescent="0.35">
      <c r="B60" s="166">
        <f>B42+B58</f>
        <v>70</v>
      </c>
      <c r="F60" s="167">
        <f>F42+F46+F58</f>
        <v>4614000</v>
      </c>
    </row>
  </sheetData>
  <mergeCells count="8">
    <mergeCell ref="G3:G4"/>
    <mergeCell ref="A1:F1"/>
    <mergeCell ref="A2:F2"/>
    <mergeCell ref="A3:A4"/>
    <mergeCell ref="B3:B4"/>
    <mergeCell ref="C3:D3"/>
    <mergeCell ref="E3:E4"/>
    <mergeCell ref="F3:F4"/>
  </mergeCells>
  <pageMargins left="0.7" right="0.7" top="0.75" bottom="0.75" header="0.3" footer="0.3"/>
  <pageSetup scale="9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9C377-4D67-41AD-BE5D-88919AD460E2}">
  <dimension ref="A1:P47"/>
  <sheetViews>
    <sheetView topLeftCell="A25" zoomScaleNormal="100" zoomScaleSheetLayoutView="99" workbookViewId="0">
      <selection activeCell="H46" sqref="H46:P46"/>
    </sheetView>
  </sheetViews>
  <sheetFormatPr defaultColWidth="9" defaultRowHeight="14.5" x14ac:dyDescent="0.35"/>
  <cols>
    <col min="1" max="1" width="30.7265625" style="257" customWidth="1"/>
    <col min="2" max="2" width="9.453125" style="257" customWidth="1"/>
    <col min="3" max="5" width="16.54296875" style="257" customWidth="1"/>
    <col min="6" max="6" width="14" style="257" customWidth="1"/>
    <col min="7" max="12" width="9" style="257"/>
    <col min="13" max="13" width="10.1796875" style="257" bestFit="1" customWidth="1"/>
    <col min="14" max="14" width="9" style="257"/>
    <col min="15" max="15" width="13.453125" style="257" bestFit="1" customWidth="1"/>
    <col min="16" max="16" width="15.1796875" style="257" bestFit="1" customWidth="1"/>
    <col min="17" max="16384" width="9" style="257"/>
  </cols>
  <sheetData>
    <row r="1" spans="1:16" ht="29.25" customHeight="1" x14ac:dyDescent="0.35">
      <c r="A1" s="419" t="s">
        <v>299</v>
      </c>
      <c r="B1" s="419"/>
      <c r="C1" s="419"/>
      <c r="D1" s="419"/>
      <c r="E1" s="419"/>
      <c r="F1" s="419"/>
    </row>
    <row r="2" spans="1:16" ht="25.9" customHeight="1" x14ac:dyDescent="0.35">
      <c r="A2" s="420" t="s">
        <v>202</v>
      </c>
      <c r="B2" s="422" t="s">
        <v>203</v>
      </c>
      <c r="C2" s="424" t="s">
        <v>204</v>
      </c>
      <c r="D2" s="425"/>
      <c r="E2" s="426" t="s">
        <v>205</v>
      </c>
      <c r="F2" s="426" t="s">
        <v>300</v>
      </c>
      <c r="G2" s="386" t="s">
        <v>267</v>
      </c>
      <c r="H2" s="341" t="s">
        <v>310</v>
      </c>
      <c r="I2" s="333" t="s">
        <v>311</v>
      </c>
      <c r="J2" s="333" t="s">
        <v>312</v>
      </c>
      <c r="K2" s="333" t="s">
        <v>313</v>
      </c>
      <c r="L2" s="333" t="s">
        <v>314</v>
      </c>
      <c r="M2" s="333" t="s">
        <v>315</v>
      </c>
      <c r="N2" s="333" t="s">
        <v>316</v>
      </c>
      <c r="O2" s="333" t="s">
        <v>317</v>
      </c>
      <c r="P2" s="334" t="s">
        <v>318</v>
      </c>
    </row>
    <row r="3" spans="1:16" ht="24" customHeight="1" x14ac:dyDescent="0.35">
      <c r="A3" s="421"/>
      <c r="B3" s="423"/>
      <c r="C3" s="258" t="s">
        <v>207</v>
      </c>
      <c r="D3" s="258" t="s">
        <v>208</v>
      </c>
      <c r="E3" s="427"/>
      <c r="F3" s="427"/>
      <c r="G3" s="386"/>
      <c r="H3" s="335">
        <f>(0.9*7200)-(50*12)</f>
        <v>5880</v>
      </c>
      <c r="I3" s="336">
        <f>0.018+0.0075</f>
        <v>2.5499999999999998E-2</v>
      </c>
      <c r="J3" s="336">
        <v>1.4500000000000001E-2</v>
      </c>
      <c r="K3" s="336">
        <v>1.26E-2</v>
      </c>
      <c r="L3" s="336">
        <v>1.7000000000000001E-2</v>
      </c>
      <c r="M3" s="336">
        <v>8.4</v>
      </c>
      <c r="N3" s="336"/>
      <c r="O3" s="336"/>
      <c r="P3" s="337" t="s">
        <v>319</v>
      </c>
    </row>
    <row r="4" spans="1:16" x14ac:dyDescent="0.35">
      <c r="A4" s="259" t="s">
        <v>214</v>
      </c>
      <c r="B4" s="260">
        <v>2</v>
      </c>
      <c r="C4" s="261">
        <v>72000</v>
      </c>
      <c r="D4" s="262">
        <f t="shared" ref="D4:D16" si="0">C4+25000</f>
        <v>97000</v>
      </c>
      <c r="E4" s="263">
        <f>C4+4000</f>
        <v>76000</v>
      </c>
      <c r="F4" s="264">
        <f>B4*E4</f>
        <v>152000</v>
      </c>
      <c r="H4" s="348">
        <f>+B4*$H$3</f>
        <v>11760</v>
      </c>
      <c r="I4" s="349">
        <f>+$I$3*F4</f>
        <v>3875.9999999999995</v>
      </c>
      <c r="J4" s="349">
        <f>+$J$3*F4</f>
        <v>2204</v>
      </c>
      <c r="K4" s="350">
        <f>+$K$3*F4</f>
        <v>1915.2</v>
      </c>
      <c r="L4" s="349">
        <f>+$L$3*F4</f>
        <v>2584</v>
      </c>
      <c r="M4" s="349">
        <f>+$M$3*B4</f>
        <v>16.8</v>
      </c>
      <c r="O4" s="349">
        <f>SUM(I4:M4)</f>
        <v>10596</v>
      </c>
      <c r="P4" s="348">
        <f>+F4+H4+O4</f>
        <v>174356</v>
      </c>
    </row>
    <row r="5" spans="1:16" x14ac:dyDescent="0.35">
      <c r="A5" s="259" t="s">
        <v>215</v>
      </c>
      <c r="B5" s="260">
        <v>2</v>
      </c>
      <c r="C5" s="261">
        <v>68000</v>
      </c>
      <c r="D5" s="262">
        <f t="shared" si="0"/>
        <v>93000</v>
      </c>
      <c r="E5" s="263">
        <f t="shared" ref="E5:E18" si="1">C5+4000</f>
        <v>72000</v>
      </c>
      <c r="F5" s="264">
        <f t="shared" ref="F5:F18" si="2">B5*E5</f>
        <v>144000</v>
      </c>
      <c r="H5" s="348">
        <f t="shared" ref="H5:H18" si="3">+B5*$H$3</f>
        <v>11760</v>
      </c>
      <c r="I5" s="349">
        <f t="shared" ref="I5:I18" si="4">+$I$3*F5</f>
        <v>3671.9999999999995</v>
      </c>
      <c r="J5" s="349">
        <f t="shared" ref="J5:J18" si="5">+$J$3*F5</f>
        <v>2088</v>
      </c>
      <c r="K5" s="350">
        <f t="shared" ref="K5:K18" si="6">+$K$3*F5</f>
        <v>1814.4</v>
      </c>
      <c r="L5" s="349">
        <f t="shared" ref="L5:L18" si="7">+$L$3*F5</f>
        <v>2448</v>
      </c>
      <c r="M5" s="349">
        <f t="shared" ref="M5:M18" si="8">+$M$3*B5</f>
        <v>16.8</v>
      </c>
      <c r="O5" s="349">
        <f t="shared" ref="O5:O18" si="9">SUM(I5:M5)</f>
        <v>10039.199999999999</v>
      </c>
      <c r="P5" s="348">
        <f t="shared" ref="P5:P18" si="10">+F5+H5+O5</f>
        <v>165799.20000000001</v>
      </c>
    </row>
    <row r="6" spans="1:16" x14ac:dyDescent="0.35">
      <c r="A6" s="259" t="s">
        <v>216</v>
      </c>
      <c r="B6" s="260">
        <v>1</v>
      </c>
      <c r="C6" s="261">
        <v>68000</v>
      </c>
      <c r="D6" s="262">
        <f t="shared" si="0"/>
        <v>93000</v>
      </c>
      <c r="E6" s="263">
        <f t="shared" si="1"/>
        <v>72000</v>
      </c>
      <c r="F6" s="264">
        <f t="shared" si="2"/>
        <v>72000</v>
      </c>
      <c r="H6" s="348">
        <f t="shared" si="3"/>
        <v>5880</v>
      </c>
      <c r="I6" s="349">
        <f t="shared" si="4"/>
        <v>1835.9999999999998</v>
      </c>
      <c r="J6" s="349">
        <f t="shared" si="5"/>
        <v>1044</v>
      </c>
      <c r="K6" s="350">
        <f t="shared" si="6"/>
        <v>907.2</v>
      </c>
      <c r="L6" s="349">
        <f t="shared" si="7"/>
        <v>1224</v>
      </c>
      <c r="M6" s="349">
        <f t="shared" si="8"/>
        <v>8.4</v>
      </c>
      <c r="O6" s="349">
        <f t="shared" si="9"/>
        <v>5019.5999999999995</v>
      </c>
      <c r="P6" s="348">
        <f t="shared" si="10"/>
        <v>82899.600000000006</v>
      </c>
    </row>
    <row r="7" spans="1:16" x14ac:dyDescent="0.35">
      <c r="A7" s="265" t="s">
        <v>301</v>
      </c>
      <c r="B7" s="260">
        <v>1</v>
      </c>
      <c r="C7" s="261">
        <v>72000</v>
      </c>
      <c r="D7" s="262">
        <f t="shared" si="0"/>
        <v>97000</v>
      </c>
      <c r="E7" s="263">
        <f t="shared" si="1"/>
        <v>76000</v>
      </c>
      <c r="F7" s="264">
        <f t="shared" si="2"/>
        <v>76000</v>
      </c>
      <c r="H7" s="348">
        <f t="shared" si="3"/>
        <v>5880</v>
      </c>
      <c r="I7" s="349">
        <f t="shared" si="4"/>
        <v>1937.9999999999998</v>
      </c>
      <c r="J7" s="349">
        <f t="shared" si="5"/>
        <v>1102</v>
      </c>
      <c r="K7" s="350">
        <f t="shared" si="6"/>
        <v>957.6</v>
      </c>
      <c r="L7" s="349">
        <f t="shared" si="7"/>
        <v>1292</v>
      </c>
      <c r="M7" s="349">
        <f t="shared" si="8"/>
        <v>8.4</v>
      </c>
      <c r="O7" s="349">
        <f t="shared" si="9"/>
        <v>5298</v>
      </c>
      <c r="P7" s="348">
        <f t="shared" si="10"/>
        <v>87178</v>
      </c>
    </row>
    <row r="8" spans="1:16" x14ac:dyDescent="0.35">
      <c r="A8" s="265" t="s">
        <v>218</v>
      </c>
      <c r="B8" s="266">
        <v>1</v>
      </c>
      <c r="C8" s="261">
        <v>65000</v>
      </c>
      <c r="D8" s="262">
        <f t="shared" si="0"/>
        <v>90000</v>
      </c>
      <c r="E8" s="263">
        <f t="shared" si="1"/>
        <v>69000</v>
      </c>
      <c r="F8" s="264">
        <f t="shared" si="2"/>
        <v>69000</v>
      </c>
      <c r="H8" s="348">
        <f t="shared" si="3"/>
        <v>5880</v>
      </c>
      <c r="I8" s="349">
        <f t="shared" si="4"/>
        <v>1759.5</v>
      </c>
      <c r="J8" s="349">
        <f t="shared" si="5"/>
        <v>1000.5</v>
      </c>
      <c r="K8" s="350">
        <f t="shared" si="6"/>
        <v>869.4</v>
      </c>
      <c r="L8" s="349">
        <f t="shared" si="7"/>
        <v>1173</v>
      </c>
      <c r="M8" s="349">
        <f t="shared" si="8"/>
        <v>8.4</v>
      </c>
      <c r="O8" s="349">
        <f t="shared" si="9"/>
        <v>4810.7999999999993</v>
      </c>
      <c r="P8" s="348">
        <f t="shared" si="10"/>
        <v>79690.8</v>
      </c>
    </row>
    <row r="9" spans="1:16" x14ac:dyDescent="0.35">
      <c r="A9" s="259" t="s">
        <v>219</v>
      </c>
      <c r="B9" s="260">
        <v>2</v>
      </c>
      <c r="C9" s="261">
        <v>72000</v>
      </c>
      <c r="D9" s="262">
        <f t="shared" si="0"/>
        <v>97000</v>
      </c>
      <c r="E9" s="263">
        <f t="shared" si="1"/>
        <v>76000</v>
      </c>
      <c r="F9" s="264">
        <f t="shared" si="2"/>
        <v>152000</v>
      </c>
      <c r="H9" s="348">
        <f t="shared" si="3"/>
        <v>11760</v>
      </c>
      <c r="I9" s="349">
        <f t="shared" si="4"/>
        <v>3875.9999999999995</v>
      </c>
      <c r="J9" s="349">
        <f t="shared" si="5"/>
        <v>2204</v>
      </c>
      <c r="K9" s="350">
        <f t="shared" si="6"/>
        <v>1915.2</v>
      </c>
      <c r="L9" s="349">
        <f t="shared" si="7"/>
        <v>2584</v>
      </c>
      <c r="M9" s="349">
        <f t="shared" si="8"/>
        <v>16.8</v>
      </c>
      <c r="O9" s="349">
        <f t="shared" si="9"/>
        <v>10596</v>
      </c>
      <c r="P9" s="348">
        <f t="shared" si="10"/>
        <v>174356</v>
      </c>
    </row>
    <row r="10" spans="1:16" x14ac:dyDescent="0.35">
      <c r="A10" s="259" t="s">
        <v>289</v>
      </c>
      <c r="B10" s="260">
        <v>2</v>
      </c>
      <c r="C10" s="261">
        <v>68000</v>
      </c>
      <c r="D10" s="262">
        <f t="shared" si="0"/>
        <v>93000</v>
      </c>
      <c r="E10" s="263">
        <f t="shared" si="1"/>
        <v>72000</v>
      </c>
      <c r="F10" s="264">
        <f t="shared" si="2"/>
        <v>144000</v>
      </c>
      <c r="H10" s="348">
        <f t="shared" si="3"/>
        <v>11760</v>
      </c>
      <c r="I10" s="349">
        <f t="shared" si="4"/>
        <v>3671.9999999999995</v>
      </c>
      <c r="J10" s="349">
        <f t="shared" si="5"/>
        <v>2088</v>
      </c>
      <c r="K10" s="350">
        <f t="shared" si="6"/>
        <v>1814.4</v>
      </c>
      <c r="L10" s="349">
        <f t="shared" si="7"/>
        <v>2448</v>
      </c>
      <c r="M10" s="349">
        <f t="shared" si="8"/>
        <v>16.8</v>
      </c>
      <c r="O10" s="349">
        <f t="shared" si="9"/>
        <v>10039.199999999999</v>
      </c>
      <c r="P10" s="348">
        <f t="shared" si="10"/>
        <v>165799.20000000001</v>
      </c>
    </row>
    <row r="11" spans="1:16" x14ac:dyDescent="0.35">
      <c r="A11" s="259" t="s">
        <v>221</v>
      </c>
      <c r="B11" s="260">
        <v>1</v>
      </c>
      <c r="C11" s="261">
        <v>68000</v>
      </c>
      <c r="D11" s="262">
        <f t="shared" si="0"/>
        <v>93000</v>
      </c>
      <c r="E11" s="263">
        <f t="shared" si="1"/>
        <v>72000</v>
      </c>
      <c r="F11" s="264">
        <f t="shared" si="2"/>
        <v>72000</v>
      </c>
      <c r="H11" s="348">
        <f t="shared" si="3"/>
        <v>5880</v>
      </c>
      <c r="I11" s="349">
        <f t="shared" si="4"/>
        <v>1835.9999999999998</v>
      </c>
      <c r="J11" s="349">
        <f t="shared" si="5"/>
        <v>1044</v>
      </c>
      <c r="K11" s="350">
        <f t="shared" si="6"/>
        <v>907.2</v>
      </c>
      <c r="L11" s="349">
        <f t="shared" si="7"/>
        <v>1224</v>
      </c>
      <c r="M11" s="349">
        <f t="shared" si="8"/>
        <v>8.4</v>
      </c>
      <c r="O11" s="349">
        <f t="shared" si="9"/>
        <v>5019.5999999999995</v>
      </c>
      <c r="P11" s="348">
        <f t="shared" si="10"/>
        <v>82899.600000000006</v>
      </c>
    </row>
    <row r="12" spans="1:16" x14ac:dyDescent="0.35">
      <c r="A12" s="265" t="s">
        <v>302</v>
      </c>
      <c r="B12" s="260">
        <v>1</v>
      </c>
      <c r="C12" s="261">
        <v>72000</v>
      </c>
      <c r="D12" s="262">
        <f t="shared" si="0"/>
        <v>97000</v>
      </c>
      <c r="E12" s="263">
        <f t="shared" si="1"/>
        <v>76000</v>
      </c>
      <c r="F12" s="264">
        <f t="shared" si="2"/>
        <v>76000</v>
      </c>
      <c r="H12" s="348">
        <f t="shared" si="3"/>
        <v>5880</v>
      </c>
      <c r="I12" s="349">
        <f t="shared" si="4"/>
        <v>1937.9999999999998</v>
      </c>
      <c r="J12" s="349">
        <f t="shared" si="5"/>
        <v>1102</v>
      </c>
      <c r="K12" s="350">
        <f t="shared" si="6"/>
        <v>957.6</v>
      </c>
      <c r="L12" s="349">
        <f t="shared" si="7"/>
        <v>1292</v>
      </c>
      <c r="M12" s="349">
        <f t="shared" si="8"/>
        <v>8.4</v>
      </c>
      <c r="O12" s="349">
        <f t="shared" si="9"/>
        <v>5298</v>
      </c>
      <c r="P12" s="348">
        <f t="shared" si="10"/>
        <v>87178</v>
      </c>
    </row>
    <row r="13" spans="1:16" x14ac:dyDescent="0.35">
      <c r="A13" s="265" t="s">
        <v>223</v>
      </c>
      <c r="B13" s="266">
        <v>1</v>
      </c>
      <c r="C13" s="261">
        <v>65000</v>
      </c>
      <c r="D13" s="262">
        <f t="shared" si="0"/>
        <v>90000</v>
      </c>
      <c r="E13" s="263">
        <f t="shared" si="1"/>
        <v>69000</v>
      </c>
      <c r="F13" s="264">
        <f t="shared" si="2"/>
        <v>69000</v>
      </c>
      <c r="H13" s="348">
        <f t="shared" si="3"/>
        <v>5880</v>
      </c>
      <c r="I13" s="349">
        <f t="shared" si="4"/>
        <v>1759.5</v>
      </c>
      <c r="J13" s="349">
        <f t="shared" si="5"/>
        <v>1000.5</v>
      </c>
      <c r="K13" s="350">
        <f t="shared" si="6"/>
        <v>869.4</v>
      </c>
      <c r="L13" s="349">
        <f t="shared" si="7"/>
        <v>1173</v>
      </c>
      <c r="M13" s="349">
        <f t="shared" si="8"/>
        <v>8.4</v>
      </c>
      <c r="O13" s="349">
        <f t="shared" si="9"/>
        <v>4810.7999999999993</v>
      </c>
      <c r="P13" s="348">
        <f t="shared" si="10"/>
        <v>79690.8</v>
      </c>
    </row>
    <row r="14" spans="1:16" x14ac:dyDescent="0.35">
      <c r="A14" s="155" t="s">
        <v>224</v>
      </c>
      <c r="B14" s="161">
        <v>3</v>
      </c>
      <c r="C14" s="157">
        <v>56000</v>
      </c>
      <c r="D14" s="157">
        <f t="shared" si="0"/>
        <v>81000</v>
      </c>
      <c r="E14" s="158">
        <f>C14+4000</f>
        <v>60000</v>
      </c>
      <c r="F14" s="158">
        <f t="shared" si="2"/>
        <v>180000</v>
      </c>
      <c r="H14" s="348">
        <f t="shared" si="3"/>
        <v>17640</v>
      </c>
      <c r="I14" s="349">
        <f t="shared" si="4"/>
        <v>4590</v>
      </c>
      <c r="J14" s="349">
        <f t="shared" si="5"/>
        <v>2610</v>
      </c>
      <c r="K14" s="350">
        <f t="shared" si="6"/>
        <v>2268</v>
      </c>
      <c r="L14" s="349">
        <f t="shared" si="7"/>
        <v>3060</v>
      </c>
      <c r="M14" s="349">
        <f t="shared" si="8"/>
        <v>25.200000000000003</v>
      </c>
      <c r="O14" s="349">
        <f t="shared" si="9"/>
        <v>12553.2</v>
      </c>
      <c r="P14" s="348">
        <f t="shared" si="10"/>
        <v>210193.2</v>
      </c>
    </row>
    <row r="15" spans="1:16" x14ac:dyDescent="0.35">
      <c r="A15" s="259" t="s">
        <v>225</v>
      </c>
      <c r="B15" s="267">
        <v>1</v>
      </c>
      <c r="C15" s="261">
        <v>68000</v>
      </c>
      <c r="D15" s="262">
        <f t="shared" si="0"/>
        <v>93000</v>
      </c>
      <c r="E15" s="263">
        <f t="shared" si="1"/>
        <v>72000</v>
      </c>
      <c r="F15" s="264">
        <f t="shared" si="2"/>
        <v>72000</v>
      </c>
      <c r="H15" s="348">
        <f t="shared" si="3"/>
        <v>5880</v>
      </c>
      <c r="I15" s="349">
        <f t="shared" si="4"/>
        <v>1835.9999999999998</v>
      </c>
      <c r="J15" s="349">
        <f t="shared" si="5"/>
        <v>1044</v>
      </c>
      <c r="K15" s="350">
        <f t="shared" si="6"/>
        <v>907.2</v>
      </c>
      <c r="L15" s="349">
        <f t="shared" si="7"/>
        <v>1224</v>
      </c>
      <c r="M15" s="349">
        <f t="shared" si="8"/>
        <v>8.4</v>
      </c>
      <c r="O15" s="349">
        <f t="shared" si="9"/>
        <v>5019.5999999999995</v>
      </c>
      <c r="P15" s="348">
        <f t="shared" si="10"/>
        <v>82899.600000000006</v>
      </c>
    </row>
    <row r="16" spans="1:16" x14ac:dyDescent="0.35">
      <c r="A16" s="259" t="s">
        <v>226</v>
      </c>
      <c r="B16" s="260">
        <v>1</v>
      </c>
      <c r="C16" s="261">
        <v>68000</v>
      </c>
      <c r="D16" s="262">
        <f t="shared" si="0"/>
        <v>93000</v>
      </c>
      <c r="E16" s="263">
        <f t="shared" si="1"/>
        <v>72000</v>
      </c>
      <c r="F16" s="264">
        <f t="shared" si="2"/>
        <v>72000</v>
      </c>
      <c r="H16" s="348">
        <f t="shared" si="3"/>
        <v>5880</v>
      </c>
      <c r="I16" s="349">
        <f t="shared" si="4"/>
        <v>1835.9999999999998</v>
      </c>
      <c r="J16" s="349">
        <f t="shared" si="5"/>
        <v>1044</v>
      </c>
      <c r="K16" s="350">
        <f t="shared" si="6"/>
        <v>907.2</v>
      </c>
      <c r="L16" s="349">
        <f t="shared" si="7"/>
        <v>1224</v>
      </c>
      <c r="M16" s="349">
        <f t="shared" si="8"/>
        <v>8.4</v>
      </c>
      <c r="O16" s="349">
        <f t="shared" si="9"/>
        <v>5019.5999999999995</v>
      </c>
      <c r="P16" s="348">
        <f t="shared" si="10"/>
        <v>82899.600000000006</v>
      </c>
    </row>
    <row r="17" spans="1:16" x14ac:dyDescent="0.35">
      <c r="A17" s="259" t="s">
        <v>227</v>
      </c>
      <c r="B17" s="267">
        <v>5</v>
      </c>
      <c r="C17" s="262">
        <v>52000</v>
      </c>
      <c r="D17" s="262">
        <v>60000</v>
      </c>
      <c r="E17" s="263">
        <f t="shared" si="1"/>
        <v>56000</v>
      </c>
      <c r="F17" s="264">
        <f t="shared" si="2"/>
        <v>280000</v>
      </c>
      <c r="H17" s="348">
        <f t="shared" si="3"/>
        <v>29400</v>
      </c>
      <c r="I17" s="349">
        <f t="shared" si="4"/>
        <v>7139.9999999999991</v>
      </c>
      <c r="J17" s="349">
        <f t="shared" si="5"/>
        <v>4060</v>
      </c>
      <c r="K17" s="350">
        <f t="shared" si="6"/>
        <v>3528</v>
      </c>
      <c r="L17" s="349">
        <f t="shared" si="7"/>
        <v>4760</v>
      </c>
      <c r="M17" s="349">
        <f t="shared" si="8"/>
        <v>42</v>
      </c>
      <c r="O17" s="349">
        <f t="shared" si="9"/>
        <v>19530</v>
      </c>
      <c r="P17" s="348">
        <f t="shared" si="10"/>
        <v>328930</v>
      </c>
    </row>
    <row r="18" spans="1:16" x14ac:dyDescent="0.35">
      <c r="A18" s="259" t="s">
        <v>228</v>
      </c>
      <c r="B18" s="267">
        <v>2</v>
      </c>
      <c r="C18" s="262">
        <v>62000</v>
      </c>
      <c r="D18" s="262">
        <v>70000</v>
      </c>
      <c r="E18" s="263">
        <f t="shared" si="1"/>
        <v>66000</v>
      </c>
      <c r="F18" s="264">
        <f t="shared" si="2"/>
        <v>132000</v>
      </c>
      <c r="H18" s="348">
        <f t="shared" si="3"/>
        <v>11760</v>
      </c>
      <c r="I18" s="349">
        <f t="shared" si="4"/>
        <v>3366</v>
      </c>
      <c r="J18" s="349">
        <f t="shared" si="5"/>
        <v>1914</v>
      </c>
      <c r="K18" s="350">
        <f t="shared" si="6"/>
        <v>1663.2</v>
      </c>
      <c r="L18" s="349">
        <f t="shared" si="7"/>
        <v>2244</v>
      </c>
      <c r="M18" s="349">
        <f t="shared" si="8"/>
        <v>16.8</v>
      </c>
      <c r="O18" s="349">
        <f t="shared" si="9"/>
        <v>9204</v>
      </c>
      <c r="P18" s="348">
        <f t="shared" si="10"/>
        <v>152964</v>
      </c>
    </row>
    <row r="19" spans="1:16" x14ac:dyDescent="0.35">
      <c r="A19" s="259"/>
      <c r="B19" s="260"/>
      <c r="C19" s="259"/>
      <c r="D19" s="259"/>
      <c r="E19" s="259"/>
      <c r="F19" s="268"/>
      <c r="H19" s="348">
        <f>SUM(H4:H18)</f>
        <v>152880</v>
      </c>
      <c r="I19" s="348">
        <f t="shared" ref="I19:P19" si="11">SUM(I4:I18)</f>
        <v>44930.999999999993</v>
      </c>
      <c r="J19" s="348">
        <f t="shared" si="11"/>
        <v>25549</v>
      </c>
      <c r="K19" s="348">
        <f t="shared" si="11"/>
        <v>22201.200000000001</v>
      </c>
      <c r="L19" s="348">
        <f t="shared" si="11"/>
        <v>29954</v>
      </c>
      <c r="M19" s="348">
        <f t="shared" si="11"/>
        <v>218.40000000000003</v>
      </c>
      <c r="N19" s="348">
        <f t="shared" si="11"/>
        <v>0</v>
      </c>
      <c r="O19" s="348">
        <f t="shared" si="11"/>
        <v>122853.6</v>
      </c>
      <c r="P19" s="348">
        <f t="shared" si="11"/>
        <v>2037733.6</v>
      </c>
    </row>
    <row r="20" spans="1:16" ht="15.5" x14ac:dyDescent="0.35">
      <c r="B20" s="269">
        <f>SUM(B4:B19)</f>
        <v>26</v>
      </c>
      <c r="E20" s="270" t="s">
        <v>303</v>
      </c>
      <c r="F20" s="271">
        <f>SUM(F4:F19)</f>
        <v>1762000</v>
      </c>
    </row>
    <row r="21" spans="1:16" x14ac:dyDescent="0.35">
      <c r="B21" s="269"/>
      <c r="F21" s="272"/>
    </row>
    <row r="22" spans="1:16" x14ac:dyDescent="0.35">
      <c r="A22" s="259" t="s">
        <v>229</v>
      </c>
      <c r="B22" s="267">
        <v>2</v>
      </c>
      <c r="C22" s="261">
        <v>68000</v>
      </c>
      <c r="D22" s="262">
        <f>C22+25000</f>
        <v>93000</v>
      </c>
      <c r="E22" s="263">
        <f>C22+4000</f>
        <v>72000</v>
      </c>
      <c r="F22" s="264">
        <f>B22*E22</f>
        <v>144000</v>
      </c>
      <c r="H22" s="348">
        <f t="shared" ref="H22" si="12">+B22*$H$3</f>
        <v>11760</v>
      </c>
      <c r="I22" s="349">
        <f t="shared" ref="I22" si="13">+$I$3*F22</f>
        <v>3671.9999999999995</v>
      </c>
      <c r="J22" s="349">
        <f t="shared" ref="J22" si="14">+$J$3*F22</f>
        <v>2088</v>
      </c>
      <c r="K22" s="350">
        <f t="shared" ref="K22" si="15">+$K$3*F22</f>
        <v>1814.4</v>
      </c>
      <c r="L22" s="349">
        <f t="shared" ref="L22" si="16">+$L$3*F22</f>
        <v>2448</v>
      </c>
      <c r="M22" s="349">
        <f t="shared" ref="M22" si="17">+$M$3*B22</f>
        <v>16.8</v>
      </c>
      <c r="O22" s="349">
        <f t="shared" ref="O22" si="18">SUM(I22:M22)</f>
        <v>10039.199999999999</v>
      </c>
      <c r="P22" s="348">
        <f t="shared" ref="P22" si="19">+F22+H22+O22</f>
        <v>165799.20000000001</v>
      </c>
    </row>
    <row r="23" spans="1:16" x14ac:dyDescent="0.35">
      <c r="A23" s="259" t="s">
        <v>230</v>
      </c>
      <c r="B23" s="260">
        <v>1</v>
      </c>
      <c r="C23" s="262">
        <v>52000</v>
      </c>
      <c r="D23" s="262">
        <v>65000</v>
      </c>
      <c r="E23" s="263">
        <f>C23+4000</f>
        <v>56000</v>
      </c>
      <c r="F23" s="264">
        <f>B23*E23</f>
        <v>56000</v>
      </c>
      <c r="H23" s="348">
        <f t="shared" ref="H23" si="20">+B23*$H$3</f>
        <v>5880</v>
      </c>
      <c r="I23" s="349">
        <f t="shared" ref="I23" si="21">+$I$3*F23</f>
        <v>1428</v>
      </c>
      <c r="J23" s="349">
        <f t="shared" ref="J23" si="22">+$J$3*F23</f>
        <v>812</v>
      </c>
      <c r="K23" s="350">
        <f t="shared" ref="K23" si="23">+$K$3*F23</f>
        <v>705.6</v>
      </c>
      <c r="L23" s="349">
        <f t="shared" ref="L23" si="24">+$L$3*F23</f>
        <v>952.00000000000011</v>
      </c>
      <c r="M23" s="349">
        <f t="shared" ref="M23" si="25">+$M$3*B23</f>
        <v>8.4</v>
      </c>
      <c r="O23" s="349">
        <f t="shared" ref="O23" si="26">SUM(I23:M23)</f>
        <v>3906</v>
      </c>
      <c r="P23" s="348">
        <f t="shared" ref="P23" si="27">+F23+H23+O23</f>
        <v>65786</v>
      </c>
    </row>
    <row r="24" spans="1:16" x14ac:dyDescent="0.35">
      <c r="B24" s="269"/>
      <c r="F24" s="272"/>
      <c r="H24" s="348">
        <f>SUM(H22:H23)</f>
        <v>17640</v>
      </c>
      <c r="I24" s="348">
        <f t="shared" ref="I24:P24" si="28">SUM(I22:I23)</f>
        <v>5100</v>
      </c>
      <c r="J24" s="348">
        <f t="shared" si="28"/>
        <v>2900</v>
      </c>
      <c r="K24" s="348">
        <f t="shared" si="28"/>
        <v>2520</v>
      </c>
      <c r="L24" s="348">
        <f t="shared" si="28"/>
        <v>3400</v>
      </c>
      <c r="M24" s="348">
        <f t="shared" si="28"/>
        <v>25.200000000000003</v>
      </c>
      <c r="N24" s="348">
        <f t="shared" si="28"/>
        <v>0</v>
      </c>
      <c r="O24" s="348">
        <f t="shared" si="28"/>
        <v>13945.199999999999</v>
      </c>
      <c r="P24" s="348">
        <f t="shared" si="28"/>
        <v>231585.2</v>
      </c>
    </row>
    <row r="25" spans="1:16" ht="15.5" x14ac:dyDescent="0.35">
      <c r="B25" s="269">
        <f>SUM(B22:B24)</f>
        <v>3</v>
      </c>
      <c r="F25" s="271">
        <f>SUM(F22:F24)</f>
        <v>200000</v>
      </c>
    </row>
    <row r="26" spans="1:16" x14ac:dyDescent="0.35">
      <c r="B26" s="269"/>
      <c r="F26" s="272"/>
    </row>
    <row r="27" spans="1:16" x14ac:dyDescent="0.35">
      <c r="A27" s="259" t="s">
        <v>231</v>
      </c>
      <c r="B27" s="260">
        <v>1</v>
      </c>
      <c r="E27" s="263">
        <v>135000</v>
      </c>
      <c r="F27" s="268">
        <f>B27*E27</f>
        <v>135000</v>
      </c>
      <c r="H27" s="348">
        <f t="shared" ref="H27:H34" si="29">+B27*$H$3</f>
        <v>5880</v>
      </c>
      <c r="I27" s="349">
        <f t="shared" ref="I27:I34" si="30">+$I$3*F27</f>
        <v>3442.5</v>
      </c>
      <c r="J27" s="349">
        <f t="shared" ref="J27:J34" si="31">+$J$3*F27</f>
        <v>1957.5</v>
      </c>
      <c r="K27" s="350">
        <f t="shared" ref="K27:K34" si="32">+$K$3*F27</f>
        <v>1701</v>
      </c>
      <c r="L27" s="349">
        <f t="shared" ref="L27:L34" si="33">+$L$3*F27</f>
        <v>2295</v>
      </c>
      <c r="M27" s="349">
        <f t="shared" ref="M27:M34" si="34">+$M$3*B27</f>
        <v>8.4</v>
      </c>
      <c r="O27" s="349">
        <f t="shared" ref="O27:O34" si="35">SUM(I27:M27)</f>
        <v>9404.4</v>
      </c>
      <c r="P27" s="348">
        <f t="shared" ref="P27:P34" si="36">+F27+H27+O27</f>
        <v>150284.4</v>
      </c>
    </row>
    <row r="28" spans="1:16" x14ac:dyDescent="0.35">
      <c r="A28" s="259" t="s">
        <v>232</v>
      </c>
      <c r="B28" s="260">
        <v>2</v>
      </c>
      <c r="E28" s="263">
        <v>90000</v>
      </c>
      <c r="F28" s="268">
        <f t="shared" ref="F28:F34" si="37">B28*E28</f>
        <v>180000</v>
      </c>
      <c r="H28" s="348">
        <f t="shared" si="29"/>
        <v>11760</v>
      </c>
      <c r="I28" s="349">
        <f t="shared" si="30"/>
        <v>4590</v>
      </c>
      <c r="J28" s="349">
        <f t="shared" si="31"/>
        <v>2610</v>
      </c>
      <c r="K28" s="350">
        <f t="shared" si="32"/>
        <v>2268</v>
      </c>
      <c r="L28" s="349">
        <f t="shared" si="33"/>
        <v>3060</v>
      </c>
      <c r="M28" s="349">
        <f t="shared" si="34"/>
        <v>16.8</v>
      </c>
      <c r="O28" s="349">
        <f t="shared" si="35"/>
        <v>12544.8</v>
      </c>
      <c r="P28" s="348">
        <f t="shared" si="36"/>
        <v>204304.8</v>
      </c>
    </row>
    <row r="29" spans="1:16" x14ac:dyDescent="0.35">
      <c r="A29" s="259" t="s">
        <v>233</v>
      </c>
      <c r="B29" s="260">
        <v>0.5</v>
      </c>
      <c r="E29" s="263">
        <v>65000</v>
      </c>
      <c r="F29" s="268">
        <f t="shared" si="37"/>
        <v>32500</v>
      </c>
      <c r="H29" s="348">
        <f t="shared" si="29"/>
        <v>2940</v>
      </c>
      <c r="I29" s="349">
        <f t="shared" si="30"/>
        <v>828.75</v>
      </c>
      <c r="J29" s="349">
        <f t="shared" si="31"/>
        <v>471.25</v>
      </c>
      <c r="K29" s="350">
        <f t="shared" si="32"/>
        <v>409.5</v>
      </c>
      <c r="L29" s="349">
        <f t="shared" si="33"/>
        <v>552.5</v>
      </c>
      <c r="M29" s="349">
        <f t="shared" si="34"/>
        <v>4.2</v>
      </c>
      <c r="O29" s="349">
        <f t="shared" si="35"/>
        <v>2266.1999999999998</v>
      </c>
      <c r="P29" s="348">
        <f t="shared" si="36"/>
        <v>37706.199999999997</v>
      </c>
    </row>
    <row r="30" spans="1:16" x14ac:dyDescent="0.35">
      <c r="A30" s="259" t="s">
        <v>234</v>
      </c>
      <c r="B30" s="260">
        <v>0.5</v>
      </c>
      <c r="E30" s="263">
        <v>65000</v>
      </c>
      <c r="F30" s="268">
        <f t="shared" si="37"/>
        <v>32500</v>
      </c>
      <c r="H30" s="348">
        <f t="shared" si="29"/>
        <v>2940</v>
      </c>
      <c r="I30" s="349">
        <f t="shared" si="30"/>
        <v>828.75</v>
      </c>
      <c r="J30" s="349">
        <f t="shared" si="31"/>
        <v>471.25</v>
      </c>
      <c r="K30" s="350">
        <f t="shared" si="32"/>
        <v>409.5</v>
      </c>
      <c r="L30" s="349">
        <f t="shared" si="33"/>
        <v>552.5</v>
      </c>
      <c r="M30" s="349">
        <f t="shared" si="34"/>
        <v>4.2</v>
      </c>
      <c r="O30" s="349">
        <f t="shared" si="35"/>
        <v>2266.1999999999998</v>
      </c>
      <c r="P30" s="348">
        <f t="shared" si="36"/>
        <v>37706.199999999997</v>
      </c>
    </row>
    <row r="31" spans="1:16" x14ac:dyDescent="0.35">
      <c r="A31" s="259" t="s">
        <v>235</v>
      </c>
      <c r="B31" s="260">
        <v>1</v>
      </c>
      <c r="E31" s="263">
        <v>72000</v>
      </c>
      <c r="F31" s="268">
        <v>0</v>
      </c>
      <c r="H31" s="348">
        <f t="shared" si="29"/>
        <v>5880</v>
      </c>
      <c r="I31" s="349">
        <f t="shared" si="30"/>
        <v>0</v>
      </c>
      <c r="J31" s="349">
        <f t="shared" si="31"/>
        <v>0</v>
      </c>
      <c r="K31" s="350">
        <f t="shared" si="32"/>
        <v>0</v>
      </c>
      <c r="L31" s="349">
        <f t="shared" si="33"/>
        <v>0</v>
      </c>
      <c r="M31" s="349">
        <f t="shared" si="34"/>
        <v>8.4</v>
      </c>
      <c r="O31" s="349">
        <f t="shared" si="35"/>
        <v>8.4</v>
      </c>
      <c r="P31" s="348">
        <f t="shared" si="36"/>
        <v>5888.4</v>
      </c>
    </row>
    <row r="32" spans="1:16" x14ac:dyDescent="0.35">
      <c r="A32" s="259" t="s">
        <v>236</v>
      </c>
      <c r="B32" s="260">
        <v>1</v>
      </c>
      <c r="E32" s="263">
        <v>57000</v>
      </c>
      <c r="F32" s="268">
        <f t="shared" si="37"/>
        <v>57000</v>
      </c>
      <c r="H32" s="348">
        <f t="shared" si="29"/>
        <v>5880</v>
      </c>
      <c r="I32" s="349">
        <f t="shared" si="30"/>
        <v>1453.5</v>
      </c>
      <c r="J32" s="349">
        <f t="shared" si="31"/>
        <v>826.5</v>
      </c>
      <c r="K32" s="350">
        <f t="shared" si="32"/>
        <v>718.2</v>
      </c>
      <c r="L32" s="349">
        <f t="shared" si="33"/>
        <v>969.00000000000011</v>
      </c>
      <c r="M32" s="349">
        <f t="shared" si="34"/>
        <v>8.4</v>
      </c>
      <c r="O32" s="349">
        <f t="shared" si="35"/>
        <v>3975.6</v>
      </c>
      <c r="P32" s="348">
        <f t="shared" si="36"/>
        <v>66855.600000000006</v>
      </c>
    </row>
    <row r="33" spans="1:16" x14ac:dyDescent="0.35">
      <c r="A33" s="259" t="s">
        <v>237</v>
      </c>
      <c r="B33" s="260">
        <v>1</v>
      </c>
      <c r="E33" s="263">
        <v>37000</v>
      </c>
      <c r="F33" s="268">
        <f t="shared" si="37"/>
        <v>37000</v>
      </c>
      <c r="H33" s="348">
        <f t="shared" si="29"/>
        <v>5880</v>
      </c>
      <c r="I33" s="349">
        <f t="shared" si="30"/>
        <v>943.49999999999989</v>
      </c>
      <c r="J33" s="349">
        <f t="shared" si="31"/>
        <v>536.5</v>
      </c>
      <c r="K33" s="350">
        <f t="shared" si="32"/>
        <v>466.2</v>
      </c>
      <c r="L33" s="349">
        <f t="shared" si="33"/>
        <v>629</v>
      </c>
      <c r="M33" s="349">
        <f t="shared" si="34"/>
        <v>8.4</v>
      </c>
      <c r="O33" s="349">
        <f t="shared" si="35"/>
        <v>2583.6</v>
      </c>
      <c r="P33" s="348">
        <f t="shared" si="36"/>
        <v>45463.6</v>
      </c>
    </row>
    <row r="34" spans="1:16" x14ac:dyDescent="0.35">
      <c r="A34" s="259" t="s">
        <v>238</v>
      </c>
      <c r="B34" s="260">
        <v>1</v>
      </c>
      <c r="E34" s="263">
        <v>37000</v>
      </c>
      <c r="F34" s="268">
        <f t="shared" si="37"/>
        <v>37000</v>
      </c>
      <c r="H34" s="348">
        <f t="shared" si="29"/>
        <v>5880</v>
      </c>
      <c r="I34" s="349">
        <f t="shared" si="30"/>
        <v>943.49999999999989</v>
      </c>
      <c r="J34" s="349">
        <f t="shared" si="31"/>
        <v>536.5</v>
      </c>
      <c r="K34" s="350">
        <f t="shared" si="32"/>
        <v>466.2</v>
      </c>
      <c r="L34" s="349">
        <f t="shared" si="33"/>
        <v>629</v>
      </c>
      <c r="M34" s="349">
        <f t="shared" si="34"/>
        <v>8.4</v>
      </c>
      <c r="O34" s="349">
        <f t="shared" si="35"/>
        <v>2583.6</v>
      </c>
      <c r="P34" s="348">
        <f t="shared" si="36"/>
        <v>45463.6</v>
      </c>
    </row>
    <row r="35" spans="1:16" x14ac:dyDescent="0.35">
      <c r="B35" s="269"/>
      <c r="F35" s="272"/>
      <c r="H35" s="348">
        <f>SUM(H27:H34)</f>
        <v>47040</v>
      </c>
      <c r="I35" s="348">
        <f t="shared" ref="I35:P35" si="38">SUM(I27:I34)</f>
        <v>13030.5</v>
      </c>
      <c r="J35" s="348">
        <f t="shared" si="38"/>
        <v>7409.5</v>
      </c>
      <c r="K35" s="348">
        <f t="shared" si="38"/>
        <v>6438.5999999999995</v>
      </c>
      <c r="L35" s="348">
        <f t="shared" si="38"/>
        <v>8687</v>
      </c>
      <c r="M35" s="348">
        <f t="shared" si="38"/>
        <v>67.2</v>
      </c>
      <c r="N35" s="348">
        <f t="shared" si="38"/>
        <v>0</v>
      </c>
      <c r="O35" s="348">
        <f t="shared" si="38"/>
        <v>35632.799999999996</v>
      </c>
      <c r="P35" s="348">
        <f t="shared" si="38"/>
        <v>593672.79999999993</v>
      </c>
    </row>
    <row r="36" spans="1:16" ht="15.5" x14ac:dyDescent="0.35">
      <c r="B36" s="269">
        <f>SUM(B27:B34)</f>
        <v>8</v>
      </c>
      <c r="E36" s="270" t="s">
        <v>303</v>
      </c>
      <c r="F36" s="271">
        <f>SUM(F27:F34)</f>
        <v>511000</v>
      </c>
    </row>
    <row r="37" spans="1:16" x14ac:dyDescent="0.35">
      <c r="B37" s="269"/>
      <c r="F37" s="272"/>
    </row>
    <row r="38" spans="1:16" ht="18.5" x14ac:dyDescent="0.35">
      <c r="A38" s="273" t="s">
        <v>304</v>
      </c>
      <c r="B38" s="274">
        <f>B20+B25+B36</f>
        <v>37</v>
      </c>
      <c r="E38" s="275" t="s">
        <v>239</v>
      </c>
      <c r="F38" s="276">
        <f>F20+F25+F36</f>
        <v>2473000</v>
      </c>
    </row>
    <row r="39" spans="1:16" x14ac:dyDescent="0.35">
      <c r="B39" s="269"/>
    </row>
    <row r="41" spans="1:16" x14ac:dyDescent="0.35">
      <c r="A41" s="277" t="s">
        <v>305</v>
      </c>
    </row>
    <row r="42" spans="1:16" x14ac:dyDescent="0.35">
      <c r="A42" s="259" t="s">
        <v>306</v>
      </c>
      <c r="B42" s="260">
        <v>1</v>
      </c>
      <c r="E42" s="263">
        <v>73000</v>
      </c>
      <c r="F42" s="263">
        <f>B42*E42</f>
        <v>73000</v>
      </c>
      <c r="H42" s="348">
        <f t="shared" ref="H42:H45" si="39">+B42*$H$3</f>
        <v>5880</v>
      </c>
      <c r="I42" s="349">
        <f t="shared" ref="I42:I45" si="40">+$I$3*F42</f>
        <v>1861.4999999999998</v>
      </c>
      <c r="J42" s="349">
        <f t="shared" ref="J42:J45" si="41">+$J$3*F42</f>
        <v>1058.5</v>
      </c>
      <c r="K42" s="350">
        <f t="shared" ref="K42:K45" si="42">+$K$3*F42</f>
        <v>919.8</v>
      </c>
      <c r="L42" s="349">
        <f t="shared" ref="L42:L45" si="43">+$L$3*F42</f>
        <v>1241</v>
      </c>
      <c r="M42" s="349">
        <f t="shared" ref="M42:M45" si="44">+$M$3*B42</f>
        <v>8.4</v>
      </c>
      <c r="O42" s="349">
        <f t="shared" ref="O42:O45" si="45">SUM(I42:M42)</f>
        <v>5089.2</v>
      </c>
      <c r="P42" s="348">
        <f t="shared" ref="P42:P45" si="46">+F42+H42+O42</f>
        <v>83969.2</v>
      </c>
    </row>
    <row r="43" spans="1:16" x14ac:dyDescent="0.35">
      <c r="A43" s="259" t="s">
        <v>307</v>
      </c>
      <c r="B43" s="260">
        <v>4</v>
      </c>
      <c r="E43" s="263">
        <v>42000</v>
      </c>
      <c r="F43" s="263">
        <f>B43*E43</f>
        <v>168000</v>
      </c>
      <c r="H43" s="348">
        <f t="shared" si="39"/>
        <v>23520</v>
      </c>
      <c r="I43" s="349">
        <f t="shared" si="40"/>
        <v>4284</v>
      </c>
      <c r="J43" s="349">
        <f t="shared" si="41"/>
        <v>2436</v>
      </c>
      <c r="K43" s="350">
        <f t="shared" si="42"/>
        <v>2116.8000000000002</v>
      </c>
      <c r="L43" s="349">
        <f t="shared" si="43"/>
        <v>2856</v>
      </c>
      <c r="M43" s="349">
        <f t="shared" si="44"/>
        <v>33.6</v>
      </c>
      <c r="O43" s="349">
        <f t="shared" si="45"/>
        <v>11726.4</v>
      </c>
      <c r="P43" s="348">
        <f t="shared" si="46"/>
        <v>203246.4</v>
      </c>
    </row>
    <row r="44" spans="1:16" x14ac:dyDescent="0.35">
      <c r="A44" s="259" t="s">
        <v>308</v>
      </c>
      <c r="B44" s="260">
        <v>1</v>
      </c>
      <c r="E44" s="263">
        <v>72000</v>
      </c>
      <c r="F44" s="263">
        <f>B44*E44</f>
        <v>72000</v>
      </c>
      <c r="H44" s="348">
        <f t="shared" si="39"/>
        <v>5880</v>
      </c>
      <c r="I44" s="349">
        <f t="shared" si="40"/>
        <v>1835.9999999999998</v>
      </c>
      <c r="J44" s="349">
        <f t="shared" si="41"/>
        <v>1044</v>
      </c>
      <c r="K44" s="350">
        <f t="shared" si="42"/>
        <v>907.2</v>
      </c>
      <c r="L44" s="349">
        <f t="shared" si="43"/>
        <v>1224</v>
      </c>
      <c r="M44" s="349">
        <f t="shared" si="44"/>
        <v>8.4</v>
      </c>
      <c r="O44" s="349">
        <f t="shared" si="45"/>
        <v>5019.5999999999995</v>
      </c>
      <c r="P44" s="348">
        <f t="shared" si="46"/>
        <v>82899.600000000006</v>
      </c>
    </row>
    <row r="45" spans="1:16" x14ac:dyDescent="0.35">
      <c r="A45" s="259" t="s">
        <v>309</v>
      </c>
      <c r="B45" s="260">
        <v>3</v>
      </c>
      <c r="E45" s="263">
        <v>42000</v>
      </c>
      <c r="F45" s="263">
        <f>B45*E45</f>
        <v>126000</v>
      </c>
      <c r="H45" s="348">
        <f t="shared" si="39"/>
        <v>17640</v>
      </c>
      <c r="I45" s="349">
        <f t="shared" si="40"/>
        <v>3213</v>
      </c>
      <c r="J45" s="349">
        <f t="shared" si="41"/>
        <v>1827</v>
      </c>
      <c r="K45" s="350">
        <f t="shared" si="42"/>
        <v>1587.6</v>
      </c>
      <c r="L45" s="349">
        <f t="shared" si="43"/>
        <v>2142</v>
      </c>
      <c r="M45" s="349">
        <f t="shared" si="44"/>
        <v>25.200000000000003</v>
      </c>
      <c r="O45" s="349">
        <f t="shared" si="45"/>
        <v>8794.8000000000011</v>
      </c>
      <c r="P45" s="348">
        <f t="shared" si="46"/>
        <v>152434.79999999999</v>
      </c>
    </row>
    <row r="46" spans="1:16" x14ac:dyDescent="0.35">
      <c r="H46" s="348">
        <f>SUM(H42:H45)</f>
        <v>52920</v>
      </c>
      <c r="I46" s="348">
        <f t="shared" ref="I46:P46" si="47">SUM(I42:I45)</f>
        <v>11194.5</v>
      </c>
      <c r="J46" s="348">
        <f t="shared" si="47"/>
        <v>6365.5</v>
      </c>
      <c r="K46" s="348">
        <f t="shared" si="47"/>
        <v>5531.4</v>
      </c>
      <c r="L46" s="348">
        <f t="shared" si="47"/>
        <v>7463</v>
      </c>
      <c r="M46" s="348">
        <f t="shared" si="47"/>
        <v>75.599999999999994</v>
      </c>
      <c r="N46" s="348">
        <f t="shared" si="47"/>
        <v>0</v>
      </c>
      <c r="O46" s="348">
        <f t="shared" si="47"/>
        <v>30630</v>
      </c>
      <c r="P46" s="348">
        <f t="shared" si="47"/>
        <v>522549.99999999994</v>
      </c>
    </row>
    <row r="47" spans="1:16" ht="15.5" x14ac:dyDescent="0.35">
      <c r="B47" s="260">
        <f>SUM(B42:B46)</f>
        <v>9</v>
      </c>
      <c r="F47" s="271">
        <f>SUM(F42:F46)</f>
        <v>439000</v>
      </c>
    </row>
  </sheetData>
  <mergeCells count="7">
    <mergeCell ref="G2:G3"/>
    <mergeCell ref="A1:F1"/>
    <mergeCell ref="A2:A3"/>
    <mergeCell ref="B2:B3"/>
    <mergeCell ref="C2:D2"/>
    <mergeCell ref="E2:E3"/>
    <mergeCell ref="F2:F3"/>
  </mergeCells>
  <pageMargins left="0.7" right="0.7" top="0.75" bottom="0.75" header="0.3" footer="0.3"/>
  <pageSetup scale="7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Unit Budget -- 19 Mar 2023</vt:lpstr>
      <vt:lpstr>Unit staffing 23-24</vt:lpstr>
      <vt:lpstr>23-24 Smith MS staffing</vt:lpstr>
      <vt:lpstr>23-24 Jones Clark staffing</vt:lpstr>
      <vt:lpstr>Fehl Price staffing</vt:lpstr>
      <vt:lpstr>23-24 Prescott staffing</vt:lpstr>
      <vt:lpstr>23-24 Mendez Staffing</vt:lpstr>
      <vt:lpstr>'23-24 Jones Clark staffing'!Print_Area</vt:lpstr>
      <vt:lpstr>'23-24 Mendez Staffing'!Print_Area</vt:lpstr>
      <vt:lpstr>'23-24 Smith MS staffing'!Print_Area</vt:lpstr>
      <vt:lpstr>'Fehl Price staffing'!Print_Area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Miles</dc:creator>
  <cp:keywords/>
  <dc:description/>
  <cp:lastModifiedBy>Jessica Lopez</cp:lastModifiedBy>
  <cp:revision/>
  <dcterms:created xsi:type="dcterms:W3CDTF">2023-01-25T21:19:59Z</dcterms:created>
  <dcterms:modified xsi:type="dcterms:W3CDTF">2023-06-09T01:36:05Z</dcterms:modified>
  <cp:category/>
  <cp:contentStatus/>
</cp:coreProperties>
</file>