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f0076a05a5388f/Desktop/"/>
    </mc:Choice>
  </mc:AlternateContent>
  <xr:revisionPtr revIDLastSave="0" documentId="8_{7BF09128-54EB-456D-9D20-7B553B5741B9}" xr6:coauthVersionLast="47" xr6:coauthVersionMax="47" xr10:uidLastSave="{00000000-0000-0000-0000-000000000000}"/>
  <bookViews>
    <workbookView xWindow="-110" yWindow="-110" windowWidth="25180" windowHeight="16140" tabRatio="734" firstSheet="2" activeTab="28" xr2:uid="{9F5F692C-9015-44C4-AC61-1745FD688944}"/>
  </bookViews>
  <sheets>
    <sheet name="Sheet9" sheetId="23" state="hidden" r:id="rId1"/>
    <sheet name="TFS Line Items" sheetId="22" state="hidden" r:id="rId2"/>
    <sheet name="Master Budgets " sheetId="25" r:id="rId3"/>
    <sheet name="Summary of Finance DPE" sheetId="35" state="hidden" r:id="rId4"/>
    <sheet name="Master Budgets" sheetId="24" state="hidden" r:id="rId5"/>
    <sheet name="Network Budget" sheetId="27" state="hidden" r:id="rId6"/>
    <sheet name="Network FY23-FY27  Budget" sheetId="12" state="hidden" r:id="rId7"/>
    <sheet name="Captial Projects &amp; Expense Spl " sheetId="36" state="hidden" r:id="rId8"/>
    <sheet name="AAL Budget" sheetId="28" state="hidden" r:id="rId9"/>
    <sheet name="AAL FY23-FY27 Budget" sheetId="1" state="hidden" r:id="rId10"/>
    <sheet name="Network Fees" sheetId="41" r:id="rId11"/>
    <sheet name="23-24 AAL Staffing" sheetId="16" r:id="rId12"/>
    <sheet name="C2 Budget" sheetId="29" state="hidden" r:id="rId13"/>
    <sheet name="C2 FY23-FY27 Budget" sheetId="8" state="hidden" r:id="rId14"/>
    <sheet name="23-24 C2 staffing" sheetId="17" r:id="rId15"/>
    <sheet name="C3 Budget" sheetId="30" state="hidden" r:id="rId16"/>
    <sheet name="C3 FY23-FY27 Budget " sheetId="4" state="hidden" r:id="rId17"/>
    <sheet name="23-24 C3 staffing" sheetId="18" r:id="rId18"/>
    <sheet name="SHES Budget" sheetId="31" state="hidden" r:id="rId19"/>
    <sheet name="SHES FY23-FY27 Budget " sheetId="5" state="hidden" r:id="rId20"/>
    <sheet name="Ector Budget" sheetId="32" state="hidden" r:id="rId21"/>
    <sheet name="Ector FY23-FY27 Budget " sheetId="6" state="hidden" r:id="rId22"/>
    <sheet name="23-24 SHES staffing" sheetId="38" r:id="rId23"/>
    <sheet name="23-24 Lamar ES staffing" sheetId="39" r:id="rId24"/>
    <sheet name="Ector FY23 Staffing" sheetId="20" r:id="rId25"/>
    <sheet name="Mendez FY23-FY27 Budget" sheetId="10" state="hidden" r:id="rId26"/>
    <sheet name="Mendez Budget" sheetId="33" state="hidden" r:id="rId27"/>
    <sheet name="Leases &amp; Debt" sheetId="34" r:id="rId28"/>
    <sheet name="Notes" sheetId="40" r:id="rId29"/>
    <sheet name="Total Debt" sheetId="26" state="hidden" r:id="rId30"/>
    <sheet name="TX new school FY23-FY27 budget " sheetId="13" state="hidden" r:id="rId31"/>
    <sheet name="CO new school FY23-FY27 budget " sheetId="14" state="hidden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" localSheetId="23" hidden="1">#REF!</definedName>
    <definedName name="_" localSheetId="22" hidden="1">#REF!</definedName>
    <definedName name="_" hidden="1">#REF!</definedName>
    <definedName name="_bdm.17E144F561804739B0F2BCC26DA73708.edm" localSheetId="23" hidden="1">#REF!</definedName>
    <definedName name="_bdm.17E144F561804739B0F2BCC26DA73708.edm" localSheetId="22" hidden="1">#REF!</definedName>
    <definedName name="_bdm.17E144F561804739B0F2BCC26DA73708.edm" hidden="1">#REF!</definedName>
    <definedName name="_bdm.2D61E03D8651420480D11D8E8EBCA380.edm" hidden="1">'[1]Tiny Calendars 2007'!$1:$1048576</definedName>
    <definedName name="_bdm.6A897E6781904C8FB772B29C22D90C37.edm" hidden="1">#REF!</definedName>
    <definedName name="_bdm.71486A4CE2884B4187D0BC83436ED520.edm" hidden="1">'[1]Pie Chart-Currency'!$1:$1048576</definedName>
    <definedName name="_bdm.9B143323A3374AF491279A50135C30FA.edm" hidden="1">#REF!</definedName>
    <definedName name="_bdm.B098F9F87DB74CBEA0BB152934FA8FCF.edm" hidden="1">#REF!</definedName>
    <definedName name="_bdm.CE68A13289AB418298D6D2FFA2228F99.edm" hidden="1">#REF!</definedName>
    <definedName name="_bdm.DCB006E09F8D4BA99AD6A329E293CC92.edm" hidden="1">#REF!</definedName>
    <definedName name="_del1" localSheetId="23" hidden="1">{"Page1",#N/A,FALSE,"7979";"Page2",#N/A,FALSE,"7979";"Page3",#N/A,FALSE,"7979"}</definedName>
    <definedName name="_del1" localSheetId="22" hidden="1">{"Page1",#N/A,FALSE,"7979";"Page2",#N/A,FALSE,"7979";"Page3",#N/A,FALSE,"7979"}</definedName>
    <definedName name="_del1" hidden="1">{"Page1",#N/A,FALSE,"7979";"Page2",#N/A,FALSE,"7979";"Page3",#N/A,FALSE,"7979"}</definedName>
    <definedName name="_Fil1" hidden="1">'[2]Current 9-02'!$A$6:$A$166</definedName>
    <definedName name="_Fill" localSheetId="23" hidden="1">#REF!</definedName>
    <definedName name="_Fill" localSheetId="22" hidden="1">#REF!</definedName>
    <definedName name="_Fill" localSheetId="29" hidden="1">#REF!</definedName>
    <definedName name="_Fill" hidden="1">#REF!</definedName>
    <definedName name="_Fill2" localSheetId="23" hidden="1">#REF!</definedName>
    <definedName name="_Fill2" localSheetId="22" hidden="1">#REF!</definedName>
    <definedName name="_Fill2" hidden="1">#REF!</definedName>
    <definedName name="_xlnm._FilterDatabase" localSheetId="23" hidden="1">#REF!</definedName>
    <definedName name="_xlnm._FilterDatabase" localSheetId="22" hidden="1">#REF!</definedName>
    <definedName name="_xlnm._FilterDatabase" localSheetId="9" hidden="1">'AAL FY23-FY27 Budget'!$B$38:$J$122</definedName>
    <definedName name="_xlnm._FilterDatabase" localSheetId="13" hidden="1">'C2 FY23-FY27 Budget'!$B$40:$J$121</definedName>
    <definedName name="_xlnm._FilterDatabase" localSheetId="16" hidden="1">'C3 FY23-FY27 Budget '!$B$40:$K$122</definedName>
    <definedName name="_xlnm._FilterDatabase" localSheetId="31" hidden="1">'CO new school FY23-FY27 budget '!$A$13:$B$63</definedName>
    <definedName name="_xlnm._FilterDatabase" localSheetId="21" hidden="1">'Ector FY23-FY27 Budget '!#REF!</definedName>
    <definedName name="_xlnm._FilterDatabase" localSheetId="2" hidden="1">'Master Budgets '!$A$59:$Q$173</definedName>
    <definedName name="_xlnm._FilterDatabase" localSheetId="6" hidden="1">'Network FY23-FY27  Budget'!$B$5:$B$15</definedName>
    <definedName name="_xlnm._FilterDatabase" localSheetId="19" hidden="1">'SHES FY23-FY27 Budget '!$B$11:$D$84</definedName>
    <definedName name="_xlnm._FilterDatabase" localSheetId="1" hidden="1">'TFS Line Items'!$A$1:$H$649</definedName>
    <definedName name="_xlnm._FilterDatabase" localSheetId="30" hidden="1">'TX new school FY23-FY27 budget '!$A$14:$C$64</definedName>
    <definedName name="_xlnm._FilterDatabase" hidden="1">#REF!</definedName>
    <definedName name="_Key1" localSheetId="23" hidden="1">#REF!</definedName>
    <definedName name="_Key1" localSheetId="22" hidden="1">#REF!</definedName>
    <definedName name="_Key1" hidden="1">#REF!</definedName>
    <definedName name="_Key2" localSheetId="23" hidden="1">#REF!</definedName>
    <definedName name="_Key2" localSheetId="22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'[2]Current 9-02'!#REF!</definedName>
    <definedName name="_Order1" hidden="1">0</definedName>
    <definedName name="_Order2" hidden="1">255</definedName>
    <definedName name="_Sort" hidden="1">#REF!</definedName>
    <definedName name="_Tab2_In2" hidden="1">#REF!</definedName>
    <definedName name="_Table1_In1" hidden="1">[3]Assumptions!#REF!</definedName>
    <definedName name="_Table1_Out" localSheetId="23" hidden="1">#REF!</definedName>
    <definedName name="_Table1_Out" localSheetId="22" hidden="1">#REF!</definedName>
    <definedName name="_Table1_Out" hidden="1">#REF!</definedName>
    <definedName name="_Table2" localSheetId="23" hidden="1">#REF!</definedName>
    <definedName name="_Table2" localSheetId="22" hidden="1">#REF!</definedName>
    <definedName name="_Table2" hidden="1">#REF!</definedName>
    <definedName name="_Table2_In1" localSheetId="23" hidden="1">#REF!</definedName>
    <definedName name="_Table2_In1" localSheetId="22" hidden="1">#REF!</definedName>
    <definedName name="_Table2_In1" hidden="1">#REF!</definedName>
    <definedName name="_Table2_In2" hidden="1">#REF!</definedName>
    <definedName name="_Table2_Out" hidden="1">#REF!</definedName>
    <definedName name="adf" localSheetId="23" hidden="1">{#N/A,#N/A,FALSE,"SCHEDULE G"}</definedName>
    <definedName name="adf" localSheetId="22" hidden="1">{#N/A,#N/A,FALSE,"SCHEDULE G"}</definedName>
    <definedName name="adf" hidden="1">{#N/A,#N/A,FALSE,"SCHEDULE G"}</definedName>
    <definedName name="ae" localSheetId="23" hidden="1">{"CF",#N/A,FALSE,"Cash Flow";"RET",#N/A,FALSE,"Returns";"NPV",#N/A,FALSE,"Values";"ASMPT",#N/A,FALSE,"Assumptions"}</definedName>
    <definedName name="ae" localSheetId="22" hidden="1">{"CF",#N/A,FALSE,"Cash Flow";"RET",#N/A,FALSE,"Returns";"NPV",#N/A,FALSE,"Values";"ASMPT",#N/A,FALSE,"Assumptions"}</definedName>
    <definedName name="ae" hidden="1">{"CF",#N/A,FALSE,"Cash Flow";"RET",#N/A,FALSE,"Returns";"NPV",#N/A,FALSE,"Values";"ASMPT",#N/A,FALSE,"Assumptions"}</definedName>
    <definedName name="agf" localSheetId="23" hidden="1">{#N/A,#N/A,FALSE,"ExecSum";#N/A,#N/A,FALSE,"total summary";#N/A,#N/A,FALSE,"Budget";#N/A,#N/A,FALSE,"CashFlow"}</definedName>
    <definedName name="agf" localSheetId="22" hidden="1">{#N/A,#N/A,FALSE,"ExecSum";#N/A,#N/A,FALSE,"total summary";#N/A,#N/A,FALSE,"Budget";#N/A,#N/A,FALSE,"CashFlow"}</definedName>
    <definedName name="agf" hidden="1">{#N/A,#N/A,FALSE,"ExecSum";#N/A,#N/A,FALSE,"total summary";#N/A,#N/A,FALSE,"Budget";#N/A,#N/A,FALSE,"CashFlow"}</definedName>
    <definedName name="AllowFundHlook">#REF!</definedName>
    <definedName name="AllowProg">#REF!</definedName>
    <definedName name="asdfsdfsdf" localSheetId="23" hidden="1">{#N/A,#N/A,FALSE,"Expense Comparison"}</definedName>
    <definedName name="asdfsdfsdf" localSheetId="22" hidden="1">{#N/A,#N/A,FALSE,"Expense Comparison"}</definedName>
    <definedName name="asdfsdfsdf" hidden="1">{#N/A,#N/A,FALSE,"Expense Comparison"}</definedName>
    <definedName name="asfget" localSheetId="23" hidden="1">{"Page1",#N/A,FALSE,"7979";"Page2",#N/A,FALSE,"7979";"Page3",#N/A,FALSE,"7979"}</definedName>
    <definedName name="asfget" localSheetId="22" hidden="1">{"Page1",#N/A,FALSE,"7979";"Page2",#N/A,FALSE,"7979";"Page3",#N/A,FALSE,"7979"}</definedName>
    <definedName name="asfget" hidden="1">{"Page1",#N/A,FALSE,"7979";"Page2",#N/A,FALSE,"7979";"Page3",#N/A,FALSE,"7979"}</definedName>
    <definedName name="BadLink" hidden="1">#REF!</definedName>
    <definedName name="beattle" localSheetId="23" hidden="1">{"Full Sheet",#N/A,FALSE,"Expense Comparison"}</definedName>
    <definedName name="beattle" localSheetId="22" hidden="1">{"Full Sheet",#N/A,FALSE,"Expense Comparison"}</definedName>
    <definedName name="beattle" hidden="1">{"Full Sheet",#N/A,FALSE,"Expense Comparison"}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daf" localSheetId="23" hidden="1">{"Base Year Demand",#N/A,FALSE,"Demand-Base Year"}</definedName>
    <definedName name="daf" localSheetId="22" hidden="1">{"Base Year Demand",#N/A,FALSE,"Demand-Base Year"}</definedName>
    <definedName name="daf" hidden="1">{"Base Year Demand",#N/A,FALSE,"Demand-Base Year"}</definedName>
    <definedName name="data" hidden="1">#REF!</definedName>
    <definedName name="DATA_01" hidden="1">'[4]Bond Amortization'!#REF!</definedName>
    <definedName name="DATA_08" hidden="1">'[4]Bond Amortization'!#REF!</definedName>
    <definedName name="del" localSheetId="23" hidden="1">{"Page1",#N/A,FALSE,"7979";"Page2",#N/A,FALSE,"7979";"Page3",#N/A,FALSE,"7979"}</definedName>
    <definedName name="del" localSheetId="22" hidden="1">{"Page1",#N/A,FALSE,"7979";"Page2",#N/A,FALSE,"7979";"Page3",#N/A,FALSE,"7979"}</definedName>
    <definedName name="del" hidden="1">{"Page1",#N/A,FALSE,"7979";"Page2",#N/A,FALSE,"7979";"Page3",#N/A,FALSE,"7979"}</definedName>
    <definedName name="DISTRICT">#REF!</definedName>
    <definedName name="dsaf" localSheetId="23" hidden="1">{#N/A,#N/A,FALSE,"ExecSum";#N/A,#N/A,FALSE,"total summary";#N/A,#N/A,FALSE,"Budget";#N/A,#N/A,FALSE,"CashFlow"}</definedName>
    <definedName name="dsaf" localSheetId="22" hidden="1">{#N/A,#N/A,FALSE,"ExecSum";#N/A,#N/A,FALSE,"total summary";#N/A,#N/A,FALSE,"Budget";#N/A,#N/A,FALSE,"CashFlow"}</definedName>
    <definedName name="dsaf" hidden="1">{#N/A,#N/A,FALSE,"ExecSum";#N/A,#N/A,FALSE,"total summary";#N/A,#N/A,FALSE,"Budget";#N/A,#N/A,FALSE,"CashFlow"}</definedName>
    <definedName name="ERRORRPT">#REF!</definedName>
    <definedName name="ev.Calculation" hidden="1">-4135</definedName>
    <definedName name="ev.Initialized" hidden="1">FALSE</definedName>
    <definedName name="ExtraCredit">#REF!</definedName>
    <definedName name="fdf" localSheetId="23" hidden="1">{"Full Sheet",#N/A,FALSE,"Expense Comparison"}</definedName>
    <definedName name="fdf" localSheetId="22" hidden="1">{"Full Sheet",#N/A,FALSE,"Expense Comparison"}</definedName>
    <definedName name="fdf" hidden="1">{"Full Sheet",#N/A,FALSE,"Expense Comparison"}</definedName>
    <definedName name="fksajf" localSheetId="23" hidden="1">{#N/A,#N/A,FALSE,"SCHEDULE A";"MINIMUM RENT",#N/A,FALSE,"SCHEDULES B &amp; C";"PERCENTAGE RENT",#N/A,FALSE,"SCHEDULES B &amp; C"}</definedName>
    <definedName name="fksajf" localSheetId="22" hidden="1">{#N/A,#N/A,FALSE,"SCHEDULE A";"MINIMUM RENT",#N/A,FALSE,"SCHEDULES B &amp; C";"PERCENTAGE RENT",#N/A,FALSE,"SCHEDULES B &amp; C"}</definedName>
    <definedName name="fksajf" hidden="1">{#N/A,#N/A,FALSE,"SCHEDULE A";"MINIMUM RENT",#N/A,FALSE,"SCHEDULES B &amp; C";"PERCENTAGE RENT",#N/A,FALSE,"SCHEDULES B &amp; C"}</definedName>
    <definedName name="fmmedit" localSheetId="23">term*periods_per_year</definedName>
    <definedName name="fmmedit">term*periods_per_year</definedName>
    <definedName name="frequency" localSheetId="23">{"Annually";"Semi-Annually";"Quarterly";"Bi-Monthly";"Monthly"}</definedName>
    <definedName name="frequency" localSheetId="22">{"Annually";"Semi-Annually";"Quarterly";"Bi-Monthly";"Monthly"}</definedName>
    <definedName name="frequency">{"Annually";"Semi-Annually";"Quarterly";"Bi-Monthly";"Monthly"}</definedName>
    <definedName name="Fruit">#REF!</definedName>
    <definedName name="GMONEY">#REF!</definedName>
    <definedName name="Header_Row">ROW(#REF!)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tel" localSheetId="23" hidden="1">{#N/A,#N/A,FALSE,"ExecSum";#N/A,#N/A,FALSE,"total summary";#N/A,#N/A,FALSE,"Budget";#N/A,#N/A,FALSE,"CashFlow"}</definedName>
    <definedName name="Hotel" localSheetId="22" hidden="1">{#N/A,#N/A,FALSE,"ExecSum";#N/A,#N/A,FALSE,"total summary";#N/A,#N/A,FALSE,"Budget";#N/A,#N/A,FALSE,"CashFlow"}</definedName>
    <definedName name="Hotel" hidden="1">{#N/A,#N/A,FALSE,"ExecSum";#N/A,#N/A,FALSE,"total summary";#N/A,#N/A,FALSE,"Budget";#N/A,#N/A,FALSE,"CashFlow"}</definedName>
    <definedName name="HTML_CodePage" hidden="1">1252</definedName>
    <definedName name="HTML_Control" localSheetId="23" hidden="1">{"'Sheet1'!$A$1:$K$359"}</definedName>
    <definedName name="HTML_Control" localSheetId="22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flation" hidden="1">#REF!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1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39965.7988425926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38849.5606597222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ColHidden" hidden="1">FALSE</definedName>
    <definedName name="IsLTMColHidden" hidden="1">FALSE</definedName>
    <definedName name="Items">#REF!</definedName>
    <definedName name="Lol" hidden="1">#REF!</definedName>
    <definedName name="Meat">#REF!</definedName>
    <definedName name="MILL">#REF!</definedName>
    <definedName name="MINRESERVE">#REF!</definedName>
    <definedName name="MoreFruit">#REF!</definedName>
    <definedName name="MoreItem">#REF!</definedName>
    <definedName name="MoreItems">#REF!</definedName>
    <definedName name="MOUNTAIN">#REF!</definedName>
    <definedName name="nper" localSheetId="23">term*periods_per_year</definedName>
    <definedName name="nper" localSheetId="22">term*periods_per_year</definedName>
    <definedName name="nper" localSheetId="2">term*periods_per_year</definedName>
    <definedName name="nper">term*periods_per_year</definedName>
    <definedName name="nper1" localSheetId="23">term*periods_per_year</definedName>
    <definedName name="nper1" localSheetId="22">term*periods_per_year</definedName>
    <definedName name="nper1" localSheetId="2">term*periods_per_year</definedName>
    <definedName name="nper1">term*periods_per_year</definedName>
    <definedName name="Number_of_Payments" localSheetId="23">#REF!</definedName>
    <definedName name="Number_of_Payments" localSheetId="22">#REF!</definedName>
    <definedName name="Number_of_Payments">#REF!</definedName>
    <definedName name="OUTLAY" localSheetId="23">#REF!</definedName>
    <definedName name="OUTLAY" localSheetId="22">#REF!</definedName>
    <definedName name="OUTLAY">#REF!</definedName>
    <definedName name="PAGE01" localSheetId="23">#REF!</definedName>
    <definedName name="PAGE01" localSheetId="22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arent_Allocation_by_school">'[5]Parent Involvement'!$F$11:$F$43</definedName>
    <definedName name="Parent_School_Name">'[5]Parent Involvement'!$A$11:$A$43</definedName>
    <definedName name="Payment_Number" localSheetId="23">ROW()-[0]!Header_Row</definedName>
    <definedName name="Payment_Number" localSheetId="22">ROW()-[0]!Header_Row</definedName>
    <definedName name="Payment_Number">ROW()-[0]!Header_Row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3">'23-24 Lamar ES staffing'!$A$1:$E$55</definedName>
    <definedName name="_xlnm.Print_Area" localSheetId="22">'23-24 SHES staffing'!$A$1:$F$55</definedName>
    <definedName name="_xlnm.Print_Area" localSheetId="9">'AAL FY23-FY27 Budget'!$B$9:$D$116</definedName>
    <definedName name="_xlnm.Print_Area" localSheetId="24">'Ector FY23 Staffing'!$A$1:$F$53</definedName>
    <definedName name="printjob1" localSheetId="23">#REF!,#REF!,#REF!,#REF!,#REF!,#REF!,#REF!,#REF!,#REF!,#REF!,#REF!</definedName>
    <definedName name="printjob1" localSheetId="22">#REF!,#REF!,#REF!,#REF!,#REF!,#REF!,#REF!,#REF!,#REF!,#REF!,#REF!</definedName>
    <definedName name="printjob1">#REF!,#REF!,#REF!,#REF!,#REF!,#REF!,#REF!,#REF!,#REF!,#REF!,#REF!</definedName>
    <definedName name="printjob2" localSheetId="23">#REF!,#REF!,#REF!,#REF!,#REF!,#REF!,#REF!,#REF!,#REF!,#REF!,#REF!</definedName>
    <definedName name="printjob2" localSheetId="22">#REF!,#REF!,#REF!,#REF!,#REF!,#REF!,#REF!,#REF!,#REF!,#REF!,#REF!</definedName>
    <definedName name="printjob2">#REF!,#REF!,#REF!,#REF!,#REF!,#REF!,#REF!,#REF!,#REF!,#REF!,#REF!</definedName>
    <definedName name="printjob3" localSheetId="23">#REF!,#REF!</definedName>
    <definedName name="printjob3" localSheetId="22">#REF!,#REF!</definedName>
    <definedName name="printjob3">#REF!,#REF!</definedName>
    <definedName name="printsumm">#REF!,#REF!,#REF!,#REF!,#REF!</definedName>
    <definedName name="printtabor">#REF!,#REF!,#REF!</definedName>
    <definedName name="RURAL">#REF!</definedName>
    <definedName name="sa" localSheetId="23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sa" localSheetId="22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s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SAPBEXdnldView" hidden="1">"4GKQGA68BTJSRT8MI528THIA3"</definedName>
    <definedName name="SAPBEXsysID" hidden="1">"PB1"</definedName>
    <definedName name="sensitivity" localSheetId="23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sensitivity" localSheetId="22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sensitivity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SES_Allocation_by_school">[5]SES!$F$21:$F$22</definedName>
    <definedName name="SES_School_Name">[5]SES!$A$21:$A$22</definedName>
    <definedName name="SPENDLIM" localSheetId="23">#REF!</definedName>
    <definedName name="SPENDLIM" localSheetId="22">#REF!</definedName>
    <definedName name="SPENDLIM">#REF!</definedName>
    <definedName name="SUMExtraCredit" localSheetId="23">#REF!</definedName>
    <definedName name="SUMExtraCredit" localSheetId="22">#REF!</definedName>
    <definedName name="SUMExtraCredit">#REF!</definedName>
    <definedName name="SUMIF" localSheetId="23">#REF!</definedName>
    <definedName name="SUMIF" localSheetId="22">#REF!</definedName>
    <definedName name="SUMIF">#REF!</definedName>
    <definedName name="SUMIFExtraCredit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SUMMARY">'[6]district disk'!#REF!</definedName>
    <definedName name="ta" localSheetId="23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" localSheetId="22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XLIM">#REF!</definedName>
    <definedName name="Title_I_School_Name">'[7]Title I School'!$A$11:$A$43</definedName>
    <definedName name="Title_III_SA_Allocation">'[7]Title III Set-Aside'!$C$8:$C$19</definedName>
    <definedName name="Title_III_SA_School">'[7]Title III Set-Aside'!$A$8:$A$19</definedName>
    <definedName name="Title_III_School_Name">'[7]Title III'!$A$23:$A$52</definedName>
    <definedName name="Total" localSheetId="23">#REF!</definedName>
    <definedName name="Total" localSheetId="22">#REF!</definedName>
    <definedName name="Total">#REF!</definedName>
    <definedName name="URBAN" localSheetId="23">#REF!</definedName>
    <definedName name="URBAN" localSheetId="22">#REF!</definedName>
    <definedName name="URBAN">#REF!</definedName>
    <definedName name="Values_Entered" localSheetId="23">IF(Loan_Amount*Interest_Rate*Loan_Years*Loan_Start&gt;0,1,0)</definedName>
    <definedName name="Values_Entered" localSheetId="22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alues_Entered_9" localSheetId="23">IF(Loan_Amount_9*Interest_Rate_9*Loan_Years_9*Loan_Start_9&gt;0,1,0)</definedName>
    <definedName name="Values_Entered_9" localSheetId="22">IF(Loan_Amount_9*Interest_Rate_9*Loan_Years_9*Loan_Start_9&gt;0,1,0)</definedName>
    <definedName name="Values_Entered_9" localSheetId="2">IF(Loan_Amount_9*Interest_Rate_9*Loan_Years_9*Loan_Start_9&gt;0,1,0)</definedName>
    <definedName name="Values_Entered_9">IF(Loan_Amount_9*Interest_Rate_9*Loan_Years_9*Loan_Start_9&gt;0,1,0)</definedName>
    <definedName name="what" localSheetId="23" hidden="1">{"Page1",#N/A,FALSE,"7979";"Page2",#N/A,FALSE,"7979";"Page3",#N/A,FALSE,"7979"}</definedName>
    <definedName name="what" localSheetId="22" hidden="1">{"Page1",#N/A,FALSE,"7979";"Page2",#N/A,FALSE,"7979";"Page3",#N/A,FALSE,"7979"}</definedName>
    <definedName name="what" hidden="1">{"Page1",#N/A,FALSE,"7979";"Page2",#N/A,FALSE,"7979";"Page3",#N/A,FALSE,"7979"}</definedName>
    <definedName name="whatwhat" localSheetId="23" hidden="1">{"Page1",#N/A,FALSE,"7979";"Page2",#N/A,FALSE,"7979";"Page3",#N/A,FALSE,"7979"}</definedName>
    <definedName name="whatwhat" localSheetId="22" hidden="1">{"Page1",#N/A,FALSE,"7979";"Page2",#N/A,FALSE,"7979";"Page3",#N/A,FALSE,"7979"}</definedName>
    <definedName name="whatwhat" hidden="1">{"Page1",#N/A,FALSE,"7979";"Page2",#N/A,FALSE,"7979";"Page3",#N/A,FALSE,"7979"}</definedName>
    <definedName name="wrn.ALL." localSheetId="23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2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_.Inputs." localSheetId="23" hidden="1">{#N/A,#N/A,FALSE,"Primary";#N/A,#N/A,FALSE,"Secondary";#N/A,#N/A,FALSE,"Latent";#N/A,#N/A,FALSE,"Demand Inputs";#N/A,#N/A,FALSE,"Supply Addn";#N/A,#N/A,FALSE,"Mkt Pen"}</definedName>
    <definedName name="wrn.All._.Inputs." localSheetId="22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ll.2" localSheetId="23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2" localSheetId="2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Base._.Case._.Print." localSheetId="23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Base._.Case._.Print." localSheetId="22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Base._.Case._.Print.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BaseYearDemand." localSheetId="23" hidden="1">{"Base Year Demand",#N/A,FALSE,"Demand-Base Year"}</definedName>
    <definedName name="wrn.BaseYearDemand." localSheetId="22" hidden="1">{"Base Year Demand",#N/A,FALSE,"Demand-Base Year"}</definedName>
    <definedName name="wrn.BaseYearDemand." hidden="1">{"Base Year Demand",#N/A,FALSE,"Demand-Base Year"}</definedName>
    <definedName name="wrn.Basic._.Forecast." localSheetId="23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._.Forecast." localSheetId="22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oth._.Outputs." localSheetId="23" hidden="1">{"LTV Output",#N/A,FALSE,"Output";"DCR Output",#N/A,FALSE,"Output"}</definedName>
    <definedName name="wrn.Both._.Outputs." localSheetId="22" hidden="1">{"LTV Output",#N/A,FALSE,"Output";"DCR Output",#N/A,FALSE,"Output"}</definedName>
    <definedName name="wrn.Both._.Outputs." hidden="1">{"LTV Output",#N/A,FALSE,"Output";"DCR Output",#N/A,FALSE,"Output"}</definedName>
    <definedName name="wrn.Cash._.Flow._.Analysis." localSheetId="23" hidden="1">{"CF",#N/A,FALSE,"Cash Flow";"RET",#N/A,FALSE,"Returns";"NPV",#N/A,FALSE,"Values";"ASMPT",#N/A,FALSE,"Assumptions"}</definedName>
    <definedName name="wrn.Cash._.Flow._.Analysis." localSheetId="22" hidden="1">{"CF",#N/A,FALSE,"Cash Flow";"RET",#N/A,FALSE,"Returns";"NPV",#N/A,FALSE,"Values";"ASMPT",#N/A,FALSE,"Assumptions"}</definedName>
    <definedName name="wrn.Cash._.Flow._.Analysis." hidden="1">{"CF",#N/A,FALSE,"Cash Flow";"RET",#N/A,FALSE,"Returns";"NPV",#N/A,FALSE,"Values";"ASMPT",#N/A,FALSE,"Assumptions"}</definedName>
    <definedName name="wrn.check." localSheetId="23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" localSheetId="22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2" localSheetId="23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2" localSheetId="22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2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ombined." localSheetId="23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wrn.combined." localSheetId="22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wrn.combined.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wrn.DCR._.Output." localSheetId="23" hidden="1">{"DCR Output",#N/A,FALSE,"Output"}</definedName>
    <definedName name="wrn.DCR._.Output." localSheetId="22" hidden="1">{"DCR Output",#N/A,FALSE,"Output"}</definedName>
    <definedName name="wrn.DCR._.Output." hidden="1">{"DCR Output",#N/A,FALSE,"Output"}</definedName>
    <definedName name="wrn.Demand._.Calcs." localSheetId="23" hidden="1">{#N/A,#N/A,FALSE,"Demand Calcs"}</definedName>
    <definedName name="wrn.Demand._.Calcs." localSheetId="22" hidden="1">{#N/A,#N/A,FALSE,"Demand Calcs"}</definedName>
    <definedName name="wrn.Demand._.Calcs." hidden="1">{#N/A,#N/A,FALSE,"Demand Calcs"}</definedName>
    <definedName name="wrn.Demand._.Inputs." localSheetId="23" hidden="1">{#N/A,#N/A,FALSE,"Demand Inputs"}</definedName>
    <definedName name="wrn.Demand._.Inputs." localSheetId="22" hidden="1">{#N/A,#N/A,FALSE,"Demand Inputs"}</definedName>
    <definedName name="wrn.Demand._.Inputs." hidden="1">{#N/A,#N/A,FALSE,"Demand Inputs"}</definedName>
    <definedName name="wrn.DETAIL._.SCHEDULES." localSheetId="23" hidden="1">{"ACCOUNT DETAIL",#N/A,FALSE,"SCHEDULE E";"ACCOUNT DETAIL",#N/A,FALSE,"SCHEDULE G";"ACCOUNT DETAIL",#N/A,FALSE,"SCHEDULE H";"ACCOUNT DETAIL",#N/A,FALSE,"SCHEDULE I"}</definedName>
    <definedName name="wrn.DETAIL._.SCHEDULES." localSheetId="22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tl.schedules" localSheetId="23" hidden="1">{"ACCOUNT DETAIL",#N/A,FALSE,"SCHEDULE E";"ACCOUNT DETAIL",#N/A,FALSE,"SCHEDULE G";"ACCOUNT DETAIL",#N/A,FALSE,"SCHEDULE H";"ACCOUNT DETAIL",#N/A,FALSE,"SCHEDULE I"}</definedName>
    <definedName name="wrn.dtl.schedules" localSheetId="22" hidden="1">{"ACCOUNT DETAIL",#N/A,FALSE,"SCHEDULE E";"ACCOUNT DETAIL",#N/A,FALSE,"SCHEDULE G";"ACCOUNT DETAIL",#N/A,FALSE,"SCHEDULE H";"ACCOUNT DETAIL",#N/A,FALSE,"SCHEDULE I"}</definedName>
    <definedName name="wrn.dtl.schedules" hidden="1">{"ACCOUNT DETAIL",#N/A,FALSE,"SCHEDULE E";"ACCOUNT DETAIL",#N/A,FALSE,"SCHEDULE G";"ACCOUNT DETAIL",#N/A,FALSE,"SCHEDULE H";"ACCOUNT DETAIL",#N/A,FALSE,"SCHEDULE I"}</definedName>
    <definedName name="wrn.ExhibitD1." localSheetId="23" hidden="1">{"ExhibitD1",#N/A,FALSE,"ExhibitD1"}</definedName>
    <definedName name="wrn.ExhibitD1." localSheetId="22" hidden="1">{"ExhibitD1",#N/A,FALSE,"ExhibitD1"}</definedName>
    <definedName name="wrn.ExhibitD1." hidden="1">{"ExhibitD1",#N/A,FALSE,"ExhibitD1"}</definedName>
    <definedName name="wrn.ExhibitD2." localSheetId="23" hidden="1">{"ExhibitD2",#N/A,FALSE,"ExhibitD2"}</definedName>
    <definedName name="wrn.ExhibitD2." localSheetId="22" hidden="1">{"ExhibitD2",#N/A,FALSE,"ExhibitD2"}</definedName>
    <definedName name="wrn.ExhibitD2." hidden="1">{"ExhibitD2",#N/A,FALSE,"ExhibitD2"}</definedName>
    <definedName name="wrn.Fair._.Share._.Calcs." localSheetId="23" hidden="1">{#N/A,#N/A,FALSE,"Fair Share"}</definedName>
    <definedName name="wrn.Fair._.Share._.Calcs." localSheetId="22" hidden="1">{#N/A,#N/A,FALSE,"Fair Share"}</definedName>
    <definedName name="wrn.Fair._.Share._.Calcs." hidden="1">{#N/A,#N/A,FALSE,"Fair Share"}</definedName>
    <definedName name="wrn.Final._.Output." localSheetId="23" hidden="1">{#N/A,#N/A,FALSE,"Final Output"}</definedName>
    <definedName name="wrn.Final._.Output." localSheetId="22" hidden="1">{#N/A,#N/A,FALSE,"Final Output"}</definedName>
    <definedName name="wrn.Final._.Output." hidden="1">{#N/A,#N/A,FALSE,"Final Output"}</definedName>
    <definedName name="wrn.Financials1." localSheetId="23" hidden="1">{"Inc_5Yr",#N/A,FALSE,"Inc";"Bal_5Yr",#N/A,FALSE,"Inc";"SCF_5Yr",#N/A,FALSE,"Inc";"Inc_Yr1",#N/A,FALSE,"Inc";"Bal_Yr1",#N/A,FALSE,"Inc";"SCF_Yr1",#N/A,FALSE,"Inc";"Inc_Yr2",#N/A,FALSE,"Inc";"Bal_Yr2",#N/A,FALSE,"Inc";"SCF_Yr2",#N/A,FALSE,"Inc";"Inc_Yr3",#N/A,FALSE,"Inc";"Bal_Yr3",#N/A,FALSE,"Inc";"SCF_Yr3",#N/A,FALSE,"Inc";"Inc_Yr4",#N/A,FALSE,"Inc";"Bal_Yr4",#N/A,FALSE,"Inc";"SCF_Yr4",#N/A,FALSE,"Inc";"Inc_Yr5",#N/A,FALSE,"Inc";"Bal_Yr5",#N/A,FALSE,"Inc";"SCF_Yr5",#N/A,FALSE,"Inc"}</definedName>
    <definedName name="wrn.Financials1." localSheetId="22" hidden="1">{"Inc_5Yr",#N/A,FALSE,"Inc";"Bal_5Yr",#N/A,FALSE,"Inc";"SCF_5Yr",#N/A,FALSE,"Inc";"Inc_Yr1",#N/A,FALSE,"Inc";"Bal_Yr1",#N/A,FALSE,"Inc";"SCF_Yr1",#N/A,FALSE,"Inc";"Inc_Yr2",#N/A,FALSE,"Inc";"Bal_Yr2",#N/A,FALSE,"Inc";"SCF_Yr2",#N/A,FALSE,"Inc";"Inc_Yr3",#N/A,FALSE,"Inc";"Bal_Yr3",#N/A,FALSE,"Inc";"SCF_Yr3",#N/A,FALSE,"Inc";"Inc_Yr4",#N/A,FALSE,"Inc";"Bal_Yr4",#N/A,FALSE,"Inc";"SCF_Yr4",#N/A,FALSE,"Inc";"Inc_Yr5",#N/A,FALSE,"Inc";"Bal_Yr5",#N/A,FALSE,"Inc";"SCF_Yr5",#N/A,FALSE,"Inc"}</definedName>
    <definedName name="wrn.Financials1." hidden="1">{"Inc_5Yr",#N/A,FALSE,"Inc";"Bal_5Yr",#N/A,FALSE,"Inc";"SCF_5Yr",#N/A,FALSE,"Inc";"Inc_Yr1",#N/A,FALSE,"Inc";"Bal_Yr1",#N/A,FALSE,"Inc";"SCF_Yr1",#N/A,FALSE,"Inc";"Inc_Yr2",#N/A,FALSE,"Inc";"Bal_Yr2",#N/A,FALSE,"Inc";"SCF_Yr2",#N/A,FALSE,"Inc";"Inc_Yr3",#N/A,FALSE,"Inc";"Bal_Yr3",#N/A,FALSE,"Inc";"SCF_Yr3",#N/A,FALSE,"Inc";"Inc_Yr4",#N/A,FALSE,"Inc";"Bal_Yr4",#N/A,FALSE,"Inc";"SCF_Yr4",#N/A,FALSE,"Inc";"Inc_Yr5",#N/A,FALSE,"Inc";"Bal_Yr5",#N/A,FALSE,"Inc";"SCF_Yr5",#N/A,FALSE,"Inc"}</definedName>
    <definedName name="wrn.FULL._.COMPARISON." localSheetId="23" hidden="1">{"Full Sheet",#N/A,FALSE,"Expense Comparison"}</definedName>
    <definedName name="wrn.FULL._.COMPARISON." localSheetId="22" hidden="1">{"Full Sheet",#N/A,FALSE,"Expense Comparison"}</definedName>
    <definedName name="wrn.FULL._.COMPARISON." hidden="1">{"Full Sheet",#N/A,FALSE,"Expense Comparison"}</definedName>
    <definedName name="wrn.Full._.Report" localSheetId="23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" localSheetId="22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." localSheetId="23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." localSheetId="22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.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Inputs." localSheetId="23" hidden="1">{"Inflation-BaseYear",#N/A,FALSE,"Inputs"}</definedName>
    <definedName name="wrn.Inputs." localSheetId="22" hidden="1">{"Inflation-BaseYear",#N/A,FALSE,"Inputs"}</definedName>
    <definedName name="wrn.Inputs." hidden="1">{"Inflation-BaseYear",#N/A,FALSE,"Inputs"}</definedName>
    <definedName name="wrn.Las._.Palomas._.Hotel." localSheetId="23" hidden="1">{"Utilization",#N/A,FALSE,"Utilization";"Sources",#N/A,FALSE,"Sources"}</definedName>
    <definedName name="wrn.Las._.Palomas._.Hotel." localSheetId="22" hidden="1">{"Utilization",#N/A,FALSE,"Utilization";"Sources",#N/A,FALSE,"Sources"}</definedName>
    <definedName name="wrn.Las._.Palomas._.Hotel." hidden="1">{"Utilization",#N/A,FALSE,"Utilization";"Sources",#N/A,FALSE,"Sources"}</definedName>
    <definedName name="wrn.Latent._.Demand._.Inputs." localSheetId="23" hidden="1">{#N/A,#N/A,FALSE,"Latent"}</definedName>
    <definedName name="wrn.Latent._.Demand._.Inputs." localSheetId="22" hidden="1">{#N/A,#N/A,FALSE,"Latent"}</definedName>
    <definedName name="wrn.Latent._.Demand._.Inputs." hidden="1">{#N/A,#N/A,FALSE,"Latent"}</definedName>
    <definedName name="wrn.LETTERED." localSheetId="2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2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nsum" localSheetId="23" hidden="1">{"Loan Summary",#N/A,FALSE,"Phase 1 loan &amp; data"}</definedName>
    <definedName name="wrn.lnsum" localSheetId="22" hidden="1">{"Loan Summary",#N/A,FALSE,"Phase 1 loan &amp; data"}</definedName>
    <definedName name="wrn.lnsum" hidden="1">{"Loan Summary",#N/A,FALSE,"Phase 1 loan &amp; data"}</definedName>
    <definedName name="wrn.Loan._.Summary." localSheetId="23" hidden="1">{"Loan Summary",#N/A,FALSE,"Phase 1 loan &amp; data"}</definedName>
    <definedName name="wrn.Loan._.Summary." localSheetId="22" hidden="1">{"Loan Summary",#N/A,FALSE,"Phase 1 loan &amp; data"}</definedName>
    <definedName name="wrn.Loan._.Summary." hidden="1">{"Loan Summary",#N/A,FALSE,"Phase 1 loan &amp; data"}</definedName>
    <definedName name="wrn.Lower._.Tier._.Model." localSheetId="23" hidden="1">{#N/A,#N/A,FALSE,"Summary";#N/A,#N/A,FALSE,"Sources and Uses";"TCA",#N/A,FALSE,"Proforma Operations";"Stabilized Operations",#N/A,FALSE,"Proforma Operations";"15 Year Proforma",#N/A,FALSE,"Proforma Operations";#N/A,#N/A,FALSE,"Qualified Basis";#N/A,#N/A,FALSE,"Lease-Up";#N/A,#N/A,FALSE,"Tax Credit Analysis";#N/A,#N/A,FALSE,"Buyer's IRR";#N/A,#N/A,FALSE,"EP&amp;TCS"}</definedName>
    <definedName name="wrn.Lower._.Tier._.Model." localSheetId="22" hidden="1">{#N/A,#N/A,FALSE,"Summary";#N/A,#N/A,FALSE,"Sources and Uses";"TCA",#N/A,FALSE,"Proforma Operations";"Stabilized Operations",#N/A,FALSE,"Proforma Operations";"15 Year Proforma",#N/A,FALSE,"Proforma Operations";#N/A,#N/A,FALSE,"Qualified Basis";#N/A,#N/A,FALSE,"Lease-Up";#N/A,#N/A,FALSE,"Tax Credit Analysis";#N/A,#N/A,FALSE,"Buyer's IRR";#N/A,#N/A,FALSE,"EP&amp;TCS"}</definedName>
    <definedName name="wrn.Lower._.Tier._.Model." hidden="1">{#N/A,#N/A,FALSE,"Summary";#N/A,#N/A,FALSE,"Sources and Uses";"TCA",#N/A,FALSE,"Proforma Operations";"Stabilized Operations",#N/A,FALSE,"Proforma Operations";"15 Year Proforma",#N/A,FALSE,"Proforma Operations";#N/A,#N/A,FALSE,"Qualified Basis";#N/A,#N/A,FALSE,"Lease-Up";#N/A,#N/A,FALSE,"Tax Credit Analysis";#N/A,#N/A,FALSE,"Buyer's IRR";#N/A,#N/A,FALSE,"EP&amp;TCS"}</definedName>
    <definedName name="wrn.ltrd." localSheetId="2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trd." localSheetId="2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TV._.Output." localSheetId="23" hidden="1">{"LTV Output",#N/A,FALSE,"Output"}</definedName>
    <definedName name="wrn.LTV._.Output." localSheetId="22" hidden="1">{"LTV Output",#N/A,FALSE,"Output"}</definedName>
    <definedName name="wrn.LTV._.Output." hidden="1">{"LTV Output",#N/A,FALSE,"Output"}</definedName>
    <definedName name="wrn.MARKETING." localSheetId="23" hidden="1">{#N/A,#N/A,FALSE,"MARKETING I";#N/A,#N/A,FALSE,"MARKETING II";#N/A,#N/A,FALSE,"MARKETING III"}</definedName>
    <definedName name="wrn.MARKETING." localSheetId="22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23" hidden="1">{"MINRENT2",#N/A,FALSE,"SCHEDULE B"}</definedName>
    <definedName name="wrn.MINRENT." localSheetId="22" hidden="1">{"MINRENT2",#N/A,FALSE,"SCHEDULE B"}</definedName>
    <definedName name="wrn.MINRENT." hidden="1">{"MINRENT2",#N/A,FALSE,"SCHEDULE B"}</definedName>
    <definedName name="wrn.minrent.2" localSheetId="23" hidden="1">{"MINRENT2",#N/A,FALSE,"SCHEDULE B"}</definedName>
    <definedName name="wrn.minrent.2" localSheetId="22" hidden="1">{"MINRENT2",#N/A,FALSE,"SCHEDULE B"}</definedName>
    <definedName name="wrn.minrent.2" hidden="1">{"MINRENT2",#N/A,FALSE,"SCHEDULE B"}</definedName>
    <definedName name="wrn.mkting" localSheetId="23" hidden="1">{#N/A,#N/A,FALSE,"MARKETING I";#N/A,#N/A,FALSE,"MARKETING II";#N/A,#N/A,FALSE,"MARKETING III"}</definedName>
    <definedName name="wrn.mkting" localSheetId="22" hidden="1">{#N/A,#N/A,FALSE,"MARKETING I";#N/A,#N/A,FALSE,"MARKETING II";#N/A,#N/A,FALSE,"MARKETING III"}</definedName>
    <definedName name="wrn.mkting" hidden="1">{#N/A,#N/A,FALSE,"MARKETING I";#N/A,#N/A,FALSE,"MARKETING II";#N/A,#N/A,FALSE,"MARKETING III"}</definedName>
    <definedName name="wrn.Occupancy._.Calcs." localSheetId="23" hidden="1">{#N/A,#N/A,FALSE,"Occ. Calcs"}</definedName>
    <definedName name="wrn.Occupancy._.Calcs." localSheetId="22" hidden="1">{#N/A,#N/A,FALSE,"Occ. Calcs"}</definedName>
    <definedName name="wrn.Occupancy._.Calcs." hidden="1">{#N/A,#N/A,FALSE,"Occ. Calcs"}</definedName>
    <definedName name="wrn.office." localSheetId="23" hidden="1">{#N/A,#N/A,FALSE,"Pad Fees";#N/A,#N/A,FALSE,"Parking Budget";#N/A,#N/A,FALSE,"Parking Cash Flow";#N/A,#N/A,FALSE,"Parking Assumptions Summary";#N/A,#N/A,FALSE,"Assumptions-M";#N/A,#N/A,FALSE,"Assumptions-T";#N/A,#N/A,FALSE,"Assumptions-W";#N/A,#N/A,FALSE,"Assumptions-R";#N/A,#N/A,FALSE,"Assumptions-F";#N/A,#N/A,FALSE,"Assumptions-Sa";#N/A,#N/A,FALSE,"Assumptions-Su";#N/A,#N/A,FALSE,"Bond Debt Service";#N/A,#N/A,FALSE,"Bond Shortfall"}</definedName>
    <definedName name="wrn.office." localSheetId="22" hidden="1">{#N/A,#N/A,FALSE,"Pad Fees";#N/A,#N/A,FALSE,"Parking Budget";#N/A,#N/A,FALSE,"Parking Cash Flow";#N/A,#N/A,FALSE,"Parking Assumptions Summary";#N/A,#N/A,FALSE,"Assumptions-M";#N/A,#N/A,FALSE,"Assumptions-T";#N/A,#N/A,FALSE,"Assumptions-W";#N/A,#N/A,FALSE,"Assumptions-R";#N/A,#N/A,FALSE,"Assumptions-F";#N/A,#N/A,FALSE,"Assumptions-Sa";#N/A,#N/A,FALSE,"Assumptions-Su";#N/A,#N/A,FALSE,"Bond Debt Service";#N/A,#N/A,FALSE,"Bond Shortfall"}</definedName>
    <definedName name="wrn.office." hidden="1">{#N/A,#N/A,FALSE,"Pad Fees";#N/A,#N/A,FALSE,"Parking Budget";#N/A,#N/A,FALSE,"Parking Cash Flow";#N/A,#N/A,FALSE,"Parking Assumptions Summary";#N/A,#N/A,FALSE,"Assumptions-M";#N/A,#N/A,FALSE,"Assumptions-T";#N/A,#N/A,FALSE,"Assumptions-W";#N/A,#N/A,FALSE,"Assumptions-R";#N/A,#N/A,FALSE,"Assumptions-F";#N/A,#N/A,FALSE,"Assumptions-Sa";#N/A,#N/A,FALSE,"Assumptions-Su";#N/A,#N/A,FALSE,"Bond Debt Service";#N/A,#N/A,FALSE,"Bond Shortfall"}</definedName>
    <definedName name="wrn.Output3Column." localSheetId="23" hidden="1">{"Output-3Column",#N/A,FALSE,"Output"}</definedName>
    <definedName name="wrn.Output3Column." localSheetId="22" hidden="1">{"Output-3Column",#N/A,FALSE,"Output"}</definedName>
    <definedName name="wrn.Output3Column." hidden="1">{"Output-3Column",#N/A,FALSE,"Output"}</definedName>
    <definedName name="wrn.OutputAll." localSheetId="23" hidden="1">{"Output-All",#N/A,FALSE,"Output"}</definedName>
    <definedName name="wrn.OutputAll." localSheetId="22" hidden="1">{"Output-All",#N/A,FALSE,"Output"}</definedName>
    <definedName name="wrn.OutputAll." hidden="1">{"Output-All",#N/A,FALSE,"Output"}</definedName>
    <definedName name="wrn.OutputBaseYear." localSheetId="23" hidden="1">{"Output-BaseYear",#N/A,FALSE,"Output"}</definedName>
    <definedName name="wrn.OutputBaseYear." localSheetId="22" hidden="1">{"Output-BaseYear",#N/A,FALSE,"Output"}</definedName>
    <definedName name="wrn.OutputBaseYear." hidden="1">{"Output-BaseYear",#N/A,FALSE,"Output"}</definedName>
    <definedName name="wrn.OutputMin." localSheetId="23" hidden="1">{"Output-Min",#N/A,FALSE,"Output"}</definedName>
    <definedName name="wrn.OutputMin." localSheetId="22" hidden="1">{"Output-Min",#N/A,FALSE,"Output"}</definedName>
    <definedName name="wrn.OutputMin." hidden="1">{"Output-Min",#N/A,FALSE,"Output"}</definedName>
    <definedName name="wrn.OutputPercent." localSheetId="23" hidden="1">{"Output%",#N/A,FALSE,"Output"}</definedName>
    <definedName name="wrn.OutputPercent." localSheetId="22" hidden="1">{"Output%",#N/A,FALSE,"Output"}</definedName>
    <definedName name="wrn.OutputPercent." hidden="1">{"Output%",#N/A,FALSE,"Output"}</definedName>
    <definedName name="wrn.Penetration." localSheetId="23" hidden="1">{#N/A,#N/A,FALSE,"Mkt Pen"}</definedName>
    <definedName name="wrn.Penetration." localSheetId="22" hidden="1">{#N/A,#N/A,FALSE,"Mkt Pen"}</definedName>
    <definedName name="wrn.Penetration." hidden="1">{#N/A,#N/A,FALSE,"Mkt Pen"}</definedName>
    <definedName name="wrn.PERCENTAGE._.RENT." localSheetId="23" hidden="1">{"PERCENTAGE RENT",#N/A,TRUE,"SCHEDULE B"}</definedName>
    <definedName name="wrn.PERCENTAGE._.RENT." localSheetId="22" hidden="1">{"PERCENTAGE RENT",#N/A,TRUE,"SCHEDULE B"}</definedName>
    <definedName name="wrn.PERCENTAGE._.RENT." hidden="1">{"PERCENTAGE RENT",#N/A,TRUE,"SCHEDULE B"}</definedName>
    <definedName name="wrn.prcntrent" localSheetId="23" hidden="1">{"PERCENTAGE RENT",#N/A,TRUE,"SCHEDULE B"}</definedName>
    <definedName name="wrn.prcntrent" localSheetId="22" hidden="1">{"PERCENTAGE RENT",#N/A,TRUE,"SCHEDULE B"}</definedName>
    <definedName name="wrn.prcntrent" hidden="1">{"PERCENTAGE RENT",#N/A,TRUE,"SCHEDULE B"}</definedName>
    <definedName name="wrn.Primary._.Competition." localSheetId="23" hidden="1">{#N/A,#N/A,FALSE,"Primary"}</definedName>
    <definedName name="wrn.Primary._.Competition." localSheetId="22" hidden="1">{#N/A,#N/A,FALSE,"Primary"}</definedName>
    <definedName name="wrn.Primary._.Competition." hidden="1">{#N/A,#N/A,FALSE,"Primary"}</definedName>
    <definedName name="wrn.Print._.All._.Worksheets." localSheetId="23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2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oforma." localSheetId="23" hidden="1">{#N/A,#N/A,FALSE,"ExecSum";#N/A,#N/A,FALSE,"Budget";#N/A,#N/A,FALSE,"total summary";#N/A,#N/A,FALSE,"CashFlow"}</definedName>
    <definedName name="wrn.proforma." localSheetId="22" hidden="1">{#N/A,#N/A,FALSE,"ExecSum";#N/A,#N/A,FALSE,"Budget";#N/A,#N/A,FALSE,"total summary";#N/A,#N/A,FALSE,"CashFlow"}</definedName>
    <definedName name="wrn.proforma." hidden="1">{#N/A,#N/A,FALSE,"ExecSum";#N/A,#N/A,FALSE,"Budget";#N/A,#N/A,FALSE,"total summary";#N/A,#N/A,FALSE,"CashFlow"}</definedName>
    <definedName name="wrn.rate." localSheetId="23" hidden="1">{"RATES",#N/A,FALSE,"RECOVERY RATES";"CONTRIBUTIONS",#N/A,FALSE,"RECOVERY RATES";"GLA CATEGORY SUMMARY",#N/A,FALSE,"RECOVERY RATES"}</definedName>
    <definedName name="wrn.rate." localSheetId="22" hidden="1">{"RATES",#N/A,FALSE,"RECOVERY RATES";"CONTRIBUTIONS",#N/A,FALSE,"RECOVERY RATES";"GLA CATEGORY SUMMARY",#N/A,FALSE,"RECOVERY RATES"}</definedName>
    <definedName name="wrn.rate." hidden="1">{"RATES",#N/A,FALSE,"RECOVERY RATES";"CONTRIBUTIONS",#N/A,FALSE,"RECOVERY RATES";"GLA CATEGORY SUMMARY",#N/A,FALSE,"RECOVERY RATES"}</definedName>
    <definedName name="wrn.RATES." localSheetId="23" hidden="1">{"RATES",#N/A,FALSE,"RECOVERY RATES";"CONTRIBUTIONS",#N/A,FALSE,"RECOVERY RATES";"GLA CATEGORY SUMMARY",#N/A,FALSE,"RECOVERY RATES"}</definedName>
    <definedName name="wrn.RATES." localSheetId="22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23" hidden="1">{"ACCOUNTING COPY",#N/A,FALSE,"SCHEDULE A";"FINANCE COPY",#N/A,FALSE,"SCHEDULE A";"P.L. COPY",#N/A,FALSE,"SCHEDULE A"}</definedName>
    <definedName name="wrn.SCHAs." localSheetId="22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as2" localSheetId="23" hidden="1">{"ACCOUNTING COPY",#N/A,FALSE,"SCHEDULE A";"FINANCE COPY",#N/A,FALSE,"SCHEDULE A";"P.L. COPY",#N/A,FALSE,"SCHEDULE A"}</definedName>
    <definedName name="wrn.schas2" localSheetId="22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ULES._.ABC." localSheetId="23" hidden="1">{#N/A,#N/A,FALSE,"SCHEDULE A";"MINIMUM RENT",#N/A,FALSE,"SCHEDULES B &amp; C";"PERCENTAGE RENT",#N/A,FALSE,"SCHEDULES B &amp; C"}</definedName>
    <definedName name="wrn.SCHEDULES._.ABC." localSheetId="22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seafirst." localSheetId="23" hidden="1">{#N/A,#N/A,FALSE,"Project Summary";#N/A,#N/A,FALSE,"Master Developer Cash Flow";#N/A,#N/A,FALSE,"Parking Budget";#N/A,#N/A,FALSE,"Parking Cash Flow2";#N/A,#N/A,FALSE,"Parking Assumptions";#N/A,#N/A,FALSE,"Bond Structure - Lease";#N/A,#N/A,FALSE,"Retail Development Budget";#N/A,#N/A,FALSE,"Retail Cash Flow";#N/A,#N/A,FALSE,"Retail Assumptions Summary";#N/A,#N/A,FALSE,"Retail Income Assumptions";#N/A,#N/A,FALSE,"Retail % Rent";#N/A,#N/A,FALSE,"Retail Debt Service";#N/A,#N/A,FALSE,"Office Development Budget";#N/A,#N/A,FALSE,"Office Cash Flow";#N/A,#N/A,FALSE,"Office Assumptions";#N/A,#N/A,FALSE,"Office Debt Service";#N/A,#N/A,FALSE,"Hotel Development Budget";#N/A,#N/A,FALSE,"Hotel Cash Flow";#N/A,#N/A,FALSE,"Hotel Assumptions";#N/A,#N/A,FALSE,"Hotel Debt Service"}</definedName>
    <definedName name="wrn.seafirst." localSheetId="22" hidden="1">{#N/A,#N/A,FALSE,"Project Summary";#N/A,#N/A,FALSE,"Master Developer Cash Flow";#N/A,#N/A,FALSE,"Parking Budget";#N/A,#N/A,FALSE,"Parking Cash Flow2";#N/A,#N/A,FALSE,"Parking Assumptions";#N/A,#N/A,FALSE,"Bond Structure - Lease";#N/A,#N/A,FALSE,"Retail Development Budget";#N/A,#N/A,FALSE,"Retail Cash Flow";#N/A,#N/A,FALSE,"Retail Assumptions Summary";#N/A,#N/A,FALSE,"Retail Income Assumptions";#N/A,#N/A,FALSE,"Retail % Rent";#N/A,#N/A,FALSE,"Retail Debt Service";#N/A,#N/A,FALSE,"Office Development Budget";#N/A,#N/A,FALSE,"Office Cash Flow";#N/A,#N/A,FALSE,"Office Assumptions";#N/A,#N/A,FALSE,"Office Debt Service";#N/A,#N/A,FALSE,"Hotel Development Budget";#N/A,#N/A,FALSE,"Hotel Cash Flow";#N/A,#N/A,FALSE,"Hotel Assumptions";#N/A,#N/A,FALSE,"Hotel Debt Service"}</definedName>
    <definedName name="wrn.seafirst." hidden="1">{#N/A,#N/A,FALSE,"Project Summary";#N/A,#N/A,FALSE,"Master Developer Cash Flow";#N/A,#N/A,FALSE,"Parking Budget";#N/A,#N/A,FALSE,"Parking Cash Flow2";#N/A,#N/A,FALSE,"Parking Assumptions";#N/A,#N/A,FALSE,"Bond Structure - Lease";#N/A,#N/A,FALSE,"Retail Development Budget";#N/A,#N/A,FALSE,"Retail Cash Flow";#N/A,#N/A,FALSE,"Retail Assumptions Summary";#N/A,#N/A,FALSE,"Retail Income Assumptions";#N/A,#N/A,FALSE,"Retail % Rent";#N/A,#N/A,FALSE,"Retail Debt Service";#N/A,#N/A,FALSE,"Office Development Budget";#N/A,#N/A,FALSE,"Office Cash Flow";#N/A,#N/A,FALSE,"Office Assumptions";#N/A,#N/A,FALSE,"Office Debt Service";#N/A,#N/A,FALSE,"Hotel Development Budget";#N/A,#N/A,FALSE,"Hotel Cash Flow";#N/A,#N/A,FALSE,"Hotel Assumptions";#N/A,#N/A,FALSE,"Hotel Debt Service"}</definedName>
    <definedName name="wrn.Secondary._.Competition." localSheetId="23" hidden="1">{#N/A,#N/A,FALSE,"Secondary"}</definedName>
    <definedName name="wrn.Secondary._.Competition." localSheetId="22" hidden="1">{#N/A,#N/A,FALSE,"Secondary"}</definedName>
    <definedName name="wrn.Secondary._.Competition." hidden="1">{#N/A,#N/A,FALSE,"Secondary"}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upply._.Additions." localSheetId="23" hidden="1">{#N/A,#N/A,FALSE,"Supply Addn"}</definedName>
    <definedName name="wrn.Supply._.Additions." localSheetId="22" hidden="1">{#N/A,#N/A,FALSE,"Supply Addn"}</definedName>
    <definedName name="wrn.Supply._.Additions." hidden="1">{#N/A,#N/A,FALSE,"Supply Addn"}</definedName>
    <definedName name="wrn.TANASBOURNE._.ONLY." localSheetId="23" hidden="1">{#N/A,#N/A,FALSE,"Expense Comparison"}</definedName>
    <definedName name="wrn.TANASBOURNE._.ONLY." localSheetId="22" hidden="1">{#N/A,#N/A,FALSE,"Expense Comparison"}</definedName>
    <definedName name="wrn.TANASBOURNE._.ONLY." hidden="1">{#N/A,#N/A,FALSE,"Expense Comparison"}</definedName>
    <definedName name="wrn.TEST." localSheetId="23" hidden="1">{#N/A,#N/A,FALSE,"SCHEDULE G"}</definedName>
    <definedName name="wrn.TEST." localSheetId="22" hidden="1">{#N/A,#N/A,FALSE,"SCHEDULE G"}</definedName>
    <definedName name="wrn.TEST." hidden="1">{#N/A,#N/A,FALSE,"SCHEDULE G"}</definedName>
    <definedName name="wrn.TOCHTERMAN." localSheetId="23" hidden="1">{#N/A,#N/A,FALSE,"Project Summary";#N/A,#N/A,FALSE,"Parking Budget";#N/A,#N/A,FALSE,"Parking Cash Flow";#N/A,#N/A,FALSE,"Parking Assumptions";#N/A,#N/A,FALSE,"Bond Debt Service";#N/A,#N/A,FALSE,"Pad Fees";#N/A,#N/A,FALSE,"Bond Shortfall";#N/A,#N/A,FALSE,"Retail Development Budget";#N/A,#N/A,FALSE,"Retail Cash Flow";#N/A,#N/A,FALSE,"Retail Assumptions Summary";#N/A,#N/A,FALSE,"Office Development Budget";#N/A,#N/A,FALSE,"Office Cash Flow";#N/A,#N/A,FALSE,"Office Assumptions";#N/A,#N/A,FALSE,"Hotel Development Budget";#N/A,#N/A,FALSE,"Hotel Cash Flow";#N/A,#N/A,FALSE,"Land Lease NPV"}</definedName>
    <definedName name="wrn.TOCHTERMAN." localSheetId="22" hidden="1">{#N/A,#N/A,FALSE,"Project Summary";#N/A,#N/A,FALSE,"Parking Budget";#N/A,#N/A,FALSE,"Parking Cash Flow";#N/A,#N/A,FALSE,"Parking Assumptions";#N/A,#N/A,FALSE,"Bond Debt Service";#N/A,#N/A,FALSE,"Pad Fees";#N/A,#N/A,FALSE,"Bond Shortfall";#N/A,#N/A,FALSE,"Retail Development Budget";#N/A,#N/A,FALSE,"Retail Cash Flow";#N/A,#N/A,FALSE,"Retail Assumptions Summary";#N/A,#N/A,FALSE,"Office Development Budget";#N/A,#N/A,FALSE,"Office Cash Flow";#N/A,#N/A,FALSE,"Office Assumptions";#N/A,#N/A,FALSE,"Hotel Development Budget";#N/A,#N/A,FALSE,"Hotel Cash Flow";#N/A,#N/A,FALSE,"Land Lease NPV"}</definedName>
    <definedName name="wrn.TOCHTERMAN." hidden="1">{#N/A,#N/A,FALSE,"Project Summary";#N/A,#N/A,FALSE,"Parking Budget";#N/A,#N/A,FALSE,"Parking Cash Flow";#N/A,#N/A,FALSE,"Parking Assumptions";#N/A,#N/A,FALSE,"Bond Debt Service";#N/A,#N/A,FALSE,"Pad Fees";#N/A,#N/A,FALSE,"Bond Shortfall";#N/A,#N/A,FALSE,"Retail Development Budget";#N/A,#N/A,FALSE,"Retail Cash Flow";#N/A,#N/A,FALSE,"Retail Assumptions Summary";#N/A,#N/A,FALSE,"Office Development Budget";#N/A,#N/A,FALSE,"Office Cash Flow";#N/A,#N/A,FALSE,"Office Assumptions";#N/A,#N/A,FALSE,"Hotel Development Budget";#N/A,#N/A,FALSE,"Hotel Cash Flow";#N/A,#N/A,FALSE,"Land Lease NPV"}</definedName>
    <definedName name="wrn.valuation." localSheetId="23" hidden="1">{"Page1",#N/A,FALSE,"7979";"Page2",#N/A,FALSE,"7979";"Page3",#N/A,FALSE,"7979"}</definedName>
    <definedName name="wrn.valuation." localSheetId="22" hidden="1">{"Page1",#N/A,FALSE,"7979";"Page2",#N/A,FALSE,"7979";"Page3",#N/A,FALSE,"7979"}</definedName>
    <definedName name="wrn.valuation." hidden="1">{"Page1",#N/A,FALSE,"7979";"Page2",#N/A,FALSE,"7979";"Page3",#N/A,FALSE,"7979"}</definedName>
    <definedName name="x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  <definedName name="xx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xx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xx" hidden="1">{#N/A,#N/A,FALSE,"Summation";#N/A,#N/A,FALSE,"BSA";#N/A,#N/A,FALSE,"Detail1";#N/A,#N/A,FALSE,"Detail2";#N/A,#N/A,FALSE,"Detail3";#N/A,#N/A,FALSE,"WFTE_Summary";#N/A,#N/A,FALSE,"Funded_WFTE";#N/A,#N/A,FALSE,"PYADJ96"}</definedName>
  </definedNames>
  <calcPr calcId="191028"/>
  <pivotCaches>
    <pivotCache cacheId="0" r:id="rId4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8" i="25" l="1" a="1"/>
  <c r="D168" i="25" s="1"/>
  <c r="M183" i="25" l="1"/>
  <c r="H56" i="25" l="1"/>
  <c r="F56" i="25"/>
  <c r="P74" i="25"/>
  <c r="P73" i="25"/>
  <c r="P66" i="25"/>
  <c r="P62" i="25"/>
  <c r="H49" i="20"/>
  <c r="I49" i="20"/>
  <c r="J49" i="20"/>
  <c r="K49" i="20"/>
  <c r="L49" i="20"/>
  <c r="M49" i="20"/>
  <c r="N49" i="20"/>
  <c r="O49" i="20"/>
  <c r="G49" i="20"/>
  <c r="H35" i="20"/>
  <c r="I35" i="20"/>
  <c r="J35" i="20"/>
  <c r="K35" i="20"/>
  <c r="L35" i="20"/>
  <c r="M35" i="20"/>
  <c r="N35" i="20"/>
  <c r="O35" i="20"/>
  <c r="G35" i="20"/>
  <c r="L47" i="20"/>
  <c r="K47" i="20"/>
  <c r="J47" i="20"/>
  <c r="I47" i="20"/>
  <c r="H47" i="20"/>
  <c r="N47" i="20" s="1"/>
  <c r="G47" i="20"/>
  <c r="O47" i="20" s="1"/>
  <c r="L46" i="20"/>
  <c r="K46" i="20"/>
  <c r="J46" i="20"/>
  <c r="I46" i="20"/>
  <c r="H46" i="20"/>
  <c r="N46" i="20" s="1"/>
  <c r="O46" i="20" s="1"/>
  <c r="G46" i="20"/>
  <c r="L45" i="20"/>
  <c r="K45" i="20"/>
  <c r="J45" i="20"/>
  <c r="I45" i="20"/>
  <c r="H45" i="20"/>
  <c r="N45" i="20" s="1"/>
  <c r="G45" i="20"/>
  <c r="O45" i="20" s="1"/>
  <c r="L44" i="20"/>
  <c r="K44" i="20"/>
  <c r="J44" i="20"/>
  <c r="I44" i="20"/>
  <c r="H44" i="20"/>
  <c r="N44" i="20" s="1"/>
  <c r="O44" i="20" s="1"/>
  <c r="G44" i="20"/>
  <c r="L43" i="20"/>
  <c r="K43" i="20"/>
  <c r="J43" i="20"/>
  <c r="I43" i="20"/>
  <c r="H43" i="20"/>
  <c r="N43" i="20" s="1"/>
  <c r="G43" i="20"/>
  <c r="O43" i="20" s="1"/>
  <c r="L42" i="20"/>
  <c r="K42" i="20"/>
  <c r="J42" i="20"/>
  <c r="I42" i="20"/>
  <c r="H42" i="20"/>
  <c r="N42" i="20" s="1"/>
  <c r="O42" i="20" s="1"/>
  <c r="G42" i="20"/>
  <c r="L41" i="20"/>
  <c r="K41" i="20"/>
  <c r="J41" i="20"/>
  <c r="I41" i="20"/>
  <c r="H41" i="20"/>
  <c r="N41" i="20" s="1"/>
  <c r="G41" i="20"/>
  <c r="O41" i="20" s="1"/>
  <c r="L40" i="20"/>
  <c r="K40" i="20"/>
  <c r="J40" i="20"/>
  <c r="I40" i="20"/>
  <c r="H40" i="20"/>
  <c r="N40" i="20" s="1"/>
  <c r="O40" i="20" s="1"/>
  <c r="G40" i="20"/>
  <c r="L39" i="20"/>
  <c r="K39" i="20"/>
  <c r="J39" i="20"/>
  <c r="I39" i="20"/>
  <c r="H39" i="20"/>
  <c r="N39" i="20" s="1"/>
  <c r="G39" i="20"/>
  <c r="O39" i="20" s="1"/>
  <c r="L34" i="20"/>
  <c r="K34" i="20"/>
  <c r="J34" i="20"/>
  <c r="I34" i="20"/>
  <c r="H34" i="20"/>
  <c r="N34" i="20" s="1"/>
  <c r="O34" i="20" s="1"/>
  <c r="G34" i="20"/>
  <c r="N33" i="20"/>
  <c r="L33" i="20"/>
  <c r="K33" i="20"/>
  <c r="J33" i="20"/>
  <c r="I33" i="20"/>
  <c r="H33" i="20"/>
  <c r="G33" i="20"/>
  <c r="O33" i="20" s="1"/>
  <c r="L32" i="20"/>
  <c r="K32" i="20"/>
  <c r="J32" i="20"/>
  <c r="I32" i="20"/>
  <c r="H32" i="20"/>
  <c r="N32" i="20" s="1"/>
  <c r="O32" i="20" s="1"/>
  <c r="G32" i="20"/>
  <c r="H30" i="20"/>
  <c r="I30" i="20"/>
  <c r="J30" i="20"/>
  <c r="K30" i="20"/>
  <c r="L30" i="20"/>
  <c r="M30" i="20"/>
  <c r="N30" i="20"/>
  <c r="O30" i="20"/>
  <c r="G30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4" i="20"/>
  <c r="H3" i="20"/>
  <c r="I3" i="39"/>
  <c r="H52" i="39"/>
  <c r="I3" i="38"/>
  <c r="J33" i="39"/>
  <c r="K33" i="39"/>
  <c r="L33" i="39"/>
  <c r="M33" i="39"/>
  <c r="N33" i="39"/>
  <c r="H33" i="39"/>
  <c r="I52" i="38" l="1"/>
  <c r="J52" i="38"/>
  <c r="K52" i="38"/>
  <c r="L52" i="38"/>
  <c r="M52" i="38"/>
  <c r="N52" i="38"/>
  <c r="J40" i="38"/>
  <c r="K40" i="38"/>
  <c r="L40" i="38"/>
  <c r="M40" i="38"/>
  <c r="N40" i="38"/>
  <c r="H40" i="38"/>
  <c r="H39" i="38"/>
  <c r="I39" i="38"/>
  <c r="J39" i="38"/>
  <c r="K39" i="38"/>
  <c r="L39" i="38"/>
  <c r="M39" i="38"/>
  <c r="O39" i="38"/>
  <c r="P39" i="38" s="1"/>
  <c r="M38" i="38"/>
  <c r="L38" i="38"/>
  <c r="K38" i="38"/>
  <c r="J38" i="38"/>
  <c r="I38" i="38"/>
  <c r="O38" i="38" s="1"/>
  <c r="P38" i="38" s="1"/>
  <c r="P40" i="38" s="1"/>
  <c r="H38" i="38"/>
  <c r="J33" i="38"/>
  <c r="K33" i="38"/>
  <c r="L33" i="38"/>
  <c r="M33" i="38"/>
  <c r="N33" i="38"/>
  <c r="H33" i="38"/>
  <c r="H169" i="25" a="1"/>
  <c r="H169" i="25" s="1"/>
  <c r="H74" i="25"/>
  <c r="H66" i="25"/>
  <c r="H40" i="18"/>
  <c r="I40" i="18"/>
  <c r="J40" i="18"/>
  <c r="K40" i="18"/>
  <c r="L40" i="18"/>
  <c r="M40" i="18"/>
  <c r="N40" i="18"/>
  <c r="G40" i="18"/>
  <c r="L29" i="18"/>
  <c r="K29" i="18"/>
  <c r="J29" i="18"/>
  <c r="I29" i="18"/>
  <c r="H29" i="18"/>
  <c r="N29" i="18" s="1"/>
  <c r="G29" i="18"/>
  <c r="H62" i="25"/>
  <c r="N5" i="18"/>
  <c r="N26" i="18"/>
  <c r="I26" i="18"/>
  <c r="J26" i="18"/>
  <c r="K26" i="18"/>
  <c r="L26" i="18"/>
  <c r="M26" i="18"/>
  <c r="H26" i="18"/>
  <c r="G26" i="18"/>
  <c r="H45" i="25"/>
  <c r="H46" i="25" s="1"/>
  <c r="F45" i="25"/>
  <c r="F127" i="25"/>
  <c r="P46" i="25"/>
  <c r="N46" i="25"/>
  <c r="L46" i="25"/>
  <c r="D46" i="25"/>
  <c r="C46" i="25"/>
  <c r="E46" i="25"/>
  <c r="G46" i="25"/>
  <c r="I46" i="25"/>
  <c r="J46" i="25"/>
  <c r="K46" i="25"/>
  <c r="O46" i="25"/>
  <c r="F74" i="25"/>
  <c r="G35" i="17"/>
  <c r="G24" i="17"/>
  <c r="A14" i="41"/>
  <c r="B14" i="41" s="1"/>
  <c r="B9" i="41"/>
  <c r="C9" i="41" s="1"/>
  <c r="E8" i="41"/>
  <c r="G8" i="41" s="1"/>
  <c r="C8" i="41"/>
  <c r="E7" i="41"/>
  <c r="G7" i="41" s="1"/>
  <c r="C7" i="41"/>
  <c r="E6" i="41"/>
  <c r="G6" i="41" s="1"/>
  <c r="C6" i="41"/>
  <c r="E5" i="41"/>
  <c r="G5" i="41" s="1"/>
  <c r="C5" i="41"/>
  <c r="E4" i="41"/>
  <c r="G4" i="41" s="1"/>
  <c r="C4" i="41"/>
  <c r="E9" i="41"/>
  <c r="C3" i="41"/>
  <c r="D74" i="25"/>
  <c r="D73" i="25"/>
  <c r="D66" i="25"/>
  <c r="D62" i="25"/>
  <c r="O53" i="16"/>
  <c r="O52" i="16"/>
  <c r="O51" i="16"/>
  <c r="O50" i="16"/>
  <c r="O49" i="16"/>
  <c r="O48" i="16"/>
  <c r="O47" i="16"/>
  <c r="O46" i="16"/>
  <c r="O45" i="16"/>
  <c r="O42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4" i="16"/>
  <c r="N54" i="16"/>
  <c r="M46" i="16"/>
  <c r="M47" i="16"/>
  <c r="M48" i="16"/>
  <c r="M49" i="16"/>
  <c r="M50" i="16"/>
  <c r="M51" i="16"/>
  <c r="M52" i="16"/>
  <c r="M53" i="16"/>
  <c r="M45" i="16"/>
  <c r="M54" i="16" s="1"/>
  <c r="M42" i="16"/>
  <c r="K16" i="34"/>
  <c r="I16" i="34"/>
  <c r="M14" i="34"/>
  <c r="K14" i="34"/>
  <c r="I14" i="34"/>
  <c r="M13" i="34"/>
  <c r="K13" i="34"/>
  <c r="I13" i="34"/>
  <c r="M10" i="34"/>
  <c r="K10" i="34"/>
  <c r="I10" i="34"/>
  <c r="M7" i="34"/>
  <c r="K7" i="34"/>
  <c r="I7" i="34"/>
  <c r="M6" i="34"/>
  <c r="K6" i="34"/>
  <c r="I6" i="34"/>
  <c r="I3" i="34" s="1"/>
  <c r="M5" i="34"/>
  <c r="M3" i="34" s="1"/>
  <c r="K5" i="34"/>
  <c r="K3" i="34" s="1"/>
  <c r="I5" i="34"/>
  <c r="M4" i="34"/>
  <c r="K4" i="34"/>
  <c r="I4" i="34"/>
  <c r="F46" i="25" l="1"/>
  <c r="I40" i="38"/>
  <c r="O40" i="38"/>
  <c r="L66" i="25" s="1"/>
  <c r="G3" i="41"/>
  <c r="G9" i="41" s="1"/>
  <c r="H8" i="20"/>
  <c r="H9" i="20"/>
  <c r="H18" i="20"/>
  <c r="H21" i="20"/>
  <c r="G3" i="20"/>
  <c r="M51" i="39"/>
  <c r="M50" i="39"/>
  <c r="M49" i="39"/>
  <c r="M48" i="39"/>
  <c r="M47" i="39"/>
  <c r="M46" i="39"/>
  <c r="M45" i="39"/>
  <c r="M44" i="39"/>
  <c r="M43" i="39"/>
  <c r="M39" i="39"/>
  <c r="M38" i="39"/>
  <c r="M5" i="39"/>
  <c r="M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4" i="39"/>
  <c r="L12" i="39"/>
  <c r="L17" i="39"/>
  <c r="L21" i="39"/>
  <c r="L26" i="39"/>
  <c r="K12" i="39"/>
  <c r="K17" i="39"/>
  <c r="K21" i="39"/>
  <c r="K26" i="39"/>
  <c r="J12" i="39"/>
  <c r="J17" i="39"/>
  <c r="J21" i="39"/>
  <c r="J26" i="39"/>
  <c r="H43" i="39"/>
  <c r="H39" i="39"/>
  <c r="H18" i="39"/>
  <c r="H19" i="39"/>
  <c r="I26" i="39"/>
  <c r="O26" i="39" s="1"/>
  <c r="P26" i="39" s="1"/>
  <c r="H3" i="39"/>
  <c r="H48" i="39" s="1"/>
  <c r="H3" i="38"/>
  <c r="H28" i="39" l="1"/>
  <c r="H12" i="39"/>
  <c r="H49" i="39"/>
  <c r="H27" i="39"/>
  <c r="H11" i="39"/>
  <c r="H50" i="39"/>
  <c r="H51" i="39"/>
  <c r="I17" i="39"/>
  <c r="O17" i="39" s="1"/>
  <c r="P17" i="39" s="1"/>
  <c r="H26" i="39"/>
  <c r="H9" i="39"/>
  <c r="H8" i="39"/>
  <c r="H23" i="39"/>
  <c r="H10" i="39"/>
  <c r="H24" i="39"/>
  <c r="H7" i="39"/>
  <c r="H22" i="39"/>
  <c r="H6" i="39"/>
  <c r="H25" i="39"/>
  <c r="H21" i="39"/>
  <c r="H5" i="39"/>
  <c r="I12" i="39"/>
  <c r="O12" i="39" s="1"/>
  <c r="P12" i="39" s="1"/>
  <c r="H20" i="39"/>
  <c r="H38" i="39"/>
  <c r="H40" i="39" s="1"/>
  <c r="N74" i="25" s="1"/>
  <c r="H4" i="39"/>
  <c r="H45" i="39"/>
  <c r="H31" i="39"/>
  <c r="H15" i="39"/>
  <c r="H46" i="39"/>
  <c r="H17" i="39"/>
  <c r="H32" i="39"/>
  <c r="H30" i="39"/>
  <c r="H14" i="39"/>
  <c r="H47" i="39"/>
  <c r="H44" i="39"/>
  <c r="H16" i="39"/>
  <c r="I21" i="39"/>
  <c r="O21" i="39" s="1"/>
  <c r="P21" i="39" s="1"/>
  <c r="H29" i="39"/>
  <c r="H13" i="39"/>
  <c r="I44" i="38"/>
  <c r="I45" i="38"/>
  <c r="I46" i="38"/>
  <c r="I47" i="38"/>
  <c r="I48" i="38"/>
  <c r="I49" i="38"/>
  <c r="I50" i="38"/>
  <c r="I51" i="38"/>
  <c r="M43" i="38"/>
  <c r="M44" i="38" s="1"/>
  <c r="M45" i="38" s="1"/>
  <c r="M46" i="38" s="1"/>
  <c r="M47" i="38" s="1"/>
  <c r="M48" i="38" s="1"/>
  <c r="I43" i="38"/>
  <c r="M4" i="38"/>
  <c r="M5" i="38" s="1"/>
  <c r="M6" i="38" s="1"/>
  <c r="M7" i="38" s="1"/>
  <c r="M8" i="38" s="1"/>
  <c r="M9" i="38" s="1"/>
  <c r="M10" i="38" s="1"/>
  <c r="M11" i="38" s="1"/>
  <c r="L12" i="38"/>
  <c r="L17" i="38"/>
  <c r="L21" i="38"/>
  <c r="L26" i="38"/>
  <c r="K12" i="38"/>
  <c r="K17" i="38"/>
  <c r="K21" i="38"/>
  <c r="K26" i="38"/>
  <c r="J12" i="38"/>
  <c r="J17" i="38"/>
  <c r="J21" i="38"/>
  <c r="J26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4" i="38"/>
  <c r="I12" i="38"/>
  <c r="I17" i="38"/>
  <c r="I21" i="38"/>
  <c r="I26" i="38"/>
  <c r="L34" i="18"/>
  <c r="L35" i="18"/>
  <c r="L36" i="18"/>
  <c r="G37" i="18"/>
  <c r="L37" i="18"/>
  <c r="L38" i="18"/>
  <c r="L39" i="18"/>
  <c r="L33" i="18"/>
  <c r="G33" i="18"/>
  <c r="L7" i="18"/>
  <c r="L8" i="18"/>
  <c r="L9" i="18"/>
  <c r="L10" i="18"/>
  <c r="L11" i="18"/>
  <c r="L12" i="18"/>
  <c r="L13" i="18"/>
  <c r="L14" i="18"/>
  <c r="L15" i="18"/>
  <c r="L16" i="18"/>
  <c r="L18" i="18"/>
  <c r="L19" i="18"/>
  <c r="L20" i="18"/>
  <c r="L21" i="18"/>
  <c r="L22" i="18"/>
  <c r="L23" i="18"/>
  <c r="L24" i="18"/>
  <c r="L6" i="18"/>
  <c r="L5" i="18"/>
  <c r="K17" i="18"/>
  <c r="J17" i="18"/>
  <c r="J25" i="18"/>
  <c r="I17" i="18"/>
  <c r="I25" i="18"/>
  <c r="G11" i="18"/>
  <c r="G15" i="18"/>
  <c r="G19" i="18"/>
  <c r="G20" i="18"/>
  <c r="G21" i="18"/>
  <c r="H17" i="18"/>
  <c r="N17" i="18" s="1"/>
  <c r="O17" i="18" s="1"/>
  <c r="H25" i="18"/>
  <c r="G4" i="18"/>
  <c r="G36" i="18" s="1"/>
  <c r="L33" i="17"/>
  <c r="L32" i="17"/>
  <c r="L31" i="17"/>
  <c r="L30" i="17"/>
  <c r="L29" i="17"/>
  <c r="L22" i="17"/>
  <c r="L21" i="17"/>
  <c r="L20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5" i="17"/>
  <c r="G33" i="17"/>
  <c r="G22" i="17"/>
  <c r="G21" i="17"/>
  <c r="G9" i="17"/>
  <c r="G10" i="17"/>
  <c r="G14" i="17"/>
  <c r="G5" i="17"/>
  <c r="K11" i="17"/>
  <c r="K16" i="17"/>
  <c r="K19" i="17"/>
  <c r="J11" i="17"/>
  <c r="J16" i="17"/>
  <c r="J19" i="17"/>
  <c r="I11" i="17"/>
  <c r="I16" i="17"/>
  <c r="I19" i="17"/>
  <c r="N19" i="17" s="1"/>
  <c r="O19" i="17" s="1"/>
  <c r="H11" i="17"/>
  <c r="H16" i="17"/>
  <c r="H19" i="17"/>
  <c r="G4" i="17"/>
  <c r="G11" i="17" s="1"/>
  <c r="G9" i="18" l="1"/>
  <c r="G5" i="18"/>
  <c r="G8" i="18"/>
  <c r="G10" i="18"/>
  <c r="G38" i="18"/>
  <c r="G24" i="18"/>
  <c r="G7" i="18"/>
  <c r="G23" i="18"/>
  <c r="G6" i="18"/>
  <c r="G22" i="18"/>
  <c r="G35" i="18"/>
  <c r="G18" i="18"/>
  <c r="G16" i="18"/>
  <c r="G39" i="18"/>
  <c r="G14" i="18"/>
  <c r="G13" i="18"/>
  <c r="G34" i="18"/>
  <c r="G12" i="18"/>
  <c r="G8" i="17"/>
  <c r="G7" i="17"/>
  <c r="G6" i="17"/>
  <c r="G20" i="17"/>
  <c r="G18" i="17"/>
  <c r="G29" i="17"/>
  <c r="G17" i="17"/>
  <c r="G30" i="17"/>
  <c r="G16" i="17"/>
  <c r="G31" i="17"/>
  <c r="G15" i="17"/>
  <c r="G32" i="17"/>
  <c r="G13" i="17"/>
  <c r="G12" i="17"/>
  <c r="M12" i="38"/>
  <c r="M13" i="38" s="1"/>
  <c r="M14" i="38" s="1"/>
  <c r="M15" i="38" s="1"/>
  <c r="M16" i="38" s="1"/>
  <c r="M17" i="38" s="1"/>
  <c r="M18" i="38" s="1"/>
  <c r="M19" i="38" s="1"/>
  <c r="M49" i="38"/>
  <c r="M50" i="38" s="1"/>
  <c r="M51" i="38" s="1"/>
  <c r="P11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4" i="16"/>
  <c r="L16" i="16"/>
  <c r="L11" i="16"/>
  <c r="K11" i="16"/>
  <c r="K16" i="16"/>
  <c r="L22" i="16"/>
  <c r="L29" i="16"/>
  <c r="K22" i="16"/>
  <c r="K29" i="16"/>
  <c r="J16" i="16"/>
  <c r="J11" i="16"/>
  <c r="J22" i="16"/>
  <c r="J29" i="16"/>
  <c r="I16" i="16"/>
  <c r="I11" i="16"/>
  <c r="H11" i="16"/>
  <c r="H12" i="16"/>
  <c r="H13" i="16"/>
  <c r="H14" i="16"/>
  <c r="H27" i="16"/>
  <c r="H28" i="16"/>
  <c r="H29" i="16"/>
  <c r="H30" i="16"/>
  <c r="I22" i="16"/>
  <c r="I29" i="16"/>
  <c r="P29" i="16" s="1"/>
  <c r="H3" i="16"/>
  <c r="H16" i="16" s="1"/>
  <c r="P16" i="16" s="1"/>
  <c r="H26" i="16" l="1"/>
  <c r="H10" i="16"/>
  <c r="M39" i="16"/>
  <c r="H24" i="16"/>
  <c r="H8" i="16"/>
  <c r="H4" i="16"/>
  <c r="H23" i="16"/>
  <c r="H7" i="16"/>
  <c r="H38" i="16"/>
  <c r="H22" i="16"/>
  <c r="P22" i="16" s="1"/>
  <c r="H6" i="16"/>
  <c r="H21" i="16"/>
  <c r="H36" i="16"/>
  <c r="H20" i="16"/>
  <c r="H5" i="16"/>
  <c r="H35" i="16"/>
  <c r="H34" i="16"/>
  <c r="H18" i="16"/>
  <c r="H33" i="16"/>
  <c r="H17" i="16"/>
  <c r="H25" i="16"/>
  <c r="H32" i="16"/>
  <c r="H47" i="16"/>
  <c r="H53" i="16"/>
  <c r="H42" i="16"/>
  <c r="H48" i="16"/>
  <c r="H49" i="16"/>
  <c r="H45" i="16"/>
  <c r="H50" i="16"/>
  <c r="H51" i="16"/>
  <c r="H52" i="16"/>
  <c r="H46" i="16"/>
  <c r="H9" i="16"/>
  <c r="H37" i="16"/>
  <c r="H19" i="16"/>
  <c r="H31" i="16"/>
  <c r="H15" i="16"/>
  <c r="M20" i="38"/>
  <c r="O17" i="38"/>
  <c r="P17" i="38" s="1"/>
  <c r="O12" i="38"/>
  <c r="P12" i="38" s="1"/>
  <c r="H54" i="16" l="1"/>
  <c r="H39" i="16"/>
  <c r="M21" i="38"/>
  <c r="M22" i="38" l="1"/>
  <c r="O21" i="38"/>
  <c r="P21" i="38" s="1"/>
  <c r="N6" i="25"/>
  <c r="E10" i="18"/>
  <c r="F10" i="18" s="1"/>
  <c r="D10" i="18"/>
  <c r="E9" i="18"/>
  <c r="D14" i="18"/>
  <c r="F14" i="18"/>
  <c r="K14" i="18" l="1"/>
  <c r="H14" i="18"/>
  <c r="J14" i="18"/>
  <c r="I14" i="18"/>
  <c r="K10" i="18"/>
  <c r="H10" i="18"/>
  <c r="J10" i="18"/>
  <c r="I10" i="18"/>
  <c r="M23" i="38"/>
  <c r="N10" i="18" l="1"/>
  <c r="O10" i="18" s="1"/>
  <c r="N14" i="18"/>
  <c r="O14" i="18" s="1"/>
  <c r="M24" i="38"/>
  <c r="E16" i="16"/>
  <c r="D16" i="16"/>
  <c r="E11" i="16"/>
  <c r="D11" i="16"/>
  <c r="G40" i="16"/>
  <c r="E14" i="16"/>
  <c r="F14" i="16" s="1"/>
  <c r="D14" i="16"/>
  <c r="E7" i="16"/>
  <c r="F7" i="16" s="1"/>
  <c r="D7" i="16"/>
  <c r="G34" i="39"/>
  <c r="B34" i="39"/>
  <c r="F32" i="39"/>
  <c r="D32" i="39"/>
  <c r="E31" i="39"/>
  <c r="F31" i="39" s="1"/>
  <c r="D31" i="39"/>
  <c r="E30" i="39"/>
  <c r="F30" i="39" s="1"/>
  <c r="D30" i="39"/>
  <c r="E29" i="39"/>
  <c r="F29" i="39" s="1"/>
  <c r="D29" i="39"/>
  <c r="E28" i="39"/>
  <c r="F28" i="39" s="1"/>
  <c r="D28" i="39"/>
  <c r="E27" i="39"/>
  <c r="F27" i="39" s="1"/>
  <c r="D27" i="39"/>
  <c r="E25" i="39"/>
  <c r="F25" i="39" s="1"/>
  <c r="D25" i="39"/>
  <c r="E24" i="39"/>
  <c r="F24" i="39" s="1"/>
  <c r="D24" i="39"/>
  <c r="E23" i="39"/>
  <c r="F23" i="39" s="1"/>
  <c r="D23" i="39"/>
  <c r="E22" i="39"/>
  <c r="F22" i="39" s="1"/>
  <c r="D22" i="39"/>
  <c r="E20" i="39"/>
  <c r="F20" i="39" s="1"/>
  <c r="D20" i="39"/>
  <c r="E19" i="39"/>
  <c r="F19" i="39" s="1"/>
  <c r="D19" i="39"/>
  <c r="E18" i="39"/>
  <c r="F18" i="39" s="1"/>
  <c r="D18" i="39"/>
  <c r="E16" i="39"/>
  <c r="F16" i="39" s="1"/>
  <c r="D16" i="39"/>
  <c r="E15" i="39"/>
  <c r="F15" i="39" s="1"/>
  <c r="D15" i="39"/>
  <c r="E14" i="39"/>
  <c r="F14" i="39" s="1"/>
  <c r="D14" i="39"/>
  <c r="E13" i="39"/>
  <c r="F13" i="39" s="1"/>
  <c r="D13" i="39"/>
  <c r="E11" i="39"/>
  <c r="F11" i="39" s="1"/>
  <c r="D11" i="39"/>
  <c r="E10" i="39"/>
  <c r="F10" i="39" s="1"/>
  <c r="D10" i="39"/>
  <c r="E9" i="39"/>
  <c r="F9" i="39" s="1"/>
  <c r="D9" i="39"/>
  <c r="E8" i="39"/>
  <c r="F8" i="39" s="1"/>
  <c r="D8" i="39"/>
  <c r="E7" i="39"/>
  <c r="F7" i="39" s="1"/>
  <c r="D7" i="39"/>
  <c r="E6" i="39"/>
  <c r="F6" i="39" s="1"/>
  <c r="D6" i="39"/>
  <c r="G34" i="38"/>
  <c r="B34" i="38"/>
  <c r="F32" i="38"/>
  <c r="D32" i="38"/>
  <c r="E31" i="38"/>
  <c r="F31" i="38" s="1"/>
  <c r="D31" i="38"/>
  <c r="E30" i="38"/>
  <c r="F30" i="38" s="1"/>
  <c r="D30" i="38"/>
  <c r="E29" i="38"/>
  <c r="F29" i="38" s="1"/>
  <c r="D29" i="38"/>
  <c r="E28" i="38"/>
  <c r="F28" i="38" s="1"/>
  <c r="D28" i="38"/>
  <c r="E27" i="38"/>
  <c r="F27" i="38" s="1"/>
  <c r="D27" i="38"/>
  <c r="E25" i="38"/>
  <c r="F25" i="38" s="1"/>
  <c r="D25" i="38"/>
  <c r="E24" i="38"/>
  <c r="F24" i="38" s="1"/>
  <c r="D24" i="38"/>
  <c r="E23" i="38"/>
  <c r="F23" i="38" s="1"/>
  <c r="D23" i="38"/>
  <c r="E22" i="38"/>
  <c r="F22" i="38" s="1"/>
  <c r="D22" i="38"/>
  <c r="E20" i="38"/>
  <c r="F20" i="38" s="1"/>
  <c r="D20" i="38"/>
  <c r="E19" i="38"/>
  <c r="F19" i="38" s="1"/>
  <c r="D19" i="38"/>
  <c r="E18" i="38"/>
  <c r="F18" i="38" s="1"/>
  <c r="D18" i="38"/>
  <c r="E16" i="38"/>
  <c r="F16" i="38" s="1"/>
  <c r="D16" i="38"/>
  <c r="E15" i="38"/>
  <c r="F15" i="38" s="1"/>
  <c r="D15" i="38"/>
  <c r="E14" i="38"/>
  <c r="F14" i="38" s="1"/>
  <c r="D14" i="38"/>
  <c r="E13" i="38"/>
  <c r="F13" i="38" s="1"/>
  <c r="D13" i="38"/>
  <c r="E11" i="38"/>
  <c r="F11" i="38" s="1"/>
  <c r="D11" i="38"/>
  <c r="E10" i="38"/>
  <c r="F10" i="38" s="1"/>
  <c r="D10" i="38"/>
  <c r="E9" i="38"/>
  <c r="F9" i="38" s="1"/>
  <c r="D9" i="38"/>
  <c r="E8" i="38"/>
  <c r="F8" i="38" s="1"/>
  <c r="D8" i="38"/>
  <c r="E7" i="38"/>
  <c r="F7" i="38" s="1"/>
  <c r="D7" i="38"/>
  <c r="E6" i="38"/>
  <c r="F6" i="38" s="1"/>
  <c r="D6" i="38"/>
  <c r="E5" i="38"/>
  <c r="F5" i="38" s="1"/>
  <c r="D5" i="38"/>
  <c r="E4" i="38"/>
  <c r="F4" i="38" s="1"/>
  <c r="D4" i="38"/>
  <c r="L25" i="39" l="1"/>
  <c r="J25" i="39"/>
  <c r="K25" i="39"/>
  <c r="I25" i="39"/>
  <c r="O25" i="39" s="1"/>
  <c r="P25" i="39" s="1"/>
  <c r="K20" i="39"/>
  <c r="L20" i="39"/>
  <c r="J20" i="39"/>
  <c r="I20" i="39"/>
  <c r="O20" i="39" s="1"/>
  <c r="P20" i="39" s="1"/>
  <c r="L7" i="39"/>
  <c r="J7" i="39"/>
  <c r="K7" i="39"/>
  <c r="I7" i="39"/>
  <c r="O7" i="39" s="1"/>
  <c r="P7" i="39" s="1"/>
  <c r="L24" i="39"/>
  <c r="J24" i="39"/>
  <c r="K24" i="39"/>
  <c r="I24" i="39"/>
  <c r="O24" i="39" s="1"/>
  <c r="P24" i="39" s="1"/>
  <c r="L6" i="39"/>
  <c r="J6" i="39"/>
  <c r="K6" i="39"/>
  <c r="I6" i="39"/>
  <c r="O6" i="39" s="1"/>
  <c r="P6" i="39" s="1"/>
  <c r="K14" i="39"/>
  <c r="L14" i="39"/>
  <c r="J14" i="39"/>
  <c r="I14" i="39"/>
  <c r="O14" i="39" s="1"/>
  <c r="P14" i="39" s="1"/>
  <c r="K15" i="39"/>
  <c r="L15" i="39"/>
  <c r="J15" i="39"/>
  <c r="I15" i="39"/>
  <c r="O15" i="39" s="1"/>
  <c r="P15" i="39" s="1"/>
  <c r="K32" i="39"/>
  <c r="J32" i="39"/>
  <c r="L32" i="39"/>
  <c r="I32" i="39"/>
  <c r="O32" i="39" s="1"/>
  <c r="P32" i="39" s="1"/>
  <c r="K16" i="39"/>
  <c r="L16" i="39"/>
  <c r="J16" i="39"/>
  <c r="I16" i="39"/>
  <c r="O16" i="39" s="1"/>
  <c r="P16" i="39" s="1"/>
  <c r="K18" i="39"/>
  <c r="J18" i="39"/>
  <c r="L18" i="39"/>
  <c r="I18" i="39"/>
  <c r="O18" i="39" s="1"/>
  <c r="P18" i="39" s="1"/>
  <c r="J9" i="39"/>
  <c r="L9" i="39"/>
  <c r="K9" i="39"/>
  <c r="I9" i="39"/>
  <c r="O9" i="39" s="1"/>
  <c r="P9" i="39" s="1"/>
  <c r="K19" i="39"/>
  <c r="L19" i="39"/>
  <c r="J19" i="39"/>
  <c r="I19" i="39"/>
  <c r="K29" i="39"/>
  <c r="L29" i="39"/>
  <c r="J29" i="39"/>
  <c r="I29" i="39"/>
  <c r="O29" i="39" s="1"/>
  <c r="P29" i="39" s="1"/>
  <c r="J11" i="39"/>
  <c r="K11" i="39"/>
  <c r="L11" i="39"/>
  <c r="I11" i="39"/>
  <c r="O11" i="39" s="1"/>
  <c r="P11" i="39" s="1"/>
  <c r="K31" i="39"/>
  <c r="J31" i="39"/>
  <c r="L31" i="39"/>
  <c r="I31" i="39"/>
  <c r="O31" i="39" s="1"/>
  <c r="P31" i="39" s="1"/>
  <c r="L8" i="39"/>
  <c r="J8" i="39"/>
  <c r="K8" i="39"/>
  <c r="I8" i="39"/>
  <c r="J27" i="39"/>
  <c r="L27" i="39"/>
  <c r="K27" i="39"/>
  <c r="I27" i="39"/>
  <c r="O27" i="39" s="1"/>
  <c r="P27" i="39" s="1"/>
  <c r="L28" i="39"/>
  <c r="J28" i="39"/>
  <c r="K28" i="39"/>
  <c r="I28" i="39"/>
  <c r="L10" i="39"/>
  <c r="J10" i="39"/>
  <c r="K10" i="39"/>
  <c r="I10" i="39"/>
  <c r="O10" i="39" s="1"/>
  <c r="P10" i="39" s="1"/>
  <c r="K30" i="39"/>
  <c r="L30" i="39"/>
  <c r="J30" i="39"/>
  <c r="I30" i="39"/>
  <c r="L22" i="39"/>
  <c r="J22" i="39"/>
  <c r="K22" i="39"/>
  <c r="I22" i="39"/>
  <c r="O22" i="39" s="1"/>
  <c r="P22" i="39" s="1"/>
  <c r="K13" i="39"/>
  <c r="L13" i="39"/>
  <c r="J13" i="39"/>
  <c r="I13" i="39"/>
  <c r="O13" i="39" s="1"/>
  <c r="P13" i="39" s="1"/>
  <c r="L23" i="39"/>
  <c r="J23" i="39"/>
  <c r="K23" i="39"/>
  <c r="I23" i="39"/>
  <c r="O23" i="39" s="1"/>
  <c r="P23" i="39" s="1"/>
  <c r="J11" i="38"/>
  <c r="K11" i="38"/>
  <c r="L11" i="38"/>
  <c r="I11" i="38"/>
  <c r="O11" i="38" s="1"/>
  <c r="P11" i="38" s="1"/>
  <c r="J30" i="38"/>
  <c r="K30" i="38"/>
  <c r="L30" i="38"/>
  <c r="I30" i="38"/>
  <c r="I18" i="38"/>
  <c r="J18" i="38"/>
  <c r="K18" i="38"/>
  <c r="L18" i="38"/>
  <c r="K10" i="38"/>
  <c r="J10" i="38"/>
  <c r="L10" i="38"/>
  <c r="I10" i="38"/>
  <c r="O10" i="38" s="1"/>
  <c r="P10" i="38" s="1"/>
  <c r="I4" i="38"/>
  <c r="L4" i="38"/>
  <c r="J4" i="38"/>
  <c r="K4" i="38"/>
  <c r="L28" i="38"/>
  <c r="J28" i="38"/>
  <c r="K28" i="38"/>
  <c r="I28" i="38"/>
  <c r="I29" i="38"/>
  <c r="J29" i="38"/>
  <c r="K29" i="38"/>
  <c r="L29" i="38"/>
  <c r="I19" i="38"/>
  <c r="J19" i="38"/>
  <c r="L19" i="38"/>
  <c r="K19" i="38"/>
  <c r="K20" i="38"/>
  <c r="L20" i="38"/>
  <c r="I20" i="38"/>
  <c r="J20" i="38"/>
  <c r="L22" i="38"/>
  <c r="K22" i="38"/>
  <c r="I22" i="38"/>
  <c r="O22" i="38" s="1"/>
  <c r="P22" i="38" s="1"/>
  <c r="J22" i="38"/>
  <c r="K31" i="38"/>
  <c r="J31" i="38"/>
  <c r="L31" i="38"/>
  <c r="I31" i="38"/>
  <c r="J13" i="38"/>
  <c r="K13" i="38"/>
  <c r="L13" i="38"/>
  <c r="I13" i="38"/>
  <c r="O13" i="38" s="1"/>
  <c r="P13" i="38" s="1"/>
  <c r="I32" i="38"/>
  <c r="J32" i="38"/>
  <c r="K32" i="38"/>
  <c r="L32" i="38"/>
  <c r="K14" i="38"/>
  <c r="J14" i="38"/>
  <c r="L14" i="38"/>
  <c r="I14" i="38"/>
  <c r="O14" i="38" s="1"/>
  <c r="P14" i="38" s="1"/>
  <c r="K24" i="38"/>
  <c r="I24" i="38"/>
  <c r="L24" i="38"/>
  <c r="J24" i="38"/>
  <c r="K25" i="38"/>
  <c r="J25" i="38"/>
  <c r="L25" i="38"/>
  <c r="I25" i="38"/>
  <c r="K8" i="38"/>
  <c r="I8" i="38"/>
  <c r="L8" i="38"/>
  <c r="J8" i="38"/>
  <c r="K9" i="38"/>
  <c r="J9" i="38"/>
  <c r="L9" i="38"/>
  <c r="I9" i="38"/>
  <c r="O9" i="38" s="1"/>
  <c r="P9" i="38" s="1"/>
  <c r="I23" i="38"/>
  <c r="L23" i="38"/>
  <c r="J23" i="38"/>
  <c r="K23" i="38"/>
  <c r="L5" i="38"/>
  <c r="I5" i="38"/>
  <c r="J5" i="38"/>
  <c r="K5" i="38"/>
  <c r="L6" i="38"/>
  <c r="K6" i="38"/>
  <c r="I6" i="38"/>
  <c r="J6" i="38"/>
  <c r="I15" i="38"/>
  <c r="J15" i="38"/>
  <c r="K15" i="38"/>
  <c r="L15" i="38"/>
  <c r="K7" i="38"/>
  <c r="L7" i="38"/>
  <c r="J7" i="38"/>
  <c r="I7" i="38"/>
  <c r="O7" i="38" s="1"/>
  <c r="P7" i="38" s="1"/>
  <c r="I16" i="38"/>
  <c r="J16" i="38"/>
  <c r="K16" i="38"/>
  <c r="L16" i="38"/>
  <c r="J27" i="38"/>
  <c r="L27" i="38"/>
  <c r="K27" i="38"/>
  <c r="I27" i="38"/>
  <c r="I14" i="16"/>
  <c r="L14" i="16"/>
  <c r="K14" i="16"/>
  <c r="J14" i="16"/>
  <c r="L7" i="16"/>
  <c r="K7" i="16"/>
  <c r="J7" i="16"/>
  <c r="I7" i="16"/>
  <c r="P7" i="16" s="1"/>
  <c r="M25" i="38"/>
  <c r="O24" i="38"/>
  <c r="P24" i="38" s="1"/>
  <c r="N11" i="17"/>
  <c r="O11" i="17" s="1"/>
  <c r="F34" i="38"/>
  <c r="D84" i="25"/>
  <c r="D127" i="25"/>
  <c r="D120" i="25"/>
  <c r="D119" i="25"/>
  <c r="D118" i="25"/>
  <c r="D114" i="25"/>
  <c r="O4" i="38" l="1"/>
  <c r="I33" i="38"/>
  <c r="O28" i="39"/>
  <c r="P28" i="39" s="1"/>
  <c r="O30" i="39"/>
  <c r="P30" i="39" s="1"/>
  <c r="O8" i="39"/>
  <c r="P8" i="39" s="1"/>
  <c r="O19" i="39"/>
  <c r="P19" i="39" s="1"/>
  <c r="H34" i="38"/>
  <c r="L59" i="25" s="1"/>
  <c r="O16" i="38"/>
  <c r="P16" i="38" s="1"/>
  <c r="O19" i="38"/>
  <c r="P19" i="38" s="1"/>
  <c r="O23" i="38"/>
  <c r="P23" i="38" s="1"/>
  <c r="O18" i="38"/>
  <c r="P18" i="38" s="1"/>
  <c r="O15" i="38"/>
  <c r="P15" i="38" s="1"/>
  <c r="O6" i="38"/>
  <c r="P6" i="38" s="1"/>
  <c r="O8" i="38"/>
  <c r="P8" i="38" s="1"/>
  <c r="O5" i="38"/>
  <c r="P5" i="38" s="1"/>
  <c r="O20" i="38"/>
  <c r="P20" i="38" s="1"/>
  <c r="P4" i="38"/>
  <c r="P14" i="16"/>
  <c r="M26" i="38"/>
  <c r="O25" i="38"/>
  <c r="P25" i="38" s="1"/>
  <c r="P119" i="25"/>
  <c r="M27" i="38" l="1"/>
  <c r="O26" i="38"/>
  <c r="P26" i="38" s="1"/>
  <c r="H127" i="25"/>
  <c r="G127" i="25"/>
  <c r="H120" i="25"/>
  <c r="G120" i="25"/>
  <c r="F120" i="25"/>
  <c r="H119" i="25"/>
  <c r="F119" i="25"/>
  <c r="G119" i="25"/>
  <c r="H118" i="25"/>
  <c r="G118" i="25"/>
  <c r="F118" i="25"/>
  <c r="H114" i="25"/>
  <c r="G114" i="25"/>
  <c r="F114" i="25"/>
  <c r="H84" i="25"/>
  <c r="F84" i="25"/>
  <c r="F24" i="18"/>
  <c r="D24" i="18"/>
  <c r="P120" i="25"/>
  <c r="P118" i="25"/>
  <c r="P117" i="25"/>
  <c r="P114" i="25"/>
  <c r="P84" i="25"/>
  <c r="P6" i="25"/>
  <c r="L127" i="25"/>
  <c r="M127" i="25"/>
  <c r="N127" i="25"/>
  <c r="L120" i="25"/>
  <c r="M120" i="25"/>
  <c r="N120" i="25"/>
  <c r="N119" i="25"/>
  <c r="L119" i="25"/>
  <c r="L118" i="25"/>
  <c r="M118" i="25"/>
  <c r="N118" i="25"/>
  <c r="L117" i="25"/>
  <c r="M117" i="25"/>
  <c r="N117" i="25"/>
  <c r="L114" i="25"/>
  <c r="M114" i="25"/>
  <c r="N114" i="25"/>
  <c r="N84" i="25"/>
  <c r="L84" i="25"/>
  <c r="J24" i="18" l="1"/>
  <c r="H24" i="18"/>
  <c r="K24" i="18"/>
  <c r="I24" i="18"/>
  <c r="M28" i="38"/>
  <c r="O27" i="38"/>
  <c r="P27" i="38" s="1"/>
  <c r="N85" i="25"/>
  <c r="N24" i="18" l="1"/>
  <c r="O24" i="18" s="1"/>
  <c r="M29" i="38"/>
  <c r="O28" i="38"/>
  <c r="P28" i="38" s="1"/>
  <c r="B52" i="39"/>
  <c r="F51" i="39"/>
  <c r="F50" i="39"/>
  <c r="F49" i="39"/>
  <c r="F48" i="39"/>
  <c r="F47" i="39"/>
  <c r="F46" i="39"/>
  <c r="F45" i="39"/>
  <c r="F44" i="39"/>
  <c r="F43" i="39"/>
  <c r="B40" i="39"/>
  <c r="E39" i="39"/>
  <c r="F39" i="39" s="1"/>
  <c r="D39" i="39"/>
  <c r="E38" i="39"/>
  <c r="F38" i="39" s="1"/>
  <c r="D38" i="39"/>
  <c r="E5" i="39"/>
  <c r="F5" i="39" s="1"/>
  <c r="D5" i="39"/>
  <c r="E4" i="39"/>
  <c r="F4" i="39" s="1"/>
  <c r="D4" i="39"/>
  <c r="N171" i="25"/>
  <c r="N159" i="25"/>
  <c r="N133" i="25"/>
  <c r="N8" i="25"/>
  <c r="N5" i="25"/>
  <c r="L6" i="25"/>
  <c r="B52" i="38"/>
  <c r="F51" i="38"/>
  <c r="F50" i="38"/>
  <c r="F49" i="38"/>
  <c r="F48" i="38"/>
  <c r="F47" i="38"/>
  <c r="F46" i="38"/>
  <c r="F45" i="38"/>
  <c r="F44" i="38"/>
  <c r="F43" i="38"/>
  <c r="B40" i="38"/>
  <c r="E39" i="38"/>
  <c r="F39" i="38" s="1"/>
  <c r="D39" i="38"/>
  <c r="E38" i="38"/>
  <c r="F38" i="38" s="1"/>
  <c r="D38" i="38"/>
  <c r="P8" i="25"/>
  <c r="H156" i="25"/>
  <c r="H155" i="25"/>
  <c r="H147" i="25"/>
  <c r="H128" i="25"/>
  <c r="D139" i="25"/>
  <c r="D165" i="25"/>
  <c r="F34" i="39" l="1"/>
  <c r="I34" i="39" s="1"/>
  <c r="N59" i="25" s="1"/>
  <c r="K4" i="39"/>
  <c r="L4" i="39"/>
  <c r="J4" i="39"/>
  <c r="I4" i="39"/>
  <c r="L5" i="39"/>
  <c r="J5" i="39"/>
  <c r="K5" i="39"/>
  <c r="I5" i="39"/>
  <c r="K39" i="39"/>
  <c r="L39" i="39"/>
  <c r="J39" i="39"/>
  <c r="I39" i="39"/>
  <c r="O39" i="39" s="1"/>
  <c r="P39" i="39" s="1"/>
  <c r="K48" i="39"/>
  <c r="L48" i="39"/>
  <c r="J48" i="39"/>
  <c r="I48" i="39"/>
  <c r="L50" i="39"/>
  <c r="I50" i="39"/>
  <c r="K50" i="39"/>
  <c r="J50" i="39"/>
  <c r="L51" i="39"/>
  <c r="I51" i="39"/>
  <c r="K51" i="39"/>
  <c r="J51" i="39"/>
  <c r="K38" i="39"/>
  <c r="L38" i="39"/>
  <c r="J38" i="39"/>
  <c r="I38" i="39"/>
  <c r="O38" i="39" s="1"/>
  <c r="J43" i="39"/>
  <c r="L43" i="39"/>
  <c r="K43" i="39"/>
  <c r="I43" i="39"/>
  <c r="K44" i="39"/>
  <c r="L44" i="39"/>
  <c r="J44" i="39"/>
  <c r="I44" i="39"/>
  <c r="O44" i="39" s="1"/>
  <c r="P44" i="39" s="1"/>
  <c r="K45" i="39"/>
  <c r="L45" i="39"/>
  <c r="J45" i="39"/>
  <c r="I45" i="39"/>
  <c r="O45" i="39" s="1"/>
  <c r="P45" i="39" s="1"/>
  <c r="K46" i="39"/>
  <c r="J46" i="39"/>
  <c r="L46" i="39"/>
  <c r="I46" i="39"/>
  <c r="O46" i="39" s="1"/>
  <c r="P46" i="39" s="1"/>
  <c r="K47" i="39"/>
  <c r="L47" i="39"/>
  <c r="J47" i="39"/>
  <c r="I47" i="39"/>
  <c r="L49" i="39"/>
  <c r="J49" i="39"/>
  <c r="K49" i="39"/>
  <c r="I49" i="39"/>
  <c r="O49" i="39" s="1"/>
  <c r="P49" i="39" s="1"/>
  <c r="H45" i="38"/>
  <c r="J45" i="38"/>
  <c r="K45" i="38"/>
  <c r="L45" i="38"/>
  <c r="H47" i="38"/>
  <c r="J47" i="38"/>
  <c r="K47" i="38"/>
  <c r="L47" i="38"/>
  <c r="H49" i="38"/>
  <c r="L49" i="38"/>
  <c r="J49" i="38"/>
  <c r="K49" i="38"/>
  <c r="J51" i="38"/>
  <c r="K51" i="38"/>
  <c r="H51" i="38"/>
  <c r="O51" i="38" s="1"/>
  <c r="P51" i="38" s="1"/>
  <c r="L51" i="38"/>
  <c r="H44" i="38"/>
  <c r="J44" i="38"/>
  <c r="K44" i="38"/>
  <c r="L44" i="38"/>
  <c r="L46" i="38"/>
  <c r="H46" i="38"/>
  <c r="J46" i="38"/>
  <c r="K46" i="38"/>
  <c r="J48" i="38"/>
  <c r="H48" i="38"/>
  <c r="O48" i="38" s="1"/>
  <c r="P48" i="38" s="1"/>
  <c r="K48" i="38"/>
  <c r="L48" i="38"/>
  <c r="J50" i="38"/>
  <c r="K50" i="38"/>
  <c r="H50" i="38"/>
  <c r="L50" i="38"/>
  <c r="H43" i="38"/>
  <c r="J43" i="38"/>
  <c r="L43" i="38"/>
  <c r="K43" i="38"/>
  <c r="M30" i="38"/>
  <c r="O29" i="38"/>
  <c r="P29" i="38" s="1"/>
  <c r="N16" i="17"/>
  <c r="O16" i="17" s="1"/>
  <c r="F40" i="39"/>
  <c r="N64" i="25" s="1"/>
  <c r="B55" i="39"/>
  <c r="F52" i="38"/>
  <c r="L70" i="25" s="1"/>
  <c r="B55" i="38"/>
  <c r="N12" i="25"/>
  <c r="N92" i="25" s="1"/>
  <c r="N13" i="25"/>
  <c r="F52" i="39"/>
  <c r="N70" i="25" s="1"/>
  <c r="F40" i="38"/>
  <c r="D147" i="25"/>
  <c r="P38" i="39" l="1"/>
  <c r="O40" i="39"/>
  <c r="N66" i="25" s="1"/>
  <c r="O4" i="39"/>
  <c r="I33" i="39"/>
  <c r="O5" i="39"/>
  <c r="P5" i="39" s="1"/>
  <c r="H52" i="38"/>
  <c r="L74" i="25" s="1"/>
  <c r="O51" i="39"/>
  <c r="P51" i="39" s="1"/>
  <c r="O50" i="39"/>
  <c r="P50" i="39" s="1"/>
  <c r="O47" i="39"/>
  <c r="P47" i="39" s="1"/>
  <c r="O43" i="39"/>
  <c r="O48" i="39"/>
  <c r="P48" i="39" s="1"/>
  <c r="O50" i="38"/>
  <c r="P50" i="38" s="1"/>
  <c r="O46" i="38"/>
  <c r="P46" i="38" s="1"/>
  <c r="O47" i="38"/>
  <c r="P47" i="38" s="1"/>
  <c r="O49" i="38"/>
  <c r="P49" i="38" s="1"/>
  <c r="L64" i="25"/>
  <c r="L65" i="25" s="1"/>
  <c r="F55" i="38"/>
  <c r="O43" i="38"/>
  <c r="O44" i="38"/>
  <c r="P44" i="38" s="1"/>
  <c r="O45" i="38"/>
  <c r="P45" i="38" s="1"/>
  <c r="M31" i="38"/>
  <c r="O30" i="38"/>
  <c r="P30" i="38" s="1"/>
  <c r="N14" i="25"/>
  <c r="F55" i="39"/>
  <c r="N55" i="25" l="1"/>
  <c r="N56" i="25" s="1"/>
  <c r="N57" i="25" s="1"/>
  <c r="N94" i="25" s="1"/>
  <c r="N69" i="25"/>
  <c r="P43" i="39"/>
  <c r="O52" i="39"/>
  <c r="P4" i="39"/>
  <c r="P33" i="39" s="1"/>
  <c r="O33" i="39"/>
  <c r="N62" i="25" s="1"/>
  <c r="N63" i="25" s="1"/>
  <c r="P43" i="38"/>
  <c r="P52" i="38" s="1"/>
  <c r="O52" i="38"/>
  <c r="L73" i="25" s="1"/>
  <c r="M32" i="38"/>
  <c r="O32" i="38" s="1"/>
  <c r="O31" i="38"/>
  <c r="P31" i="38" s="1"/>
  <c r="H149" i="25"/>
  <c r="H140" i="25"/>
  <c r="F166" i="25"/>
  <c r="F167" i="25"/>
  <c r="F163" i="25"/>
  <c r="F158" i="25"/>
  <c r="F155" i="25"/>
  <c r="F153" i="25"/>
  <c r="F108" i="25"/>
  <c r="F140" i="25"/>
  <c r="F103" i="25"/>
  <c r="F101" i="25"/>
  <c r="N73" i="25" l="1"/>
  <c r="N81" i="25" s="1"/>
  <c r="N82" i="25" s="1"/>
  <c r="P52" i="39"/>
  <c r="P32" i="38"/>
  <c r="P33" i="38" s="1"/>
  <c r="O33" i="38"/>
  <c r="L62" i="25" s="1"/>
  <c r="N95" i="25"/>
  <c r="D150" i="25"/>
  <c r="D145" i="25"/>
  <c r="N172" i="25" l="1"/>
  <c r="D105" i="25"/>
  <c r="N174" i="25" l="1"/>
  <c r="N176" i="25" s="1"/>
  <c r="N179" i="25" s="1"/>
  <c r="N183" i="25"/>
  <c r="E179" i="25"/>
  <c r="G179" i="25"/>
  <c r="I69" i="25"/>
  <c r="J69" i="25"/>
  <c r="O69" i="25"/>
  <c r="Q69" i="25"/>
  <c r="I63" i="25"/>
  <c r="J63" i="25"/>
  <c r="O63" i="25"/>
  <c r="Q63" i="25"/>
  <c r="C56" i="25"/>
  <c r="E56" i="25"/>
  <c r="G56" i="25"/>
  <c r="I56" i="25"/>
  <c r="J56" i="25"/>
  <c r="K56" i="25"/>
  <c r="O56" i="25"/>
  <c r="Q56" i="25"/>
  <c r="Q46" i="25"/>
  <c r="E14" i="25"/>
  <c r="J14" i="25"/>
  <c r="D8" i="25"/>
  <c r="Q57" i="25" l="1"/>
  <c r="Q183" i="25" s="1"/>
  <c r="O57" i="25"/>
  <c r="O183" i="25" s="1"/>
  <c r="K57" i="25"/>
  <c r="K183" i="25" s="1"/>
  <c r="J57" i="25"/>
  <c r="J183" i="25" s="1"/>
  <c r="C57" i="25"/>
  <c r="G57" i="25"/>
  <c r="G183" i="25" s="1"/>
  <c r="E57" i="25"/>
  <c r="E183" i="25" s="1"/>
  <c r="I57" i="25"/>
  <c r="I183" i="25" s="1"/>
  <c r="D12" i="25" l="1"/>
  <c r="D13" i="25"/>
  <c r="H12" i="25"/>
  <c r="D14" i="25" l="1"/>
  <c r="D55" i="25" s="1"/>
  <c r="H13" i="25"/>
  <c r="H14" i="25" s="1"/>
  <c r="H133" i="25"/>
  <c r="H159" i="25"/>
  <c r="H168" i="25"/>
  <c r="D56" i="25" l="1"/>
  <c r="D57" i="25" s="1"/>
  <c r="F45" i="20"/>
  <c r="D94" i="25" l="1"/>
  <c r="L171" i="25"/>
  <c r="L159" i="25"/>
  <c r="L133" i="25"/>
  <c r="P133" i="25"/>
  <c r="F159" i="25"/>
  <c r="F133" i="25"/>
  <c r="F69" i="25"/>
  <c r="C171" i="25"/>
  <c r="C159" i="25"/>
  <c r="D159" i="25"/>
  <c r="C133" i="25"/>
  <c r="D133" i="25"/>
  <c r="C95" i="25"/>
  <c r="C81" i="25"/>
  <c r="C69" i="25"/>
  <c r="C63" i="25"/>
  <c r="C82" i="25" l="1"/>
  <c r="C172" i="25" s="1"/>
  <c r="C183" i="25" s="1"/>
  <c r="F13" i="25" l="1"/>
  <c r="F12" i="25"/>
  <c r="L5" i="25"/>
  <c r="F14" i="25" l="1"/>
  <c r="L12" i="25"/>
  <c r="L92" i="25" s="1"/>
  <c r="F57" i="25" l="1"/>
  <c r="F177" i="25" s="1"/>
  <c r="F178" i="25"/>
  <c r="H25" i="36"/>
  <c r="G25" i="36"/>
  <c r="F25" i="36"/>
  <c r="E25" i="36"/>
  <c r="D25" i="36"/>
  <c r="C25" i="36"/>
  <c r="F94" i="25" l="1"/>
  <c r="F95" i="25"/>
  <c r="B14" i="36"/>
  <c r="P152" i="25" l="1"/>
  <c r="P160" i="25"/>
  <c r="P159" i="25" l="1"/>
  <c r="P171" i="25"/>
  <c r="B20" i="35" l="1"/>
  <c r="C15" i="35"/>
  <c r="C16" i="35" s="1"/>
  <c r="C13" i="35"/>
  <c r="C22" i="35" s="1"/>
  <c r="C7" i="35"/>
  <c r="C21" i="35" s="1"/>
  <c r="B10" i="35"/>
  <c r="B12" i="35" s="1"/>
  <c r="B13" i="35" s="1"/>
  <c r="B6" i="35"/>
  <c r="L13" i="25" l="1"/>
  <c r="L8" i="25"/>
  <c r="C23" i="35"/>
  <c r="B22" i="35"/>
  <c r="B15" i="35"/>
  <c r="B16" i="35" s="1"/>
  <c r="B7" i="35"/>
  <c r="B21" i="35" s="1"/>
  <c r="L14" i="25" l="1"/>
  <c r="L55" i="25" s="1"/>
  <c r="L56" i="25" s="1"/>
  <c r="B23" i="35"/>
  <c r="L57" i="25" l="1"/>
  <c r="E22" i="20"/>
  <c r="F22" i="20" s="1"/>
  <c r="H22" i="20" s="1"/>
  <c r="D22" i="20"/>
  <c r="L94" i="25" l="1"/>
  <c r="L95" i="25" s="1"/>
  <c r="P5" i="25"/>
  <c r="P13" i="25" s="1"/>
  <c r="H171" i="25"/>
  <c r="D171" i="25" l="1"/>
  <c r="F171" i="25"/>
  <c r="B25" i="36"/>
  <c r="D26" i="36" l="1"/>
  <c r="E26" i="36"/>
  <c r="H26" i="36"/>
  <c r="F26" i="36"/>
  <c r="G26" i="36"/>
  <c r="C26" i="36"/>
  <c r="F40" i="26"/>
  <c r="D165" i="33"/>
  <c r="D167" i="33" s="1"/>
  <c r="C165" i="33"/>
  <c r="C167" i="33" s="1"/>
  <c r="D3" i="33"/>
  <c r="C3" i="33"/>
  <c r="B26" i="36" l="1"/>
  <c r="F165" i="32"/>
  <c r="F167" i="32" s="1"/>
  <c r="E165" i="32"/>
  <c r="E167" i="32" s="1"/>
  <c r="D165" i="32"/>
  <c r="D167" i="32" s="1"/>
  <c r="C165" i="32"/>
  <c r="C167" i="32" s="1"/>
  <c r="F3" i="32"/>
  <c r="E3" i="32"/>
  <c r="C3" i="32"/>
  <c r="D165" i="31"/>
  <c r="D167" i="31" s="1"/>
  <c r="C165" i="31"/>
  <c r="C167" i="31" s="1"/>
  <c r="C3" i="31"/>
  <c r="C165" i="30"/>
  <c r="C167" i="30" s="1"/>
  <c r="C3" i="30"/>
  <c r="C165" i="29"/>
  <c r="C167" i="29" s="1"/>
  <c r="C3" i="29"/>
  <c r="D165" i="28"/>
  <c r="D167" i="28" s="1"/>
  <c r="C165" i="28"/>
  <c r="C167" i="28" s="1"/>
  <c r="D165" i="27"/>
  <c r="D167" i="27" s="1"/>
  <c r="C165" i="27"/>
  <c r="C167" i="27" s="1"/>
  <c r="D41" i="27"/>
  <c r="C41" i="27"/>
  <c r="F35" i="26" l="1"/>
  <c r="F36" i="26" s="1"/>
  <c r="D58" i="26"/>
  <c r="D61" i="26" s="1"/>
  <c r="M40" i="26"/>
  <c r="L40" i="26"/>
  <c r="K40" i="26"/>
  <c r="J40" i="26"/>
  <c r="I40" i="26"/>
  <c r="H40" i="26"/>
  <c r="G40" i="26"/>
  <c r="E40" i="26"/>
  <c r="E35" i="26" s="1"/>
  <c r="E36" i="26" s="1"/>
  <c r="S39" i="26"/>
  <c r="S38" i="26"/>
  <c r="E30" i="26"/>
  <c r="L24" i="26"/>
  <c r="K24" i="26"/>
  <c r="J24" i="26"/>
  <c r="I24" i="26"/>
  <c r="H24" i="26"/>
  <c r="S23" i="26"/>
  <c r="G22" i="26"/>
  <c r="G24" i="26" s="1"/>
  <c r="F22" i="26"/>
  <c r="E22" i="26"/>
  <c r="E24" i="26" s="1"/>
  <c r="E18" i="26" s="1"/>
  <c r="E19" i="26" s="1"/>
  <c r="S21" i="26"/>
  <c r="M10" i="26"/>
  <c r="L10" i="26"/>
  <c r="K10" i="26"/>
  <c r="J10" i="26"/>
  <c r="I10" i="26"/>
  <c r="H10" i="26"/>
  <c r="G10" i="26"/>
  <c r="E10" i="26"/>
  <c r="E2" i="26" s="1"/>
  <c r="E3" i="26" s="1"/>
  <c r="F9" i="26"/>
  <c r="F10" i="26" s="1"/>
  <c r="S8" i="26"/>
  <c r="S7" i="26"/>
  <c r="S22" i="26" l="1"/>
  <c r="S40" i="26"/>
  <c r="S10" i="26"/>
  <c r="G36" i="26"/>
  <c r="D163" i="29" s="1"/>
  <c r="D165" i="29" s="1"/>
  <c r="D167" i="29" s="1"/>
  <c r="S9" i="26"/>
  <c r="S24" i="26"/>
  <c r="F24" i="26"/>
  <c r="F18" i="26" s="1"/>
  <c r="F19" i="26" s="1"/>
  <c r="G19" i="26" s="1"/>
  <c r="D163" i="30" s="1"/>
  <c r="D165" i="30" s="1"/>
  <c r="D167" i="30" s="1"/>
  <c r="F2" i="26"/>
  <c r="F3" i="26" s="1"/>
  <c r="G3" i="26" s="1"/>
  <c r="S42" i="26" l="1"/>
  <c r="F168" i="24"/>
  <c r="E168" i="24"/>
  <c r="C93" i="10"/>
  <c r="C91" i="6"/>
  <c r="D91" i="5"/>
  <c r="G74" i="24"/>
  <c r="O57" i="24"/>
  <c r="P56" i="24"/>
  <c r="O56" i="24"/>
  <c r="P55" i="24"/>
  <c r="O55" i="24"/>
  <c r="O54" i="24"/>
  <c r="O53" i="24"/>
  <c r="O50" i="24"/>
  <c r="O49" i="24"/>
  <c r="P48" i="24"/>
  <c r="O48" i="24"/>
  <c r="P47" i="24"/>
  <c r="O47" i="24"/>
  <c r="O46" i="24"/>
  <c r="M57" i="24"/>
  <c r="N56" i="24"/>
  <c r="M56" i="24"/>
  <c r="N55" i="24"/>
  <c r="M55" i="24"/>
  <c r="M54" i="24"/>
  <c r="M53" i="24"/>
  <c r="M50" i="24"/>
  <c r="M49" i="24"/>
  <c r="M48" i="24"/>
  <c r="N47" i="24"/>
  <c r="M47" i="24"/>
  <c r="M46" i="24"/>
  <c r="F45" i="10"/>
  <c r="G45" i="10" s="1"/>
  <c r="H45" i="10" s="1"/>
  <c r="I45" i="10" s="1"/>
  <c r="F43" i="10"/>
  <c r="G43" i="10" s="1"/>
  <c r="H43" i="10" s="1"/>
  <c r="I43" i="10" s="1"/>
  <c r="F39" i="10"/>
  <c r="G39" i="10" s="1"/>
  <c r="H39" i="10" s="1"/>
  <c r="I39" i="10" s="1"/>
  <c r="F37" i="10"/>
  <c r="G37" i="10" s="1"/>
  <c r="H37" i="10" s="1"/>
  <c r="I37" i="10" s="1"/>
  <c r="F36" i="10"/>
  <c r="G36" i="10" s="1"/>
  <c r="H36" i="10" s="1"/>
  <c r="I36" i="10" s="1"/>
  <c r="F35" i="10"/>
  <c r="G35" i="10" s="1"/>
  <c r="H35" i="10" s="1"/>
  <c r="I35" i="10" s="1"/>
  <c r="F41" i="6" l="1"/>
  <c r="G41" i="6" s="1"/>
  <c r="H41" i="6" s="1"/>
  <c r="I41" i="6" s="1"/>
  <c r="F39" i="6"/>
  <c r="G39" i="6" s="1"/>
  <c r="H39" i="6" s="1"/>
  <c r="I39" i="6" s="1"/>
  <c r="F37" i="6"/>
  <c r="G37" i="6" s="1"/>
  <c r="H37" i="6" s="1"/>
  <c r="I37" i="6" s="1"/>
  <c r="F35" i="6"/>
  <c r="G35" i="6" s="1"/>
  <c r="H35" i="6" s="1"/>
  <c r="I35" i="6" s="1"/>
  <c r="F34" i="6"/>
  <c r="G34" i="6" s="1"/>
  <c r="H34" i="6" s="1"/>
  <c r="I34" i="6" s="1"/>
  <c r="F33" i="6"/>
  <c r="G33" i="6" s="1"/>
  <c r="H33" i="6" s="1"/>
  <c r="I33" i="6" s="1"/>
  <c r="K57" i="24" l="1"/>
  <c r="L56" i="24"/>
  <c r="K56" i="24"/>
  <c r="L55" i="24"/>
  <c r="K55" i="24"/>
  <c r="K54" i="24"/>
  <c r="K53" i="24"/>
  <c r="K50" i="24"/>
  <c r="K49" i="24"/>
  <c r="K48" i="24"/>
  <c r="L47" i="24"/>
  <c r="K47" i="24"/>
  <c r="K46" i="24"/>
  <c r="F41" i="5"/>
  <c r="G41" i="5" s="1"/>
  <c r="H41" i="5" s="1"/>
  <c r="I41" i="5" s="1"/>
  <c r="F39" i="5"/>
  <c r="G39" i="5" s="1"/>
  <c r="H39" i="5" s="1"/>
  <c r="I39" i="5" s="1"/>
  <c r="F37" i="5"/>
  <c r="G37" i="5" s="1"/>
  <c r="H37" i="5" s="1"/>
  <c r="I37" i="5" s="1"/>
  <c r="F35" i="5"/>
  <c r="G35" i="5" s="1"/>
  <c r="H35" i="5" s="1"/>
  <c r="I35" i="5" s="1"/>
  <c r="F34" i="5"/>
  <c r="G34" i="5" s="1"/>
  <c r="H34" i="5" s="1"/>
  <c r="I34" i="5" s="1"/>
  <c r="F33" i="5"/>
  <c r="G33" i="5" s="1"/>
  <c r="H33" i="5" s="1"/>
  <c r="I33" i="5" s="1"/>
  <c r="C136" i="4"/>
  <c r="J32" i="24"/>
  <c r="J66" i="24"/>
  <c r="I66" i="24"/>
  <c r="I57" i="24"/>
  <c r="J56" i="24"/>
  <c r="I56" i="24"/>
  <c r="J55" i="24"/>
  <c r="I55" i="24"/>
  <c r="I54" i="24"/>
  <c r="I53" i="24"/>
  <c r="I50" i="24"/>
  <c r="I49" i="24"/>
  <c r="I48" i="24"/>
  <c r="J47" i="24"/>
  <c r="I47" i="24"/>
  <c r="I46" i="24"/>
  <c r="D122" i="4"/>
  <c r="F49" i="4"/>
  <c r="G49" i="4" s="1"/>
  <c r="H49" i="4" s="1"/>
  <c r="I49" i="4" s="1"/>
  <c r="F47" i="4"/>
  <c r="G47" i="4" s="1"/>
  <c r="H47" i="4" s="1"/>
  <c r="I47" i="4" s="1"/>
  <c r="F45" i="4"/>
  <c r="G45" i="4" s="1"/>
  <c r="H45" i="4" s="1"/>
  <c r="I45" i="4" s="1"/>
  <c r="F43" i="4"/>
  <c r="G43" i="4" s="1"/>
  <c r="H43" i="4" s="1"/>
  <c r="I43" i="4" s="1"/>
  <c r="F42" i="4"/>
  <c r="G42" i="4" s="1"/>
  <c r="H42" i="4" s="1"/>
  <c r="I42" i="4" s="1"/>
  <c r="F41" i="4"/>
  <c r="G41" i="4" s="1"/>
  <c r="H41" i="4" s="1"/>
  <c r="I41" i="4" s="1"/>
  <c r="H66" i="24"/>
  <c r="G66" i="24"/>
  <c r="G57" i="24"/>
  <c r="H56" i="24"/>
  <c r="G56" i="24"/>
  <c r="E56" i="24"/>
  <c r="H55" i="24"/>
  <c r="G55" i="24"/>
  <c r="G54" i="24"/>
  <c r="G53" i="24"/>
  <c r="G50" i="24"/>
  <c r="G49" i="24"/>
  <c r="G48" i="24"/>
  <c r="G46" i="24"/>
  <c r="D121" i="8"/>
  <c r="C134" i="8"/>
  <c r="F66" i="24"/>
  <c r="E66" i="24"/>
  <c r="E57" i="24"/>
  <c r="E53" i="24"/>
  <c r="E49" i="24"/>
  <c r="F49" i="8"/>
  <c r="G49" i="8" s="1"/>
  <c r="H49" i="8" s="1"/>
  <c r="I49" i="8" s="1"/>
  <c r="F47" i="8"/>
  <c r="G47" i="8" s="1"/>
  <c r="H47" i="8" s="1"/>
  <c r="I47" i="8" s="1"/>
  <c r="E46" i="8"/>
  <c r="H53" i="24" s="1"/>
  <c r="F45" i="8"/>
  <c r="G45" i="8" s="1"/>
  <c r="H45" i="8" s="1"/>
  <c r="I45" i="8" s="1"/>
  <c r="E45" i="8"/>
  <c r="H50" i="24" s="1"/>
  <c r="F43" i="8"/>
  <c r="G43" i="8" s="1"/>
  <c r="H43" i="8" s="1"/>
  <c r="I43" i="8" s="1"/>
  <c r="F42" i="8"/>
  <c r="G42" i="8" s="1"/>
  <c r="H42" i="8" s="1"/>
  <c r="I42" i="8" s="1"/>
  <c r="F41" i="8"/>
  <c r="G41" i="8" s="1"/>
  <c r="H41" i="8" s="1"/>
  <c r="I41" i="8" s="1"/>
  <c r="D136" i="1" l="1"/>
  <c r="C136" i="1"/>
  <c r="F34" i="18"/>
  <c r="F35" i="18"/>
  <c r="F36" i="18"/>
  <c r="F37" i="18"/>
  <c r="F38" i="18"/>
  <c r="F39" i="18"/>
  <c r="F33" i="18"/>
  <c r="F30" i="17"/>
  <c r="F31" i="17"/>
  <c r="F32" i="17"/>
  <c r="F33" i="17"/>
  <c r="F29" i="17"/>
  <c r="C60" i="24"/>
  <c r="C45" i="24"/>
  <c r="E57" i="12"/>
  <c r="D57" i="12"/>
  <c r="E46" i="24"/>
  <c r="K10" i="24"/>
  <c r="L10" i="24"/>
  <c r="M5" i="24"/>
  <c r="C41" i="24"/>
  <c r="O39" i="24"/>
  <c r="P82" i="24"/>
  <c r="O82" i="24"/>
  <c r="P163" i="24"/>
  <c r="O163" i="24"/>
  <c r="P159" i="24"/>
  <c r="O159" i="24"/>
  <c r="P158" i="24"/>
  <c r="O158" i="24"/>
  <c r="P156" i="24"/>
  <c r="P157" i="24"/>
  <c r="O157" i="24"/>
  <c r="O156" i="24"/>
  <c r="P151" i="24"/>
  <c r="O151" i="24"/>
  <c r="P148" i="24"/>
  <c r="O148" i="24"/>
  <c r="P147" i="24"/>
  <c r="O147" i="24"/>
  <c r="P144" i="24"/>
  <c r="O144" i="24"/>
  <c r="P142" i="24"/>
  <c r="O142" i="24"/>
  <c r="P140" i="24"/>
  <c r="O140" i="24"/>
  <c r="P139" i="24"/>
  <c r="O139" i="24"/>
  <c r="P136" i="24"/>
  <c r="O136" i="24"/>
  <c r="P67" i="24"/>
  <c r="O67" i="24"/>
  <c r="P130" i="24"/>
  <c r="O130" i="24"/>
  <c r="P129" i="24"/>
  <c r="O129" i="24"/>
  <c r="P126" i="24"/>
  <c r="O126" i="24"/>
  <c r="P125" i="24"/>
  <c r="O125" i="24"/>
  <c r="O123" i="24"/>
  <c r="P111" i="24"/>
  <c r="P112" i="24"/>
  <c r="P113" i="24"/>
  <c r="P114" i="24"/>
  <c r="P115" i="24"/>
  <c r="P116" i="24"/>
  <c r="P117" i="24"/>
  <c r="P118" i="24"/>
  <c r="O115" i="24"/>
  <c r="O116" i="24"/>
  <c r="O117" i="24"/>
  <c r="O118" i="24"/>
  <c r="O114" i="24"/>
  <c r="O113" i="24"/>
  <c r="O112" i="24"/>
  <c r="O111" i="24"/>
  <c r="P107" i="24"/>
  <c r="P108" i="24"/>
  <c r="P109" i="24"/>
  <c r="O108" i="24"/>
  <c r="O109" i="24"/>
  <c r="O107" i="24"/>
  <c r="P102" i="24"/>
  <c r="O102" i="24"/>
  <c r="P88" i="24"/>
  <c r="O88" i="24"/>
  <c r="P71" i="24"/>
  <c r="O71" i="24"/>
  <c r="P70" i="24"/>
  <c r="O70" i="24"/>
  <c r="P65" i="24"/>
  <c r="O65" i="24"/>
  <c r="P64" i="24"/>
  <c r="O64" i="24"/>
  <c r="O51" i="24"/>
  <c r="K64" i="24"/>
  <c r="L64" i="24"/>
  <c r="M64" i="24"/>
  <c r="N64" i="24"/>
  <c r="P63" i="24"/>
  <c r="O63" i="24"/>
  <c r="N88" i="24"/>
  <c r="M88" i="24"/>
  <c r="N163" i="24"/>
  <c r="M163" i="24"/>
  <c r="N158" i="24"/>
  <c r="N159" i="24"/>
  <c r="M159" i="24"/>
  <c r="M158" i="24"/>
  <c r="N156" i="24"/>
  <c r="N157" i="24"/>
  <c r="M157" i="24"/>
  <c r="M156" i="24"/>
  <c r="N151" i="24"/>
  <c r="M151" i="24"/>
  <c r="N148" i="24"/>
  <c r="M148" i="24"/>
  <c r="N147" i="24"/>
  <c r="M147" i="24"/>
  <c r="N144" i="24"/>
  <c r="M144" i="24"/>
  <c r="N142" i="24"/>
  <c r="M142" i="24"/>
  <c r="N140" i="24"/>
  <c r="M140" i="24"/>
  <c r="N139" i="24"/>
  <c r="M139" i="24"/>
  <c r="N136" i="24"/>
  <c r="M136" i="24"/>
  <c r="N67" i="24"/>
  <c r="M67" i="24"/>
  <c r="N130" i="24"/>
  <c r="M130" i="24"/>
  <c r="N129" i="24"/>
  <c r="M129" i="24"/>
  <c r="N126" i="24"/>
  <c r="M126" i="24"/>
  <c r="N125" i="24"/>
  <c r="M125" i="24"/>
  <c r="M123" i="24"/>
  <c r="N115" i="24"/>
  <c r="N116" i="24"/>
  <c r="N117" i="24"/>
  <c r="N118" i="24"/>
  <c r="M115" i="24"/>
  <c r="M116" i="24"/>
  <c r="M117" i="24"/>
  <c r="M118" i="24"/>
  <c r="N113" i="24"/>
  <c r="N114" i="24"/>
  <c r="M113" i="24"/>
  <c r="M114" i="24"/>
  <c r="N112" i="24"/>
  <c r="M112" i="24"/>
  <c r="N111" i="24"/>
  <c r="M111" i="24"/>
  <c r="N107" i="24"/>
  <c r="N108" i="24"/>
  <c r="N109" i="24"/>
  <c r="M108" i="24"/>
  <c r="M109" i="24"/>
  <c r="M107" i="24"/>
  <c r="N102" i="24"/>
  <c r="M102" i="24"/>
  <c r="N82" i="24"/>
  <c r="M82" i="24"/>
  <c r="N71" i="24"/>
  <c r="M71" i="24"/>
  <c r="N70" i="24"/>
  <c r="M70" i="24"/>
  <c r="N65" i="24"/>
  <c r="M65" i="24"/>
  <c r="N63" i="24"/>
  <c r="M63" i="24"/>
  <c r="L107" i="24"/>
  <c r="L108" i="24"/>
  <c r="L109" i="24"/>
  <c r="K108" i="24"/>
  <c r="K109" i="24"/>
  <c r="K107" i="24"/>
  <c r="K111" i="24"/>
  <c r="L111" i="24"/>
  <c r="L112" i="24"/>
  <c r="L113" i="24"/>
  <c r="L114" i="24"/>
  <c r="L115" i="24"/>
  <c r="L116" i="24"/>
  <c r="L117" i="24"/>
  <c r="L118" i="24"/>
  <c r="K112" i="24"/>
  <c r="K113" i="24"/>
  <c r="K114" i="24"/>
  <c r="K115" i="24"/>
  <c r="K116" i="24"/>
  <c r="K117" i="24"/>
  <c r="K118" i="24"/>
  <c r="K102" i="24"/>
  <c r="L158" i="24"/>
  <c r="L159" i="24"/>
  <c r="K159" i="24"/>
  <c r="K158" i="24"/>
  <c r="L136" i="24"/>
  <c r="K136" i="24"/>
  <c r="L130" i="24"/>
  <c r="K130" i="24"/>
  <c r="L126" i="24"/>
  <c r="K126" i="24"/>
  <c r="K125" i="24"/>
  <c r="L65" i="24"/>
  <c r="K65" i="24"/>
  <c r="L88" i="24"/>
  <c r="K88" i="24"/>
  <c r="K82" i="24"/>
  <c r="L140" i="24"/>
  <c r="K140" i="24"/>
  <c r="L139" i="24"/>
  <c r="K139" i="24"/>
  <c r="L82" i="24"/>
  <c r="K71" i="24"/>
  <c r="L71" i="24"/>
  <c r="L129" i="24"/>
  <c r="K129" i="24"/>
  <c r="L125" i="24"/>
  <c r="L147" i="24"/>
  <c r="K147" i="24"/>
  <c r="L151" i="24"/>
  <c r="K151" i="24"/>
  <c r="L148" i="24"/>
  <c r="K148" i="24"/>
  <c r="L102" i="24"/>
  <c r="K123" i="24"/>
  <c r="C100" i="24"/>
  <c r="L142" i="24"/>
  <c r="K142" i="24"/>
  <c r="L163" i="24"/>
  <c r="K163" i="24"/>
  <c r="K157" i="24"/>
  <c r="L70" i="24"/>
  <c r="K70" i="24"/>
  <c r="C69" i="24"/>
  <c r="L157" i="24"/>
  <c r="L156" i="24"/>
  <c r="K156" i="24"/>
  <c r="K144" i="24"/>
  <c r="L144" i="24"/>
  <c r="L67" i="24"/>
  <c r="K67" i="24"/>
  <c r="L63" i="24"/>
  <c r="K63" i="24"/>
  <c r="J149" i="24"/>
  <c r="J150" i="24"/>
  <c r="J151" i="24"/>
  <c r="J152" i="24"/>
  <c r="J153" i="24"/>
  <c r="J154" i="24"/>
  <c r="J155" i="24"/>
  <c r="J160" i="24"/>
  <c r="J161" i="24"/>
  <c r="J162" i="24"/>
  <c r="J163" i="24"/>
  <c r="J164" i="24"/>
  <c r="J165" i="24"/>
  <c r="J166" i="24"/>
  <c r="J167" i="24"/>
  <c r="J168" i="24"/>
  <c r="J169" i="24"/>
  <c r="J170" i="24"/>
  <c r="I149" i="24"/>
  <c r="I150" i="24"/>
  <c r="I151" i="24"/>
  <c r="I152" i="24"/>
  <c r="I153" i="24"/>
  <c r="I154" i="24"/>
  <c r="I155" i="24"/>
  <c r="I160" i="24"/>
  <c r="I161" i="24"/>
  <c r="I162" i="24"/>
  <c r="I163" i="24"/>
  <c r="I164" i="24"/>
  <c r="I165" i="24"/>
  <c r="I166" i="24"/>
  <c r="I167" i="24"/>
  <c r="I168" i="24"/>
  <c r="I169" i="24"/>
  <c r="I170" i="24"/>
  <c r="J145" i="24"/>
  <c r="J146" i="24"/>
  <c r="J147" i="24"/>
  <c r="J148" i="24"/>
  <c r="I148" i="24"/>
  <c r="I145" i="24"/>
  <c r="I146" i="24"/>
  <c r="I147" i="24"/>
  <c r="J144" i="24"/>
  <c r="I144" i="24"/>
  <c r="G143" i="24"/>
  <c r="J143" i="24"/>
  <c r="I143" i="24"/>
  <c r="H143" i="24"/>
  <c r="J67" i="24"/>
  <c r="J131" i="24"/>
  <c r="J132" i="24"/>
  <c r="J133" i="24"/>
  <c r="J134" i="24"/>
  <c r="J135" i="24"/>
  <c r="J137" i="24"/>
  <c r="J138" i="24"/>
  <c r="J141" i="24"/>
  <c r="J142" i="24"/>
  <c r="I67" i="24"/>
  <c r="I131" i="24"/>
  <c r="I132" i="24"/>
  <c r="I133" i="24"/>
  <c r="I134" i="24"/>
  <c r="I135" i="24"/>
  <c r="I137" i="24"/>
  <c r="I138" i="24"/>
  <c r="I141" i="24"/>
  <c r="I142" i="24"/>
  <c r="J130" i="24"/>
  <c r="I130" i="24"/>
  <c r="J124" i="24"/>
  <c r="J125" i="24"/>
  <c r="J126" i="24"/>
  <c r="I124" i="24"/>
  <c r="I125" i="24"/>
  <c r="I126" i="24"/>
  <c r="I123" i="24"/>
  <c r="J122" i="24"/>
  <c r="I122" i="24"/>
  <c r="I119" i="24"/>
  <c r="I102" i="24"/>
  <c r="J102" i="24"/>
  <c r="I103" i="24"/>
  <c r="J103" i="24"/>
  <c r="I104" i="24"/>
  <c r="J104" i="24"/>
  <c r="I105" i="24"/>
  <c r="J105" i="24"/>
  <c r="I106" i="24"/>
  <c r="J106" i="24"/>
  <c r="J101" i="24"/>
  <c r="I101" i="24"/>
  <c r="J89" i="24"/>
  <c r="J90" i="24"/>
  <c r="J91" i="24"/>
  <c r="J92" i="24"/>
  <c r="J93" i="24"/>
  <c r="J94" i="24"/>
  <c r="J95" i="24"/>
  <c r="J96" i="24"/>
  <c r="J97" i="24"/>
  <c r="J98" i="24"/>
  <c r="I89" i="24"/>
  <c r="I90" i="24"/>
  <c r="I91" i="24"/>
  <c r="I92" i="24"/>
  <c r="I93" i="24"/>
  <c r="I94" i="24"/>
  <c r="I95" i="24"/>
  <c r="I96" i="24"/>
  <c r="I97" i="24"/>
  <c r="I98" i="24"/>
  <c r="J88" i="24"/>
  <c r="I88" i="24"/>
  <c r="J85" i="24"/>
  <c r="J86" i="24"/>
  <c r="I85" i="24"/>
  <c r="I86" i="24"/>
  <c r="J84" i="24"/>
  <c r="I84" i="24"/>
  <c r="J83" i="24"/>
  <c r="I83" i="24"/>
  <c r="J75" i="24"/>
  <c r="J76" i="24"/>
  <c r="J74" i="24"/>
  <c r="I76" i="24"/>
  <c r="I77" i="24"/>
  <c r="I75" i="24"/>
  <c r="I74" i="24"/>
  <c r="I72" i="24"/>
  <c r="J72" i="24"/>
  <c r="J70" i="24"/>
  <c r="I70" i="24"/>
  <c r="G106" i="24"/>
  <c r="H170" i="24"/>
  <c r="G170" i="24"/>
  <c r="H169" i="24"/>
  <c r="G169" i="24"/>
  <c r="H166" i="24"/>
  <c r="H167" i="24"/>
  <c r="H168" i="24"/>
  <c r="G166" i="24"/>
  <c r="G167" i="24"/>
  <c r="G168" i="24"/>
  <c r="H164" i="24"/>
  <c r="H165" i="24"/>
  <c r="G164" i="24"/>
  <c r="G165" i="24"/>
  <c r="H163" i="24"/>
  <c r="G163" i="24"/>
  <c r="H162" i="24"/>
  <c r="G162" i="24"/>
  <c r="H160" i="24"/>
  <c r="H161" i="24"/>
  <c r="G160" i="24"/>
  <c r="G161" i="24"/>
  <c r="H155" i="24"/>
  <c r="G155" i="24"/>
  <c r="H154" i="24"/>
  <c r="G154" i="24"/>
  <c r="H149" i="24"/>
  <c r="H150" i="24"/>
  <c r="H151" i="24"/>
  <c r="H152" i="24"/>
  <c r="G152" i="24"/>
  <c r="G151" i="24"/>
  <c r="G149" i="24"/>
  <c r="G150" i="24"/>
  <c r="H146" i="24"/>
  <c r="H147" i="24"/>
  <c r="H148" i="24"/>
  <c r="G146" i="24"/>
  <c r="G147" i="24"/>
  <c r="G148" i="24"/>
  <c r="H145" i="24"/>
  <c r="G145" i="24"/>
  <c r="H144" i="24"/>
  <c r="H132" i="24"/>
  <c r="H133" i="24"/>
  <c r="H134" i="24"/>
  <c r="H135" i="24"/>
  <c r="H137" i="24"/>
  <c r="H138" i="24"/>
  <c r="H141" i="24"/>
  <c r="H142" i="24"/>
  <c r="G144" i="24"/>
  <c r="G141" i="24"/>
  <c r="G142" i="24"/>
  <c r="G138" i="24"/>
  <c r="G135" i="24"/>
  <c r="G137" i="24"/>
  <c r="G134" i="24"/>
  <c r="G133" i="24"/>
  <c r="G132" i="24"/>
  <c r="H67" i="24"/>
  <c r="H131" i="24"/>
  <c r="G67" i="24"/>
  <c r="G131" i="24"/>
  <c r="H130" i="24"/>
  <c r="G130" i="24"/>
  <c r="H124" i="24"/>
  <c r="H125" i="24"/>
  <c r="H126" i="24"/>
  <c r="G124" i="24"/>
  <c r="G125" i="24"/>
  <c r="G126" i="24"/>
  <c r="H119" i="24"/>
  <c r="H95" i="24"/>
  <c r="H96" i="24"/>
  <c r="H97" i="24"/>
  <c r="H98" i="24"/>
  <c r="H101" i="24"/>
  <c r="H102" i="24"/>
  <c r="H103" i="24"/>
  <c r="H104" i="24"/>
  <c r="H105" i="24"/>
  <c r="H106" i="24"/>
  <c r="G123" i="24"/>
  <c r="G119" i="24"/>
  <c r="G102" i="24"/>
  <c r="G103" i="24"/>
  <c r="G104" i="24"/>
  <c r="G105" i="24"/>
  <c r="G101" i="24"/>
  <c r="G95" i="24"/>
  <c r="G96" i="24"/>
  <c r="G97" i="24"/>
  <c r="G98" i="24"/>
  <c r="H94" i="24"/>
  <c r="G94" i="24"/>
  <c r="H89" i="24"/>
  <c r="H90" i="24"/>
  <c r="H91" i="24"/>
  <c r="H92" i="24"/>
  <c r="H93" i="24"/>
  <c r="G89" i="24"/>
  <c r="G90" i="24"/>
  <c r="G91" i="24"/>
  <c r="G92" i="24"/>
  <c r="G93" i="24"/>
  <c r="H88" i="24"/>
  <c r="G88" i="24"/>
  <c r="G86" i="24"/>
  <c r="H86" i="24"/>
  <c r="H84" i="24"/>
  <c r="H85" i="24"/>
  <c r="G84" i="24"/>
  <c r="G85" i="24"/>
  <c r="H83" i="24"/>
  <c r="G83" i="24"/>
  <c r="G77" i="24"/>
  <c r="H76" i="24"/>
  <c r="H77" i="24"/>
  <c r="G76" i="24"/>
  <c r="H75" i="24"/>
  <c r="G75" i="24"/>
  <c r="H74" i="24"/>
  <c r="H72" i="24"/>
  <c r="G72" i="24"/>
  <c r="H70" i="24"/>
  <c r="G70" i="24"/>
  <c r="E50" i="24"/>
  <c r="D171" i="24"/>
  <c r="D172" i="24"/>
  <c r="D173" i="24"/>
  <c r="D174" i="24"/>
  <c r="D175" i="24"/>
  <c r="C172" i="24"/>
  <c r="C173" i="24"/>
  <c r="C174" i="24"/>
  <c r="C175" i="24"/>
  <c r="C171" i="24"/>
  <c r="C128" i="24"/>
  <c r="D128" i="24"/>
  <c r="D127" i="24"/>
  <c r="C127" i="24"/>
  <c r="C110" i="24"/>
  <c r="D69" i="24"/>
  <c r="D68" i="24"/>
  <c r="C68" i="24"/>
  <c r="D110" i="24"/>
  <c r="D100" i="24"/>
  <c r="D87" i="24"/>
  <c r="C87" i="24"/>
  <c r="C81" i="24"/>
  <c r="D99" i="24"/>
  <c r="C99" i="24"/>
  <c r="D81" i="24"/>
  <c r="D80" i="24"/>
  <c r="C80" i="24"/>
  <c r="D79" i="24"/>
  <c r="D78" i="24"/>
  <c r="C79" i="24"/>
  <c r="C78" i="24"/>
  <c r="D73" i="24"/>
  <c r="C73" i="24"/>
  <c r="F133" i="24"/>
  <c r="F134" i="24"/>
  <c r="F135" i="24"/>
  <c r="F137" i="24"/>
  <c r="F138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60" i="24"/>
  <c r="F161" i="24"/>
  <c r="F162" i="24"/>
  <c r="F163" i="24"/>
  <c r="F164" i="24"/>
  <c r="F165" i="24"/>
  <c r="F166" i="24"/>
  <c r="F167" i="24"/>
  <c r="F169" i="24"/>
  <c r="F170" i="24"/>
  <c r="F132" i="24"/>
  <c r="F131" i="24"/>
  <c r="E131" i="24"/>
  <c r="E132" i="24"/>
  <c r="E133" i="24"/>
  <c r="E134" i="24"/>
  <c r="E135" i="24"/>
  <c r="E137" i="24"/>
  <c r="E138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60" i="24"/>
  <c r="E161" i="24"/>
  <c r="E162" i="24"/>
  <c r="E163" i="24"/>
  <c r="E164" i="24"/>
  <c r="E165" i="24"/>
  <c r="E166" i="24"/>
  <c r="E167" i="24"/>
  <c r="E169" i="24"/>
  <c r="E170" i="24"/>
  <c r="F67" i="24"/>
  <c r="F130" i="24"/>
  <c r="F126" i="24"/>
  <c r="F125" i="24"/>
  <c r="F124" i="24"/>
  <c r="E124" i="24"/>
  <c r="E125" i="24"/>
  <c r="E126" i="24"/>
  <c r="E130" i="24"/>
  <c r="E67" i="24"/>
  <c r="F102" i="24"/>
  <c r="F103" i="24"/>
  <c r="F104" i="24"/>
  <c r="F106" i="24"/>
  <c r="E123" i="24"/>
  <c r="F119" i="24"/>
  <c r="E119" i="24"/>
  <c r="F120" i="24"/>
  <c r="E120" i="24"/>
  <c r="F121" i="24"/>
  <c r="E121" i="24"/>
  <c r="F122" i="24"/>
  <c r="E122" i="24"/>
  <c r="F105" i="24"/>
  <c r="E102" i="24"/>
  <c r="E103" i="24"/>
  <c r="E104" i="24"/>
  <c r="E105" i="24"/>
  <c r="E106" i="24"/>
  <c r="F101" i="24"/>
  <c r="E101" i="24"/>
  <c r="F91" i="24"/>
  <c r="F92" i="24"/>
  <c r="F93" i="24"/>
  <c r="F94" i="24"/>
  <c r="F95" i="24"/>
  <c r="F96" i="24"/>
  <c r="F97" i="24"/>
  <c r="F98" i="24"/>
  <c r="E92" i="24"/>
  <c r="E93" i="24"/>
  <c r="E94" i="24"/>
  <c r="E95" i="24"/>
  <c r="E96" i="24"/>
  <c r="E97" i="24"/>
  <c r="E98" i="24"/>
  <c r="E91" i="24"/>
  <c r="F83" i="24"/>
  <c r="E83" i="24"/>
  <c r="F84" i="24"/>
  <c r="F85" i="24"/>
  <c r="E84" i="24"/>
  <c r="E85" i="24"/>
  <c r="F86" i="24"/>
  <c r="E86" i="24"/>
  <c r="F89" i="24"/>
  <c r="F88" i="24"/>
  <c r="E89" i="24"/>
  <c r="E88" i="24"/>
  <c r="F90" i="24"/>
  <c r="E90" i="24"/>
  <c r="E75" i="24"/>
  <c r="F77" i="24"/>
  <c r="E77" i="24"/>
  <c r="F75" i="24"/>
  <c r="F74" i="24"/>
  <c r="E74" i="24"/>
  <c r="F72" i="24"/>
  <c r="E72" i="24"/>
  <c r="F70" i="24"/>
  <c r="E70" i="24"/>
  <c r="C59" i="24"/>
  <c r="F56" i="24"/>
  <c r="F55" i="24"/>
  <c r="E55" i="24"/>
  <c r="E54" i="24"/>
  <c r="P11" i="24"/>
  <c r="O11" i="24"/>
  <c r="L11" i="24"/>
  <c r="K11" i="24"/>
  <c r="J6" i="24"/>
  <c r="I6" i="24"/>
  <c r="H6" i="24"/>
  <c r="G6" i="24"/>
  <c r="F6" i="24"/>
  <c r="E6" i="24"/>
  <c r="I5" i="24"/>
  <c r="G5" i="24"/>
  <c r="F5" i="24"/>
  <c r="E5" i="24"/>
  <c r="P5" i="24"/>
  <c r="O5" i="24"/>
  <c r="L5" i="24"/>
  <c r="K5" i="24"/>
  <c r="D58" i="24"/>
  <c r="C58" i="24"/>
  <c r="D59" i="24"/>
  <c r="H33" i="18" l="1"/>
  <c r="K33" i="18"/>
  <c r="J33" i="18"/>
  <c r="I33" i="18"/>
  <c r="H39" i="18"/>
  <c r="I39" i="18"/>
  <c r="J39" i="18"/>
  <c r="K39" i="18"/>
  <c r="J38" i="18"/>
  <c r="K38" i="18"/>
  <c r="I38" i="18"/>
  <c r="H38" i="18"/>
  <c r="N38" i="18" s="1"/>
  <c r="O38" i="18" s="1"/>
  <c r="H37" i="18"/>
  <c r="J37" i="18"/>
  <c r="K37" i="18"/>
  <c r="I37" i="18"/>
  <c r="K36" i="18"/>
  <c r="I36" i="18"/>
  <c r="J36" i="18"/>
  <c r="H36" i="18"/>
  <c r="N36" i="18" s="1"/>
  <c r="O36" i="18" s="1"/>
  <c r="I35" i="18"/>
  <c r="J35" i="18"/>
  <c r="K35" i="18"/>
  <c r="H35" i="18"/>
  <c r="N35" i="18" s="1"/>
  <c r="O35" i="18" s="1"/>
  <c r="I34" i="18"/>
  <c r="H34" i="18"/>
  <c r="J34" i="18"/>
  <c r="K34" i="18"/>
  <c r="K29" i="17"/>
  <c r="J29" i="17"/>
  <c r="I29" i="17"/>
  <c r="H29" i="17"/>
  <c r="N29" i="17" s="1"/>
  <c r="H33" i="17"/>
  <c r="K33" i="17"/>
  <c r="J33" i="17"/>
  <c r="I33" i="17"/>
  <c r="H32" i="17"/>
  <c r="K32" i="17"/>
  <c r="J32" i="17"/>
  <c r="I32" i="17"/>
  <c r="H31" i="17"/>
  <c r="K31" i="17"/>
  <c r="J31" i="17"/>
  <c r="I31" i="17"/>
  <c r="K30" i="17"/>
  <c r="J30" i="17"/>
  <c r="I30" i="17"/>
  <c r="H30" i="17"/>
  <c r="N30" i="17" s="1"/>
  <c r="O30" i="17" s="1"/>
  <c r="E136" i="1"/>
  <c r="I136" i="1"/>
  <c r="J57" i="12"/>
  <c r="O41" i="24"/>
  <c r="P21" i="24"/>
  <c r="P20" i="24"/>
  <c r="O21" i="24"/>
  <c r="O20" i="24"/>
  <c r="P15" i="24"/>
  <c r="P16" i="24"/>
  <c r="P17" i="24"/>
  <c r="P18" i="24"/>
  <c r="O16" i="24"/>
  <c r="O17" i="24"/>
  <c r="O18" i="24"/>
  <c r="O15" i="24"/>
  <c r="P12" i="24"/>
  <c r="O12" i="24"/>
  <c r="P35" i="24"/>
  <c r="O35" i="24"/>
  <c r="P9" i="24"/>
  <c r="O9" i="24"/>
  <c r="P38" i="24"/>
  <c r="O38" i="24"/>
  <c r="P6" i="24"/>
  <c r="P33" i="24"/>
  <c r="O6" i="24"/>
  <c r="O33" i="24"/>
  <c r="P7" i="24"/>
  <c r="O7" i="24"/>
  <c r="P40" i="24"/>
  <c r="O40" i="24"/>
  <c r="P36" i="24"/>
  <c r="O36" i="24"/>
  <c r="P24" i="24"/>
  <c r="O24" i="24"/>
  <c r="P4" i="24"/>
  <c r="O4" i="24"/>
  <c r="P3" i="24"/>
  <c r="D93" i="10" s="1"/>
  <c r="E93" i="10" s="1"/>
  <c r="O3" i="24"/>
  <c r="N21" i="24"/>
  <c r="M21" i="24"/>
  <c r="N20" i="24"/>
  <c r="M20" i="24"/>
  <c r="N17" i="24"/>
  <c r="N18" i="24"/>
  <c r="M17" i="24"/>
  <c r="M18" i="24"/>
  <c r="N16" i="24"/>
  <c r="M16" i="24"/>
  <c r="N15" i="24"/>
  <c r="M15" i="24"/>
  <c r="N12" i="24"/>
  <c r="M12" i="24"/>
  <c r="M11" i="24"/>
  <c r="N11" i="24"/>
  <c r="N10" i="24"/>
  <c r="M10" i="24"/>
  <c r="N38" i="24"/>
  <c r="M38" i="24"/>
  <c r="N33" i="24"/>
  <c r="M33" i="24"/>
  <c r="M6" i="24"/>
  <c r="N36" i="24"/>
  <c r="M36" i="24"/>
  <c r="N24" i="24"/>
  <c r="M24" i="24"/>
  <c r="M4" i="24"/>
  <c r="N3" i="24"/>
  <c r="D91" i="6" s="1"/>
  <c r="M3" i="24"/>
  <c r="L36" i="24"/>
  <c r="L7" i="24"/>
  <c r="K36" i="24"/>
  <c r="K7" i="24"/>
  <c r="L37" i="24"/>
  <c r="K37" i="24"/>
  <c r="K21" i="24"/>
  <c r="L21" i="24"/>
  <c r="L20" i="24"/>
  <c r="K20" i="24"/>
  <c r="L18" i="24"/>
  <c r="K18" i="24"/>
  <c r="L17" i="24"/>
  <c r="K17" i="24"/>
  <c r="L16" i="24"/>
  <c r="K16" i="24"/>
  <c r="L15" i="24"/>
  <c r="K15" i="24"/>
  <c r="L12" i="24"/>
  <c r="K12" i="24"/>
  <c r="L9" i="24"/>
  <c r="K9" i="24"/>
  <c r="L38" i="24"/>
  <c r="K38" i="24"/>
  <c r="K33" i="24"/>
  <c r="L33" i="24"/>
  <c r="K6" i="24"/>
  <c r="L6" i="24"/>
  <c r="L24" i="24"/>
  <c r="K24" i="24"/>
  <c r="L4" i="24"/>
  <c r="K4" i="24"/>
  <c r="L3" i="24"/>
  <c r="E91" i="5" s="1"/>
  <c r="K3" i="24"/>
  <c r="I17" i="24"/>
  <c r="J31" i="24"/>
  <c r="I31" i="24"/>
  <c r="H31" i="24"/>
  <c r="J20" i="24"/>
  <c r="I20" i="24"/>
  <c r="J22" i="24"/>
  <c r="I22" i="24"/>
  <c r="J23" i="24"/>
  <c r="I23" i="24"/>
  <c r="J18" i="24"/>
  <c r="I18" i="24"/>
  <c r="I19" i="24"/>
  <c r="J19" i="24"/>
  <c r="I4" i="24"/>
  <c r="J4" i="24"/>
  <c r="I36" i="24"/>
  <c r="J36" i="24"/>
  <c r="I7" i="24"/>
  <c r="J7" i="24"/>
  <c r="I8" i="24"/>
  <c r="J8" i="24"/>
  <c r="I25" i="24"/>
  <c r="J25" i="24"/>
  <c r="I26" i="24"/>
  <c r="J26" i="24"/>
  <c r="I27" i="24"/>
  <c r="J27" i="24"/>
  <c r="I28" i="24"/>
  <c r="J28" i="24"/>
  <c r="I29" i="24"/>
  <c r="J29" i="24"/>
  <c r="I30" i="24"/>
  <c r="J30" i="24"/>
  <c r="I34" i="24"/>
  <c r="J34" i="24"/>
  <c r="I12" i="24"/>
  <c r="J12" i="24"/>
  <c r="I13" i="24"/>
  <c r="J13" i="24"/>
  <c r="I14" i="24"/>
  <c r="J14" i="24"/>
  <c r="I15" i="24"/>
  <c r="J15" i="24"/>
  <c r="I16" i="24"/>
  <c r="J16" i="24"/>
  <c r="J17" i="24"/>
  <c r="J3" i="24"/>
  <c r="D136" i="4" s="1"/>
  <c r="E136" i="4" s="1"/>
  <c r="I3" i="24"/>
  <c r="H4" i="24"/>
  <c r="H36" i="24"/>
  <c r="H7" i="24"/>
  <c r="H8" i="24"/>
  <c r="H25" i="24"/>
  <c r="H26" i="24"/>
  <c r="H27" i="24"/>
  <c r="H28" i="24"/>
  <c r="H29" i="24"/>
  <c r="H30" i="24"/>
  <c r="H34" i="24"/>
  <c r="H12" i="24"/>
  <c r="H13" i="24"/>
  <c r="H14" i="24"/>
  <c r="H15" i="24"/>
  <c r="H16" i="24"/>
  <c r="H17" i="24"/>
  <c r="H18" i="24"/>
  <c r="H19" i="24"/>
  <c r="H20" i="24"/>
  <c r="H22" i="24"/>
  <c r="H23" i="24"/>
  <c r="H32" i="24"/>
  <c r="G4" i="24"/>
  <c r="G36" i="24"/>
  <c r="G7" i="24"/>
  <c r="G8" i="24"/>
  <c r="G25" i="24"/>
  <c r="G26" i="24"/>
  <c r="G27" i="24"/>
  <c r="G28" i="24"/>
  <c r="G29" i="24"/>
  <c r="G30" i="24"/>
  <c r="G34" i="24"/>
  <c r="G12" i="24"/>
  <c r="G13" i="24"/>
  <c r="G14" i="24"/>
  <c r="G15" i="24"/>
  <c r="G16" i="24"/>
  <c r="G17" i="24"/>
  <c r="G18" i="24"/>
  <c r="G19" i="24"/>
  <c r="G31" i="24"/>
  <c r="G20" i="24"/>
  <c r="G22" i="24"/>
  <c r="G23" i="24"/>
  <c r="G32" i="24"/>
  <c r="H3" i="24"/>
  <c r="D134" i="8" s="1"/>
  <c r="E134" i="8" s="1"/>
  <c r="G3" i="24"/>
  <c r="F4" i="24"/>
  <c r="F36" i="24"/>
  <c r="F7" i="24"/>
  <c r="F8" i="24"/>
  <c r="F25" i="24"/>
  <c r="F26" i="24"/>
  <c r="F27" i="24"/>
  <c r="F28" i="24"/>
  <c r="F29" i="24"/>
  <c r="F30" i="24"/>
  <c r="F34" i="24"/>
  <c r="F12" i="24"/>
  <c r="F13" i="24"/>
  <c r="F14" i="24"/>
  <c r="F15" i="24"/>
  <c r="F16" i="24"/>
  <c r="F17" i="24"/>
  <c r="F18" i="24"/>
  <c r="F20" i="24"/>
  <c r="F22" i="24"/>
  <c r="F23" i="24"/>
  <c r="F32" i="24"/>
  <c r="E36" i="24"/>
  <c r="E7" i="24"/>
  <c r="E8" i="24"/>
  <c r="E25" i="24"/>
  <c r="E26" i="24"/>
  <c r="E27" i="24"/>
  <c r="E28" i="24"/>
  <c r="E29" i="24"/>
  <c r="E30" i="24"/>
  <c r="E34" i="24"/>
  <c r="E12" i="24"/>
  <c r="E13" i="24"/>
  <c r="E14" i="24"/>
  <c r="E15" i="24"/>
  <c r="E16" i="24"/>
  <c r="E17" i="24"/>
  <c r="E18" i="24"/>
  <c r="E20" i="24"/>
  <c r="E22" i="24"/>
  <c r="E23" i="24"/>
  <c r="E32" i="24"/>
  <c r="E4" i="24"/>
  <c r="C44" i="24"/>
  <c r="O29" i="17" l="1"/>
  <c r="N37" i="18"/>
  <c r="O37" i="18" s="1"/>
  <c r="N34" i="18"/>
  <c r="O34" i="18" s="1"/>
  <c r="N39" i="18"/>
  <c r="O39" i="18" s="1"/>
  <c r="N33" i="18"/>
  <c r="O33" i="18" s="1"/>
  <c r="N31" i="17"/>
  <c r="O31" i="17" s="1"/>
  <c r="N32" i="17"/>
  <c r="O32" i="17" s="1"/>
  <c r="N33" i="17"/>
  <c r="O33" i="17" s="1"/>
  <c r="E25" i="12"/>
  <c r="D61" i="24" s="1"/>
  <c r="E24" i="12"/>
  <c r="D60" i="24" s="1"/>
  <c r="I91" i="6"/>
  <c r="E91" i="6"/>
  <c r="J91" i="5"/>
  <c r="F91" i="5"/>
  <c r="F42" i="24"/>
  <c r="M42" i="24"/>
  <c r="O42" i="24"/>
  <c r="L42" i="24"/>
  <c r="I42" i="24"/>
  <c r="P42" i="24"/>
  <c r="G42" i="24"/>
  <c r="K42" i="24"/>
  <c r="E42" i="24"/>
  <c r="N35" i="17" l="1"/>
  <c r="F73" i="25" s="1"/>
  <c r="D94" i="10"/>
  <c r="D137" i="1"/>
  <c r="E92" i="5"/>
  <c r="E50" i="4"/>
  <c r="J57" i="24" s="1"/>
  <c r="F47" i="24"/>
  <c r="E47" i="24"/>
  <c r="D7" i="24"/>
  <c r="D36" i="24"/>
  <c r="C7" i="24"/>
  <c r="C36" i="24"/>
  <c r="E50" i="8" l="1"/>
  <c r="H57" i="24" s="1"/>
  <c r="C42" i="24"/>
  <c r="E80" i="1"/>
  <c r="E53" i="10"/>
  <c r="P123" i="24" s="1"/>
  <c r="J49" i="5"/>
  <c r="E49" i="5" s="1"/>
  <c r="Q10" i="12"/>
  <c r="E10" i="12" l="1"/>
  <c r="E8" i="12"/>
  <c r="L123" i="24"/>
  <c r="E5" i="12"/>
  <c r="F123" i="24"/>
  <c r="E37" i="4"/>
  <c r="E81" i="4" l="1"/>
  <c r="E78" i="4"/>
  <c r="J5" i="24"/>
  <c r="J42" i="24" s="1"/>
  <c r="E37" i="8"/>
  <c r="D137" i="4" l="1"/>
  <c r="J77" i="24"/>
  <c r="E7" i="12"/>
  <c r="J123" i="24"/>
  <c r="E80" i="8"/>
  <c r="H5" i="24"/>
  <c r="H42" i="24" s="1"/>
  <c r="G478" i="22"/>
  <c r="G479" i="22" s="1"/>
  <c r="G480" i="22" s="1"/>
  <c r="G475" i="22"/>
  <c r="F41" i="10"/>
  <c r="G41" i="10" s="1"/>
  <c r="G457" i="22"/>
  <c r="G454" i="22"/>
  <c r="G452" i="22"/>
  <c r="G383" i="22"/>
  <c r="G467" i="22" s="1"/>
  <c r="G605" i="22" s="1"/>
  <c r="G378" i="22"/>
  <c r="G375" i="22"/>
  <c r="G459" i="22" s="1"/>
  <c r="G370" i="22"/>
  <c r="G367" i="22"/>
  <c r="H598" i="22"/>
  <c r="G600" i="22"/>
  <c r="G592" i="22"/>
  <c r="G590" i="22"/>
  <c r="G589" i="22"/>
  <c r="H301" i="22"/>
  <c r="H153" i="22"/>
  <c r="G160" i="22"/>
  <c r="H149" i="22"/>
  <c r="G149" i="22"/>
  <c r="G147" i="22"/>
  <c r="G73" i="22"/>
  <c r="G62" i="22"/>
  <c r="G61" i="22"/>
  <c r="G59" i="22"/>
  <c r="H548" i="22"/>
  <c r="G548" i="22"/>
  <c r="G546" i="22"/>
  <c r="H545" i="22"/>
  <c r="G545" i="22"/>
  <c r="G540" i="22"/>
  <c r="G539" i="22"/>
  <c r="D135" i="8" l="1"/>
  <c r="D86" i="10"/>
  <c r="E6" i="12"/>
  <c r="H123" i="24"/>
  <c r="G470" i="22"/>
  <c r="G471" i="22" s="1"/>
  <c r="G386" i="22" s="1"/>
  <c r="G544" i="22"/>
  <c r="G461" i="22"/>
  <c r="G377" i="22"/>
  <c r="G148" i="22"/>
  <c r="G68" i="22" s="1"/>
  <c r="G597" i="22"/>
  <c r="G610" i="22"/>
  <c r="H41" i="10"/>
  <c r="F29" i="8"/>
  <c r="G29" i="8" s="1"/>
  <c r="H29" i="8" s="1"/>
  <c r="I29" i="8" s="1"/>
  <c r="G599" i="22" l="1"/>
  <c r="G462" i="22" s="1"/>
  <c r="G547" i="22" s="1"/>
  <c r="H61" i="22"/>
  <c r="I41" i="10"/>
  <c r="D8" i="4"/>
  <c r="K13" i="10"/>
  <c r="G379" i="22" l="1"/>
  <c r="G601" i="22" s="1"/>
  <c r="G463" i="22"/>
  <c r="B49" i="20" l="1"/>
  <c r="F47" i="20"/>
  <c r="F46" i="20"/>
  <c r="F44" i="20"/>
  <c r="F43" i="20"/>
  <c r="F42" i="20"/>
  <c r="F41" i="20"/>
  <c r="F40" i="20"/>
  <c r="F39" i="20"/>
  <c r="B36" i="20"/>
  <c r="E34" i="20"/>
  <c r="F34" i="20" s="1"/>
  <c r="D34" i="20"/>
  <c r="E33" i="20"/>
  <c r="F33" i="20" s="1"/>
  <c r="D33" i="20"/>
  <c r="E32" i="20"/>
  <c r="F32" i="20" s="1"/>
  <c r="D32" i="20"/>
  <c r="B30" i="20"/>
  <c r="F28" i="20"/>
  <c r="H28" i="20" s="1"/>
  <c r="D28" i="20"/>
  <c r="F27" i="20"/>
  <c r="H27" i="20" s="1"/>
  <c r="D27" i="20"/>
  <c r="E26" i="20"/>
  <c r="F26" i="20" s="1"/>
  <c r="H26" i="20" s="1"/>
  <c r="D26" i="20"/>
  <c r="E25" i="20"/>
  <c r="F25" i="20" s="1"/>
  <c r="H25" i="20" s="1"/>
  <c r="D25" i="20"/>
  <c r="E24" i="20"/>
  <c r="F24" i="20" s="1"/>
  <c r="H24" i="20" s="1"/>
  <c r="D24" i="20"/>
  <c r="E23" i="20"/>
  <c r="F23" i="20" s="1"/>
  <c r="H23" i="20" s="1"/>
  <c r="D23" i="20"/>
  <c r="E21" i="20"/>
  <c r="D21" i="20"/>
  <c r="E20" i="20"/>
  <c r="F20" i="20" s="1"/>
  <c r="H20" i="20" s="1"/>
  <c r="D20" i="20"/>
  <c r="E19" i="20"/>
  <c r="F19" i="20" s="1"/>
  <c r="H19" i="20" s="1"/>
  <c r="D19" i="20"/>
  <c r="E18" i="20"/>
  <c r="D18" i="20"/>
  <c r="E17" i="20"/>
  <c r="F17" i="20" s="1"/>
  <c r="H17" i="20" s="1"/>
  <c r="D17" i="20"/>
  <c r="E16" i="20"/>
  <c r="F16" i="20" s="1"/>
  <c r="H16" i="20" s="1"/>
  <c r="D16" i="20"/>
  <c r="E15" i="20"/>
  <c r="F15" i="20" s="1"/>
  <c r="H15" i="20" s="1"/>
  <c r="D15" i="20"/>
  <c r="E14" i="20"/>
  <c r="F14" i="20" s="1"/>
  <c r="H14" i="20" s="1"/>
  <c r="D14" i="20"/>
  <c r="E13" i="20"/>
  <c r="F13" i="20" s="1"/>
  <c r="H13" i="20" s="1"/>
  <c r="D13" i="20"/>
  <c r="E12" i="20"/>
  <c r="F12" i="20" s="1"/>
  <c r="H12" i="20" s="1"/>
  <c r="D12" i="20"/>
  <c r="E11" i="20"/>
  <c r="F11" i="20" s="1"/>
  <c r="H11" i="20" s="1"/>
  <c r="D11" i="20"/>
  <c r="E10" i="20"/>
  <c r="F10" i="20" s="1"/>
  <c r="H10" i="20" s="1"/>
  <c r="D10" i="20"/>
  <c r="E9" i="20"/>
  <c r="D9" i="20"/>
  <c r="E8" i="20"/>
  <c r="D8" i="20"/>
  <c r="E7" i="20"/>
  <c r="F7" i="20" s="1"/>
  <c r="H7" i="20" s="1"/>
  <c r="D7" i="20"/>
  <c r="E6" i="20"/>
  <c r="F6" i="20" s="1"/>
  <c r="H6" i="20" s="1"/>
  <c r="D6" i="20"/>
  <c r="E5" i="20"/>
  <c r="F5" i="20" s="1"/>
  <c r="H5" i="20" s="1"/>
  <c r="D5" i="20"/>
  <c r="E4" i="20"/>
  <c r="F4" i="20" s="1"/>
  <c r="H4" i="20" s="1"/>
  <c r="D4" i="20"/>
  <c r="C41" i="18"/>
  <c r="B41" i="18"/>
  <c r="E29" i="18"/>
  <c r="F29" i="18" s="1"/>
  <c r="D29" i="18"/>
  <c r="B27" i="18"/>
  <c r="D25" i="18"/>
  <c r="F23" i="18"/>
  <c r="D23" i="18"/>
  <c r="E22" i="18"/>
  <c r="F22" i="18" s="1"/>
  <c r="D22" i="18"/>
  <c r="E21" i="18"/>
  <c r="F21" i="18" s="1"/>
  <c r="D21" i="18"/>
  <c r="E20" i="18"/>
  <c r="F20" i="18" s="1"/>
  <c r="D20" i="18"/>
  <c r="E19" i="18"/>
  <c r="F19" i="18" s="1"/>
  <c r="D19" i="18"/>
  <c r="F18" i="18"/>
  <c r="D18" i="18"/>
  <c r="E17" i="18"/>
  <c r="D17" i="18"/>
  <c r="E16" i="18"/>
  <c r="F16" i="18" s="1"/>
  <c r="D16" i="18"/>
  <c r="E15" i="18"/>
  <c r="F15" i="18" s="1"/>
  <c r="D15" i="18"/>
  <c r="E12" i="18"/>
  <c r="F12" i="18" s="1"/>
  <c r="D12" i="18"/>
  <c r="E13" i="18"/>
  <c r="F13" i="18" s="1"/>
  <c r="D13" i="18"/>
  <c r="E11" i="18"/>
  <c r="F11" i="18" s="1"/>
  <c r="D11" i="18"/>
  <c r="F9" i="18"/>
  <c r="D9" i="18"/>
  <c r="E8" i="18"/>
  <c r="F8" i="18" s="1"/>
  <c r="D8" i="18"/>
  <c r="E7" i="18"/>
  <c r="F7" i="18" s="1"/>
  <c r="D7" i="18"/>
  <c r="E6" i="18"/>
  <c r="F6" i="18" s="1"/>
  <c r="D6" i="18"/>
  <c r="E5" i="18"/>
  <c r="F5" i="18" s="1"/>
  <c r="D5" i="18"/>
  <c r="C35" i="17"/>
  <c r="B35" i="17"/>
  <c r="E26" i="17"/>
  <c r="D26" i="17"/>
  <c r="B24" i="17"/>
  <c r="E22" i="17"/>
  <c r="F22" i="17" s="1"/>
  <c r="D22" i="17"/>
  <c r="E21" i="17"/>
  <c r="F21" i="17" s="1"/>
  <c r="D21" i="17"/>
  <c r="E20" i="17"/>
  <c r="F20" i="17" s="1"/>
  <c r="D20" i="17"/>
  <c r="E19" i="17"/>
  <c r="D19" i="17"/>
  <c r="E18" i="17"/>
  <c r="F18" i="17" s="1"/>
  <c r="D18" i="17"/>
  <c r="F17" i="17"/>
  <c r="D17" i="17"/>
  <c r="E16" i="17"/>
  <c r="D16" i="17"/>
  <c r="E15" i="17"/>
  <c r="F15" i="17" s="1"/>
  <c r="D15" i="17"/>
  <c r="E14" i="17"/>
  <c r="F14" i="17" s="1"/>
  <c r="D14" i="17"/>
  <c r="F13" i="17"/>
  <c r="D13" i="17"/>
  <c r="E12" i="17"/>
  <c r="F12" i="17" s="1"/>
  <c r="D12" i="17"/>
  <c r="E11" i="17"/>
  <c r="D11" i="17"/>
  <c r="E10" i="17"/>
  <c r="F10" i="17" s="1"/>
  <c r="D10" i="17"/>
  <c r="F9" i="17"/>
  <c r="D9" i="17"/>
  <c r="E8" i="17"/>
  <c r="F8" i="17" s="1"/>
  <c r="D8" i="17"/>
  <c r="E7" i="17"/>
  <c r="F7" i="17" s="1"/>
  <c r="D7" i="17"/>
  <c r="E6" i="17"/>
  <c r="F6" i="17" s="1"/>
  <c r="D6" i="17"/>
  <c r="E5" i="17"/>
  <c r="F5" i="17" s="1"/>
  <c r="D5" i="17"/>
  <c r="B55" i="16"/>
  <c r="F53" i="16"/>
  <c r="F52" i="16"/>
  <c r="F51" i="16"/>
  <c r="F50" i="16"/>
  <c r="F49" i="16"/>
  <c r="F48" i="16"/>
  <c r="F47" i="16"/>
  <c r="F46" i="16"/>
  <c r="F45" i="16"/>
  <c r="E42" i="16"/>
  <c r="F42" i="16" s="1"/>
  <c r="D42" i="16"/>
  <c r="B40" i="16"/>
  <c r="F38" i="16"/>
  <c r="D38" i="16"/>
  <c r="F37" i="16"/>
  <c r="D37" i="16"/>
  <c r="E36" i="16"/>
  <c r="F36" i="16" s="1"/>
  <c r="D36" i="16"/>
  <c r="E35" i="16"/>
  <c r="F35" i="16" s="1"/>
  <c r="D35" i="16"/>
  <c r="E34" i="16"/>
  <c r="F34" i="16" s="1"/>
  <c r="D34" i="16"/>
  <c r="E30" i="16"/>
  <c r="F30" i="16" s="1"/>
  <c r="D30" i="16"/>
  <c r="E28" i="16"/>
  <c r="F28" i="16" s="1"/>
  <c r="D28" i="16"/>
  <c r="E33" i="16"/>
  <c r="F33" i="16" s="1"/>
  <c r="D33" i="16"/>
  <c r="E32" i="16"/>
  <c r="F32" i="16" s="1"/>
  <c r="D32" i="16"/>
  <c r="E31" i="16"/>
  <c r="F31" i="16" s="1"/>
  <c r="D31" i="16"/>
  <c r="E27" i="16"/>
  <c r="F27" i="16" s="1"/>
  <c r="D27" i="16"/>
  <c r="E26" i="16"/>
  <c r="F26" i="16" s="1"/>
  <c r="D26" i="16"/>
  <c r="E23" i="16"/>
  <c r="F23" i="16" s="1"/>
  <c r="D23" i="16"/>
  <c r="E21" i="16"/>
  <c r="F21" i="16" s="1"/>
  <c r="D21" i="16"/>
  <c r="E25" i="16"/>
  <c r="F25" i="16" s="1"/>
  <c r="D25" i="16"/>
  <c r="E24" i="16"/>
  <c r="F24" i="16" s="1"/>
  <c r="D24" i="16"/>
  <c r="E20" i="16"/>
  <c r="F20" i="16" s="1"/>
  <c r="D20" i="16"/>
  <c r="E19" i="16"/>
  <c r="F19" i="16" s="1"/>
  <c r="D19" i="16"/>
  <c r="E18" i="16"/>
  <c r="F18" i="16" s="1"/>
  <c r="D18" i="16"/>
  <c r="E17" i="16"/>
  <c r="F17" i="16" s="1"/>
  <c r="D17" i="16"/>
  <c r="E15" i="16"/>
  <c r="F15" i="16" s="1"/>
  <c r="D15" i="16"/>
  <c r="E13" i="16"/>
  <c r="F13" i="16" s="1"/>
  <c r="D13" i="16"/>
  <c r="E12" i="16"/>
  <c r="F12" i="16" s="1"/>
  <c r="D12" i="16"/>
  <c r="E10" i="16"/>
  <c r="F10" i="16" s="1"/>
  <c r="D10" i="16"/>
  <c r="E9" i="16"/>
  <c r="F9" i="16" s="1"/>
  <c r="D9" i="16"/>
  <c r="E8" i="16"/>
  <c r="F8" i="16" s="1"/>
  <c r="D8" i="16"/>
  <c r="E6" i="16"/>
  <c r="F6" i="16" s="1"/>
  <c r="D6" i="16"/>
  <c r="E5" i="16"/>
  <c r="F5" i="16" s="1"/>
  <c r="D5" i="16"/>
  <c r="E4" i="16"/>
  <c r="F4" i="16" s="1"/>
  <c r="D4" i="16"/>
  <c r="J22" i="18" l="1"/>
  <c r="I22" i="18"/>
  <c r="K22" i="18"/>
  <c r="H22" i="18"/>
  <c r="N22" i="18" s="1"/>
  <c r="O22" i="18" s="1"/>
  <c r="I19" i="18"/>
  <c r="K19" i="18"/>
  <c r="H19" i="18"/>
  <c r="J19" i="18"/>
  <c r="H11" i="18"/>
  <c r="K11" i="18"/>
  <c r="J11" i="18"/>
  <c r="I11" i="18"/>
  <c r="K20" i="18"/>
  <c r="J20" i="18"/>
  <c r="H20" i="18"/>
  <c r="I20" i="18"/>
  <c r="J23" i="18"/>
  <c r="I23" i="18"/>
  <c r="H23" i="18"/>
  <c r="K23" i="18"/>
  <c r="H9" i="18"/>
  <c r="J9" i="18"/>
  <c r="I9" i="18"/>
  <c r="K9" i="18"/>
  <c r="H5" i="18"/>
  <c r="O5" i="18"/>
  <c r="O26" i="18" s="1"/>
  <c r="J5" i="18"/>
  <c r="I5" i="18"/>
  <c r="K5" i="18"/>
  <c r="J6" i="18"/>
  <c r="I6" i="18"/>
  <c r="K6" i="18"/>
  <c r="H6" i="18"/>
  <c r="N6" i="18" s="1"/>
  <c r="O6" i="18" s="1"/>
  <c r="I21" i="18"/>
  <c r="J21" i="18"/>
  <c r="K21" i="18"/>
  <c r="H21" i="18"/>
  <c r="N21" i="18" s="1"/>
  <c r="O21" i="18" s="1"/>
  <c r="K12" i="18"/>
  <c r="J12" i="18"/>
  <c r="I12" i="18"/>
  <c r="H12" i="18"/>
  <c r="K15" i="18"/>
  <c r="J15" i="18"/>
  <c r="I15" i="18"/>
  <c r="H15" i="18"/>
  <c r="N15" i="18" s="1"/>
  <c r="O15" i="18" s="1"/>
  <c r="J16" i="18"/>
  <c r="K16" i="18"/>
  <c r="I16" i="18"/>
  <c r="H16" i="18"/>
  <c r="N16" i="18" s="1"/>
  <c r="O16" i="18" s="1"/>
  <c r="J8" i="18"/>
  <c r="H8" i="18"/>
  <c r="K8" i="18"/>
  <c r="I8" i="18"/>
  <c r="K18" i="18"/>
  <c r="I18" i="18"/>
  <c r="H18" i="18"/>
  <c r="N18" i="18" s="1"/>
  <c r="J18" i="18"/>
  <c r="O18" i="18"/>
  <c r="K13" i="18"/>
  <c r="J13" i="18"/>
  <c r="H13" i="18"/>
  <c r="I13" i="18"/>
  <c r="J7" i="18"/>
  <c r="I7" i="18"/>
  <c r="K7" i="18"/>
  <c r="H7" i="18"/>
  <c r="N7" i="18" s="1"/>
  <c r="O7" i="18" s="1"/>
  <c r="K14" i="17"/>
  <c r="J14" i="17"/>
  <c r="I14" i="17"/>
  <c r="H14" i="17"/>
  <c r="N14" i="17" s="1"/>
  <c r="O14" i="17" s="1"/>
  <c r="K15" i="17"/>
  <c r="J15" i="17"/>
  <c r="H15" i="17"/>
  <c r="I15" i="17"/>
  <c r="J6" i="17"/>
  <c r="I6" i="17"/>
  <c r="H6" i="17"/>
  <c r="K6" i="17"/>
  <c r="H17" i="17"/>
  <c r="K17" i="17"/>
  <c r="J17" i="17"/>
  <c r="I17" i="17"/>
  <c r="J22" i="17"/>
  <c r="I22" i="17"/>
  <c r="H22" i="17"/>
  <c r="K22" i="17"/>
  <c r="I7" i="17"/>
  <c r="J7" i="17"/>
  <c r="K7" i="17"/>
  <c r="H7" i="17"/>
  <c r="N7" i="17" s="1"/>
  <c r="O7" i="17" s="1"/>
  <c r="K8" i="17"/>
  <c r="J8" i="17"/>
  <c r="I8" i="17"/>
  <c r="H8" i="17"/>
  <c r="N8" i="17" s="1"/>
  <c r="O8" i="17" s="1"/>
  <c r="H18" i="17"/>
  <c r="K18" i="17"/>
  <c r="I18" i="17"/>
  <c r="J18" i="17"/>
  <c r="I20" i="17"/>
  <c r="H20" i="17"/>
  <c r="K20" i="17"/>
  <c r="J20" i="17"/>
  <c r="K9" i="17"/>
  <c r="J9" i="17"/>
  <c r="I9" i="17"/>
  <c r="H9" i="17"/>
  <c r="N9" i="17" s="1"/>
  <c r="O9" i="17" s="1"/>
  <c r="H10" i="17"/>
  <c r="K10" i="17"/>
  <c r="J10" i="17"/>
  <c r="I10" i="17"/>
  <c r="K12" i="17"/>
  <c r="J12" i="17"/>
  <c r="I12" i="17"/>
  <c r="H12" i="17"/>
  <c r="N12" i="17" s="1"/>
  <c r="O12" i="17" s="1"/>
  <c r="J5" i="17"/>
  <c r="K5" i="17"/>
  <c r="I5" i="17"/>
  <c r="H5" i="17"/>
  <c r="K13" i="17"/>
  <c r="J13" i="17"/>
  <c r="I13" i="17"/>
  <c r="H13" i="17"/>
  <c r="N13" i="17" s="1"/>
  <c r="O13" i="17" s="1"/>
  <c r="I21" i="17"/>
  <c r="H21" i="17"/>
  <c r="J21" i="17"/>
  <c r="K21" i="17"/>
  <c r="J45" i="16"/>
  <c r="K45" i="16"/>
  <c r="I45" i="16"/>
  <c r="L45" i="16"/>
  <c r="L10" i="16"/>
  <c r="K10" i="16"/>
  <c r="I10" i="16"/>
  <c r="J10" i="16"/>
  <c r="I32" i="16"/>
  <c r="L32" i="16"/>
  <c r="K32" i="16"/>
  <c r="J32" i="16"/>
  <c r="L24" i="16"/>
  <c r="K24" i="16"/>
  <c r="J24" i="16"/>
  <c r="I24" i="16"/>
  <c r="I42" i="16"/>
  <c r="K42" i="16"/>
  <c r="L42" i="16"/>
  <c r="J42" i="16"/>
  <c r="K23" i="16"/>
  <c r="J23" i="16"/>
  <c r="I23" i="16"/>
  <c r="L23" i="16"/>
  <c r="K9" i="16"/>
  <c r="L9" i="16"/>
  <c r="I9" i="16"/>
  <c r="P9" i="16" s="1"/>
  <c r="J9" i="16"/>
  <c r="K4" i="16"/>
  <c r="J4" i="16"/>
  <c r="I4" i="16"/>
  <c r="L4" i="16"/>
  <c r="J20" i="16"/>
  <c r="I20" i="16"/>
  <c r="K20" i="16"/>
  <c r="L20" i="16"/>
  <c r="K12" i="16"/>
  <c r="L12" i="16"/>
  <c r="J12" i="16"/>
  <c r="I12" i="16"/>
  <c r="P12" i="16" s="1"/>
  <c r="J21" i="16"/>
  <c r="I21" i="16"/>
  <c r="L21" i="16"/>
  <c r="K21" i="16"/>
  <c r="I15" i="16"/>
  <c r="J15" i="16"/>
  <c r="L15" i="16"/>
  <c r="K15" i="16"/>
  <c r="K5" i="16"/>
  <c r="J5" i="16"/>
  <c r="L5" i="16"/>
  <c r="I5" i="16"/>
  <c r="P5" i="16" s="1"/>
  <c r="J51" i="16"/>
  <c r="I51" i="16"/>
  <c r="K51" i="16"/>
  <c r="L51" i="16"/>
  <c r="J38" i="16"/>
  <c r="K38" i="16"/>
  <c r="L38" i="16"/>
  <c r="I38" i="16"/>
  <c r="P38" i="16" s="1"/>
  <c r="L25" i="16"/>
  <c r="K25" i="16"/>
  <c r="J25" i="16"/>
  <c r="I25" i="16"/>
  <c r="P25" i="16" s="1"/>
  <c r="K46" i="16"/>
  <c r="J46" i="16"/>
  <c r="L46" i="16"/>
  <c r="I46" i="16"/>
  <c r="P46" i="16" s="1"/>
  <c r="I13" i="16"/>
  <c r="J13" i="16"/>
  <c r="L13" i="16"/>
  <c r="K13" i="16"/>
  <c r="K47" i="16"/>
  <c r="J47" i="16"/>
  <c r="L47" i="16"/>
  <c r="I47" i="16"/>
  <c r="P47" i="16" s="1"/>
  <c r="I49" i="16"/>
  <c r="K49" i="16"/>
  <c r="L49" i="16"/>
  <c r="J49" i="16"/>
  <c r="J50" i="16"/>
  <c r="L50" i="16"/>
  <c r="K50" i="16"/>
  <c r="I50" i="16"/>
  <c r="P50" i="16" s="1"/>
  <c r="I35" i="16"/>
  <c r="J35" i="16"/>
  <c r="K35" i="16"/>
  <c r="L35" i="16"/>
  <c r="I18" i="16"/>
  <c r="L18" i="16"/>
  <c r="J18" i="16"/>
  <c r="K18" i="16"/>
  <c r="J36" i="16"/>
  <c r="I36" i="16"/>
  <c r="L36" i="16"/>
  <c r="K36" i="16"/>
  <c r="L8" i="16"/>
  <c r="K8" i="16"/>
  <c r="I8" i="16"/>
  <c r="J8" i="16"/>
  <c r="K37" i="16"/>
  <c r="J37" i="16"/>
  <c r="I37" i="16"/>
  <c r="L37" i="16"/>
  <c r="I33" i="16"/>
  <c r="L33" i="16"/>
  <c r="K33" i="16"/>
  <c r="J33" i="16"/>
  <c r="L28" i="16"/>
  <c r="K28" i="16"/>
  <c r="J28" i="16"/>
  <c r="I28" i="16"/>
  <c r="P28" i="16" s="1"/>
  <c r="I30" i="16"/>
  <c r="L30" i="16"/>
  <c r="K30" i="16"/>
  <c r="J30" i="16"/>
  <c r="K48" i="16"/>
  <c r="I48" i="16"/>
  <c r="J48" i="16"/>
  <c r="L48" i="16"/>
  <c r="I34" i="16"/>
  <c r="L34" i="16"/>
  <c r="K34" i="16"/>
  <c r="J34" i="16"/>
  <c r="I17" i="16"/>
  <c r="K17" i="16"/>
  <c r="J17" i="16"/>
  <c r="L17" i="16"/>
  <c r="I26" i="16"/>
  <c r="L26" i="16"/>
  <c r="K26" i="16"/>
  <c r="J26" i="16"/>
  <c r="L52" i="16"/>
  <c r="I52" i="16"/>
  <c r="J52" i="16"/>
  <c r="K52" i="16"/>
  <c r="L6" i="16"/>
  <c r="K6" i="16"/>
  <c r="J6" i="16"/>
  <c r="I6" i="16"/>
  <c r="P6" i="16" s="1"/>
  <c r="L27" i="16"/>
  <c r="K27" i="16"/>
  <c r="J27" i="16"/>
  <c r="I27" i="16"/>
  <c r="P27" i="16" s="1"/>
  <c r="J53" i="16"/>
  <c r="K53" i="16"/>
  <c r="L53" i="16"/>
  <c r="I53" i="16"/>
  <c r="P53" i="16" s="1"/>
  <c r="I19" i="16"/>
  <c r="L19" i="16"/>
  <c r="J19" i="16"/>
  <c r="K19" i="16"/>
  <c r="I31" i="16"/>
  <c r="L31" i="16"/>
  <c r="K31" i="16"/>
  <c r="J31" i="16"/>
  <c r="H64" i="25"/>
  <c r="H70" i="25"/>
  <c r="B38" i="17"/>
  <c r="H152" i="22" s="1"/>
  <c r="E37" i="5"/>
  <c r="L50" i="24" s="1"/>
  <c r="D64" i="25"/>
  <c r="E43" i="1"/>
  <c r="F50" i="24" s="1"/>
  <c r="B43" i="18"/>
  <c r="H263" i="22" s="1"/>
  <c r="F49" i="20"/>
  <c r="E47" i="4"/>
  <c r="J54" i="24" s="1"/>
  <c r="H156" i="22"/>
  <c r="H160" i="22" s="1"/>
  <c r="F70" i="25"/>
  <c r="E47" i="8"/>
  <c r="H54" i="24" s="1"/>
  <c r="E45" i="4"/>
  <c r="J50" i="24" s="1"/>
  <c r="B57" i="16"/>
  <c r="H62" i="22" s="1"/>
  <c r="H596" i="22"/>
  <c r="H600" i="22" s="1"/>
  <c r="H385" i="22"/>
  <c r="H384" i="22"/>
  <c r="H460" i="22"/>
  <c r="H469" i="22"/>
  <c r="H468" i="22"/>
  <c r="H267" i="22"/>
  <c r="H270" i="22"/>
  <c r="H66" i="22"/>
  <c r="H454" i="22"/>
  <c r="H302" i="22" s="1"/>
  <c r="H453" i="22"/>
  <c r="F55" i="16"/>
  <c r="D70" i="25" s="1"/>
  <c r="H476" i="22"/>
  <c r="H477" i="22"/>
  <c r="H592" i="22"/>
  <c r="H591" i="22"/>
  <c r="H607" i="22"/>
  <c r="H606" i="22"/>
  <c r="B53" i="20"/>
  <c r="H370" i="22"/>
  <c r="H369" i="22"/>
  <c r="H376" i="22"/>
  <c r="F30" i="20"/>
  <c r="F36" i="20"/>
  <c r="F27" i="18"/>
  <c r="H59" i="25" s="1"/>
  <c r="F24" i="17"/>
  <c r="F40" i="16"/>
  <c r="N5" i="17" l="1"/>
  <c r="N11" i="18"/>
  <c r="O11" i="18" s="1"/>
  <c r="N9" i="18"/>
  <c r="O9" i="18" s="1"/>
  <c r="N19" i="18"/>
  <c r="O19" i="18" s="1"/>
  <c r="N13" i="18"/>
  <c r="O13" i="18" s="1"/>
  <c r="N23" i="18"/>
  <c r="O23" i="18" s="1"/>
  <c r="N8" i="18"/>
  <c r="O8" i="18" s="1"/>
  <c r="N12" i="18"/>
  <c r="O12" i="18" s="1"/>
  <c r="N20" i="18"/>
  <c r="O20" i="18" s="1"/>
  <c r="N18" i="17"/>
  <c r="O18" i="17" s="1"/>
  <c r="N21" i="17"/>
  <c r="O21" i="17" s="1"/>
  <c r="N17" i="17"/>
  <c r="O17" i="17" s="1"/>
  <c r="N6" i="17"/>
  <c r="O6" i="17" s="1"/>
  <c r="N10" i="17"/>
  <c r="O10" i="17" s="1"/>
  <c r="N22" i="17"/>
  <c r="O22" i="17" s="1"/>
  <c r="N15" i="17"/>
  <c r="O15" i="17" s="1"/>
  <c r="N20" i="17"/>
  <c r="O20" i="17" s="1"/>
  <c r="L39" i="16"/>
  <c r="P24" i="16"/>
  <c r="P17" i="16"/>
  <c r="K39" i="16"/>
  <c r="J39" i="16"/>
  <c r="I39" i="16"/>
  <c r="P32" i="16"/>
  <c r="P49" i="16"/>
  <c r="P21" i="16"/>
  <c r="P10" i="16"/>
  <c r="P51" i="16"/>
  <c r="P15" i="16"/>
  <c r="P18" i="16"/>
  <c r="P35" i="16"/>
  <c r="P31" i="16"/>
  <c r="L54" i="16"/>
  <c r="P36" i="16"/>
  <c r="P34" i="16"/>
  <c r="P23" i="16"/>
  <c r="P52" i="16"/>
  <c r="P19" i="16"/>
  <c r="P8" i="16"/>
  <c r="I54" i="16"/>
  <c r="P33" i="16"/>
  <c r="P20" i="16"/>
  <c r="K54" i="16"/>
  <c r="P37" i="16"/>
  <c r="P48" i="16"/>
  <c r="D59" i="25"/>
  <c r="I40" i="16"/>
  <c r="P13" i="16"/>
  <c r="P26" i="16"/>
  <c r="P30" i="16"/>
  <c r="P42" i="16"/>
  <c r="J54" i="16"/>
  <c r="H266" i="22"/>
  <c r="H61" i="25"/>
  <c r="H73" i="25"/>
  <c r="H65" i="25"/>
  <c r="D65" i="25"/>
  <c r="F81" i="25"/>
  <c r="H381" i="22"/>
  <c r="H383" i="22" s="1"/>
  <c r="H65" i="22"/>
  <c r="E41" i="4"/>
  <c r="E43" i="4" s="1"/>
  <c r="J48" i="24" s="1"/>
  <c r="P64" i="25"/>
  <c r="E37" i="6"/>
  <c r="N50" i="24" s="1"/>
  <c r="E39" i="5"/>
  <c r="L54" i="24" s="1"/>
  <c r="P59" i="25"/>
  <c r="E33" i="6"/>
  <c r="E35" i="10"/>
  <c r="E39" i="10"/>
  <c r="P50" i="24" s="1"/>
  <c r="E39" i="1"/>
  <c r="F46" i="24" s="1"/>
  <c r="E33" i="5"/>
  <c r="P70" i="25"/>
  <c r="E39" i="6"/>
  <c r="N54" i="24" s="1"/>
  <c r="E43" i="10"/>
  <c r="P54" i="24" s="1"/>
  <c r="F59" i="25"/>
  <c r="E41" i="8"/>
  <c r="H374" i="22"/>
  <c r="H377" i="22" s="1"/>
  <c r="H69" i="22"/>
  <c r="H73" i="22" s="1"/>
  <c r="E45" i="1"/>
  <c r="H603" i="22"/>
  <c r="H458" i="22"/>
  <c r="H461" i="22" s="1"/>
  <c r="F57" i="16"/>
  <c r="H27" i="22"/>
  <c r="F43" i="18"/>
  <c r="H258" i="22"/>
  <c r="H260" i="22" s="1"/>
  <c r="H449" i="22"/>
  <c r="H274" i="22"/>
  <c r="H273" i="22"/>
  <c r="H60" i="22" s="1"/>
  <c r="F38" i="17"/>
  <c r="H144" i="22"/>
  <c r="H587" i="22"/>
  <c r="H67" i="22"/>
  <c r="H68" i="22"/>
  <c r="H473" i="22"/>
  <c r="E41" i="10"/>
  <c r="H365" i="22"/>
  <c r="H465" i="22"/>
  <c r="H467" i="22" s="1"/>
  <c r="F53" i="20"/>
  <c r="H81" i="25" l="1"/>
  <c r="N24" i="17"/>
  <c r="F62" i="25" s="1"/>
  <c r="O5" i="17"/>
  <c r="H63" i="25"/>
  <c r="P65" i="25"/>
  <c r="O54" i="16"/>
  <c r="O39" i="16"/>
  <c r="P4" i="16"/>
  <c r="P45" i="16"/>
  <c r="P54" i="16" s="1"/>
  <c r="J46" i="24"/>
  <c r="F61" i="25"/>
  <c r="E46" i="4"/>
  <c r="J53" i="24" s="1"/>
  <c r="E44" i="1"/>
  <c r="F53" i="24" s="1"/>
  <c r="N46" i="24"/>
  <c r="E35" i="6"/>
  <c r="N48" i="24" s="1"/>
  <c r="E43" i="6"/>
  <c r="P61" i="25"/>
  <c r="E38" i="5"/>
  <c r="L53" i="24" s="1"/>
  <c r="L69" i="25"/>
  <c r="E43" i="8"/>
  <c r="H48" i="24" s="1"/>
  <c r="H46" i="24"/>
  <c r="L46" i="24"/>
  <c r="E43" i="5"/>
  <c r="E35" i="5"/>
  <c r="L48" i="24" s="1"/>
  <c r="P46" i="24"/>
  <c r="E47" i="10"/>
  <c r="L61" i="25"/>
  <c r="D61" i="25"/>
  <c r="P51" i="24"/>
  <c r="F54" i="24"/>
  <c r="H475" i="22"/>
  <c r="H478" i="22"/>
  <c r="H479" i="22" s="1"/>
  <c r="H480" i="22" s="1"/>
  <c r="E41" i="1"/>
  <c r="F48" i="24" s="1"/>
  <c r="H610" i="22"/>
  <c r="H605" i="22"/>
  <c r="H589" i="22"/>
  <c r="H368" i="22" s="1"/>
  <c r="H590" i="22"/>
  <c r="H148" i="22" s="1"/>
  <c r="D81" i="25" l="1"/>
  <c r="H69" i="25"/>
  <c r="H82" i="25" s="1"/>
  <c r="D69" i="25"/>
  <c r="D63" i="25"/>
  <c r="E42" i="5"/>
  <c r="L57" i="24" s="1"/>
  <c r="E42" i="10"/>
  <c r="P52" i="24" s="1"/>
  <c r="E40" i="10"/>
  <c r="P53" i="24" s="1"/>
  <c r="L81" i="25"/>
  <c r="E27" i="10"/>
  <c r="P39" i="24" s="1"/>
  <c r="E44" i="8"/>
  <c r="E121" i="8" s="1"/>
  <c r="C136" i="8" s="1"/>
  <c r="E38" i="6"/>
  <c r="N53" i="24" s="1"/>
  <c r="P69" i="25"/>
  <c r="E29" i="5"/>
  <c r="L32" i="24" s="1"/>
  <c r="L66" i="24"/>
  <c r="E48" i="1"/>
  <c r="F57" i="24" s="1"/>
  <c r="E42" i="1"/>
  <c r="F49" i="24" s="1"/>
  <c r="H535" i="22"/>
  <c r="E46" i="10"/>
  <c r="P57" i="24" s="1"/>
  <c r="P81" i="25"/>
  <c r="E42" i="6"/>
  <c r="N57" i="24" s="1"/>
  <c r="E29" i="6"/>
  <c r="N32" i="24" s="1"/>
  <c r="N66" i="24"/>
  <c r="P66" i="24"/>
  <c r="E31" i="10"/>
  <c r="P32" i="24" s="1"/>
  <c r="E44" i="4"/>
  <c r="J49" i="24" s="1"/>
  <c r="E38" i="10"/>
  <c r="P49" i="24" s="1"/>
  <c r="E36" i="6"/>
  <c r="N49" i="24" s="1"/>
  <c r="P63" i="25"/>
  <c r="H534" i="22"/>
  <c r="H538" i="22" s="1"/>
  <c r="E20" i="12"/>
  <c r="D44" i="24" s="1"/>
  <c r="E79" i="4"/>
  <c r="P82" i="25" l="1"/>
  <c r="D82" i="25"/>
  <c r="F63" i="25"/>
  <c r="H49" i="24"/>
  <c r="H539" i="22"/>
  <c r="E86" i="10"/>
  <c r="C95" i="10" s="1"/>
  <c r="J119" i="24"/>
  <c r="J176" i="24" s="1"/>
  <c r="E122" i="4"/>
  <c r="C138" i="4" s="1"/>
  <c r="H541" i="22"/>
  <c r="H540" i="22"/>
  <c r="E39" i="4"/>
  <c r="C137" i="4" s="1"/>
  <c r="E137" i="4" s="1"/>
  <c r="D39" i="4"/>
  <c r="F30" i="4"/>
  <c r="G30" i="4" s="1"/>
  <c r="H30" i="4" s="1"/>
  <c r="I30" i="4" s="1"/>
  <c r="E39" i="8"/>
  <c r="C135" i="8" s="1"/>
  <c r="E135" i="8" s="1"/>
  <c r="D39" i="8"/>
  <c r="I38" i="4"/>
  <c r="H38" i="4"/>
  <c r="G38" i="4"/>
  <c r="F38" i="4"/>
  <c r="I38" i="8"/>
  <c r="H38" i="8"/>
  <c r="G38" i="8"/>
  <c r="F38" i="8"/>
  <c r="F176" i="24"/>
  <c r="E37" i="1"/>
  <c r="C137" i="1" s="1"/>
  <c r="D37" i="1"/>
  <c r="I35" i="1"/>
  <c r="H35" i="1"/>
  <c r="G35" i="1"/>
  <c r="F35" i="1"/>
  <c r="E31" i="5"/>
  <c r="D92" i="5" s="1"/>
  <c r="E9" i="5"/>
  <c r="D9" i="5"/>
  <c r="E7" i="5"/>
  <c r="E8" i="5" s="1"/>
  <c r="D7" i="5"/>
  <c r="D8" i="5" s="1"/>
  <c r="E9" i="10"/>
  <c r="D9" i="10"/>
  <c r="E33" i="10"/>
  <c r="C94" i="10" s="1"/>
  <c r="E94" i="10" s="1"/>
  <c r="D33" i="10"/>
  <c r="P176" i="24"/>
  <c r="E7" i="10"/>
  <c r="E8" i="10" s="1"/>
  <c r="D7" i="10"/>
  <c r="D8" i="10" s="1"/>
  <c r="E7" i="6"/>
  <c r="F7" i="6"/>
  <c r="G7" i="6"/>
  <c r="H7" i="6"/>
  <c r="I7" i="6"/>
  <c r="D7" i="6"/>
  <c r="E26" i="12" l="1"/>
  <c r="D62" i="24" s="1"/>
  <c r="F82" i="25"/>
  <c r="F172" i="25" s="1"/>
  <c r="F183" i="25" s="1"/>
  <c r="I137" i="1"/>
  <c r="E137" i="1"/>
  <c r="E21" i="12"/>
  <c r="D45" i="24" s="1"/>
  <c r="F92" i="5"/>
  <c r="J92" i="5"/>
  <c r="D138" i="4"/>
  <c r="E138" i="4" s="1"/>
  <c r="J178" i="24"/>
  <c r="D138" i="1"/>
  <c r="F178" i="24"/>
  <c r="D95" i="10"/>
  <c r="E95" i="10" s="1"/>
  <c r="P178" i="24"/>
  <c r="H176" i="24"/>
  <c r="E14" i="6"/>
  <c r="N6" i="24" s="1"/>
  <c r="E13" i="6"/>
  <c r="E12" i="6"/>
  <c r="E126" i="8"/>
  <c r="E126" i="4"/>
  <c r="E122" i="1"/>
  <c r="C138" i="1" s="1"/>
  <c r="E88" i="10"/>
  <c r="E90" i="10" s="1"/>
  <c r="D69" i="14"/>
  <c r="E69" i="14" s="1"/>
  <c r="F69" i="14" s="1"/>
  <c r="G69" i="14" s="1"/>
  <c r="D68" i="14"/>
  <c r="E68" i="14" s="1"/>
  <c r="F68" i="14" s="1"/>
  <c r="G68" i="14" s="1"/>
  <c r="D67" i="14"/>
  <c r="E67" i="14" s="1"/>
  <c r="F67" i="14" s="1"/>
  <c r="G67" i="14" s="1"/>
  <c r="D66" i="14"/>
  <c r="E66" i="14" s="1"/>
  <c r="F66" i="14" s="1"/>
  <c r="G66" i="14" s="1"/>
  <c r="D65" i="14"/>
  <c r="E65" i="14" s="1"/>
  <c r="F65" i="14" s="1"/>
  <c r="G65" i="14" s="1"/>
  <c r="D64" i="14"/>
  <c r="E64" i="14" s="1"/>
  <c r="F64" i="14" s="1"/>
  <c r="G64" i="14" s="1"/>
  <c r="D63" i="14"/>
  <c r="E63" i="14" s="1"/>
  <c r="F63" i="14" s="1"/>
  <c r="G63" i="14" s="1"/>
  <c r="D62" i="14"/>
  <c r="E62" i="14" s="1"/>
  <c r="F62" i="14" s="1"/>
  <c r="G62" i="14" s="1"/>
  <c r="D61" i="14"/>
  <c r="E61" i="14" s="1"/>
  <c r="F61" i="14" s="1"/>
  <c r="G61" i="14" s="1"/>
  <c r="D60" i="14"/>
  <c r="E60" i="14" s="1"/>
  <c r="F60" i="14" s="1"/>
  <c r="G60" i="14" s="1"/>
  <c r="D59" i="14"/>
  <c r="E59" i="14" s="1"/>
  <c r="F59" i="14" s="1"/>
  <c r="G59" i="14" s="1"/>
  <c r="D58" i="14"/>
  <c r="E58" i="14" s="1"/>
  <c r="F58" i="14" s="1"/>
  <c r="G58" i="14" s="1"/>
  <c r="D57" i="14"/>
  <c r="E57" i="14" s="1"/>
  <c r="F57" i="14" s="1"/>
  <c r="G57" i="14" s="1"/>
  <c r="D56" i="14"/>
  <c r="E56" i="14" s="1"/>
  <c r="F56" i="14" s="1"/>
  <c r="G56" i="14" s="1"/>
  <c r="D55" i="14"/>
  <c r="E55" i="14" s="1"/>
  <c r="F55" i="14" s="1"/>
  <c r="G55" i="14" s="1"/>
  <c r="D54" i="14"/>
  <c r="E54" i="14" s="1"/>
  <c r="F54" i="14" s="1"/>
  <c r="G54" i="14" s="1"/>
  <c r="D53" i="14"/>
  <c r="E53" i="14" s="1"/>
  <c r="F53" i="14" s="1"/>
  <c r="G53" i="14" s="1"/>
  <c r="F52" i="14"/>
  <c r="G52" i="14" s="1"/>
  <c r="D52" i="14"/>
  <c r="D51" i="14"/>
  <c r="E51" i="14" s="1"/>
  <c r="F51" i="14" s="1"/>
  <c r="G51" i="14" s="1"/>
  <c r="D50" i="14"/>
  <c r="E50" i="14" s="1"/>
  <c r="F50" i="14" s="1"/>
  <c r="G50" i="14" s="1"/>
  <c r="D49" i="14"/>
  <c r="E49" i="14" s="1"/>
  <c r="F49" i="14" s="1"/>
  <c r="G49" i="14" s="1"/>
  <c r="D47" i="14"/>
  <c r="E47" i="14" s="1"/>
  <c r="F47" i="14" s="1"/>
  <c r="G47" i="14" s="1"/>
  <c r="D46" i="14"/>
  <c r="E46" i="14" s="1"/>
  <c r="F46" i="14" s="1"/>
  <c r="G46" i="14" s="1"/>
  <c r="D45" i="14"/>
  <c r="E45" i="14" s="1"/>
  <c r="F45" i="14" s="1"/>
  <c r="G45" i="14" s="1"/>
  <c r="D44" i="14"/>
  <c r="E44" i="14" s="1"/>
  <c r="F44" i="14" s="1"/>
  <c r="G44" i="14" s="1"/>
  <c r="D43" i="14"/>
  <c r="E43" i="14" s="1"/>
  <c r="F43" i="14" s="1"/>
  <c r="G43" i="14" s="1"/>
  <c r="D42" i="14"/>
  <c r="E42" i="14" s="1"/>
  <c r="F42" i="14" s="1"/>
  <c r="G42" i="14" s="1"/>
  <c r="D41" i="14"/>
  <c r="E41" i="14" s="1"/>
  <c r="F41" i="14" s="1"/>
  <c r="G41" i="14" s="1"/>
  <c r="D40" i="14"/>
  <c r="E40" i="14" s="1"/>
  <c r="F40" i="14" s="1"/>
  <c r="G40" i="14" s="1"/>
  <c r="D39" i="14"/>
  <c r="E39" i="14" s="1"/>
  <c r="F39" i="14" s="1"/>
  <c r="G39" i="14" s="1"/>
  <c r="D38" i="14"/>
  <c r="E38" i="14" s="1"/>
  <c r="F38" i="14" s="1"/>
  <c r="G38" i="14" s="1"/>
  <c r="D37" i="14"/>
  <c r="E37" i="14" s="1"/>
  <c r="F37" i="14" s="1"/>
  <c r="G37" i="14" s="1"/>
  <c r="D36" i="14"/>
  <c r="E36" i="14" s="1"/>
  <c r="F36" i="14" s="1"/>
  <c r="G36" i="14" s="1"/>
  <c r="D35" i="14"/>
  <c r="E35" i="14" s="1"/>
  <c r="F35" i="14" s="1"/>
  <c r="G35" i="14" s="1"/>
  <c r="D34" i="14"/>
  <c r="E34" i="14" s="1"/>
  <c r="F34" i="14" s="1"/>
  <c r="G34" i="14" s="1"/>
  <c r="D33" i="14"/>
  <c r="E33" i="14" s="1"/>
  <c r="F33" i="14" s="1"/>
  <c r="G33" i="14" s="1"/>
  <c r="D32" i="14"/>
  <c r="E32" i="14" s="1"/>
  <c r="F32" i="14" s="1"/>
  <c r="G32" i="14" s="1"/>
  <c r="D30" i="14"/>
  <c r="E30" i="14" s="1"/>
  <c r="F30" i="14" s="1"/>
  <c r="G30" i="14" s="1"/>
  <c r="C29" i="14"/>
  <c r="C28" i="14"/>
  <c r="D28" i="14" s="1"/>
  <c r="E28" i="14" s="1"/>
  <c r="F28" i="14" s="1"/>
  <c r="G28" i="14" s="1"/>
  <c r="D26" i="14"/>
  <c r="D29" i="14" s="1"/>
  <c r="C25" i="14"/>
  <c r="D25" i="14" s="1"/>
  <c r="E25" i="14" s="1"/>
  <c r="F25" i="14" s="1"/>
  <c r="G25" i="14" s="1"/>
  <c r="D22" i="14"/>
  <c r="E22" i="14" s="1"/>
  <c r="F22" i="14" s="1"/>
  <c r="G22" i="14" s="1"/>
  <c r="C22" i="14"/>
  <c r="C21" i="14"/>
  <c r="C20" i="14"/>
  <c r="D20" i="14" s="1"/>
  <c r="E20" i="14" s="1"/>
  <c r="F20" i="14" s="1"/>
  <c r="G20" i="14" s="1"/>
  <c r="C19" i="14"/>
  <c r="D19" i="14" s="1"/>
  <c r="D18" i="14"/>
  <c r="E18" i="14" s="1"/>
  <c r="C14" i="14"/>
  <c r="C16" i="14" s="1"/>
  <c r="D13" i="14"/>
  <c r="E13" i="14" s="1"/>
  <c r="F13" i="14" s="1"/>
  <c r="G13" i="14" s="1"/>
  <c r="D12" i="14"/>
  <c r="E12" i="14" s="1"/>
  <c r="F12" i="14" s="1"/>
  <c r="G12" i="14" s="1"/>
  <c r="D8" i="14"/>
  <c r="D14" i="14" s="1"/>
  <c r="D61" i="13"/>
  <c r="E61" i="13" s="1"/>
  <c r="F61" i="13" s="1"/>
  <c r="G61" i="13" s="1"/>
  <c r="D60" i="13"/>
  <c r="E60" i="13" s="1"/>
  <c r="F60" i="13" s="1"/>
  <c r="G60" i="13" s="1"/>
  <c r="D59" i="13"/>
  <c r="E59" i="13" s="1"/>
  <c r="F59" i="13" s="1"/>
  <c r="G59" i="13" s="1"/>
  <c r="D58" i="13"/>
  <c r="E58" i="13" s="1"/>
  <c r="F58" i="13" s="1"/>
  <c r="G58" i="13" s="1"/>
  <c r="D57" i="13"/>
  <c r="E57" i="13" s="1"/>
  <c r="F57" i="13" s="1"/>
  <c r="G57" i="13" s="1"/>
  <c r="D56" i="13"/>
  <c r="E56" i="13" s="1"/>
  <c r="F56" i="13" s="1"/>
  <c r="G56" i="13" s="1"/>
  <c r="D55" i="13"/>
  <c r="E55" i="13" s="1"/>
  <c r="F55" i="13" s="1"/>
  <c r="G55" i="13" s="1"/>
  <c r="D54" i="13"/>
  <c r="E54" i="13" s="1"/>
  <c r="F54" i="13" s="1"/>
  <c r="G54" i="13" s="1"/>
  <c r="D53" i="13"/>
  <c r="E53" i="13" s="1"/>
  <c r="F53" i="13" s="1"/>
  <c r="G53" i="13" s="1"/>
  <c r="D52" i="13"/>
  <c r="E52" i="13" s="1"/>
  <c r="F52" i="13" s="1"/>
  <c r="G52" i="13" s="1"/>
  <c r="D51" i="13"/>
  <c r="E51" i="13" s="1"/>
  <c r="F51" i="13" s="1"/>
  <c r="G51" i="13" s="1"/>
  <c r="D50" i="13"/>
  <c r="E50" i="13" s="1"/>
  <c r="F50" i="13" s="1"/>
  <c r="G50" i="13" s="1"/>
  <c r="D49" i="13"/>
  <c r="E49" i="13" s="1"/>
  <c r="F49" i="13" s="1"/>
  <c r="G49" i="13" s="1"/>
  <c r="D48" i="13"/>
  <c r="E48" i="13" s="1"/>
  <c r="F48" i="13" s="1"/>
  <c r="G48" i="13" s="1"/>
  <c r="D47" i="13"/>
  <c r="E47" i="13" s="1"/>
  <c r="F47" i="13" s="1"/>
  <c r="G47" i="13" s="1"/>
  <c r="D46" i="13"/>
  <c r="E46" i="13" s="1"/>
  <c r="F46" i="13" s="1"/>
  <c r="G46" i="13" s="1"/>
  <c r="D45" i="13"/>
  <c r="E45" i="13" s="1"/>
  <c r="F45" i="13" s="1"/>
  <c r="G45" i="13" s="1"/>
  <c r="D44" i="13"/>
  <c r="E44" i="13" s="1"/>
  <c r="F44" i="13" s="1"/>
  <c r="G44" i="13" s="1"/>
  <c r="D43" i="13"/>
  <c r="E43" i="13" s="1"/>
  <c r="F43" i="13" s="1"/>
  <c r="G43" i="13" s="1"/>
  <c r="D41" i="13"/>
  <c r="E41" i="13" s="1"/>
  <c r="F41" i="13" s="1"/>
  <c r="G41" i="13" s="1"/>
  <c r="D40" i="13"/>
  <c r="E40" i="13" s="1"/>
  <c r="F40" i="13" s="1"/>
  <c r="G40" i="13" s="1"/>
  <c r="D38" i="13"/>
  <c r="E38" i="13" s="1"/>
  <c r="F38" i="13" s="1"/>
  <c r="G38" i="13" s="1"/>
  <c r="D37" i="13"/>
  <c r="E37" i="13" s="1"/>
  <c r="F37" i="13" s="1"/>
  <c r="G37" i="13" s="1"/>
  <c r="D36" i="13"/>
  <c r="E36" i="13" s="1"/>
  <c r="F36" i="13" s="1"/>
  <c r="G36" i="13" s="1"/>
  <c r="C34" i="13"/>
  <c r="C33" i="13"/>
  <c r="C32" i="13"/>
  <c r="C31" i="13"/>
  <c r="D30" i="13"/>
  <c r="D31" i="13" s="1"/>
  <c r="C29" i="13"/>
  <c r="C28" i="13"/>
  <c r="C27" i="13"/>
  <c r="C26" i="13"/>
  <c r="D25" i="13"/>
  <c r="D26" i="13" s="1"/>
  <c r="C24" i="13"/>
  <c r="C23" i="13"/>
  <c r="C22" i="13"/>
  <c r="D21" i="13"/>
  <c r="E21" i="13" s="1"/>
  <c r="F21" i="13" s="1"/>
  <c r="G21" i="13" s="1"/>
  <c r="C21" i="13"/>
  <c r="C20" i="13"/>
  <c r="C19" i="13"/>
  <c r="D19" i="13" s="1"/>
  <c r="E19" i="13" s="1"/>
  <c r="F19" i="13" s="1"/>
  <c r="G19" i="13" s="1"/>
  <c r="D17" i="13"/>
  <c r="E17" i="13" s="1"/>
  <c r="E24" i="13" s="1"/>
  <c r="D8" i="13"/>
  <c r="E8" i="13" s="1"/>
  <c r="F8" i="13" s="1"/>
  <c r="G8" i="13" s="1"/>
  <c r="G7" i="13"/>
  <c r="F7" i="13"/>
  <c r="E7" i="13"/>
  <c r="D7" i="13"/>
  <c r="C7" i="13"/>
  <c r="C10" i="13" s="1"/>
  <c r="C15" i="13" s="1"/>
  <c r="F45" i="12"/>
  <c r="G45" i="12" s="1"/>
  <c r="H45" i="12" s="1"/>
  <c r="I45" i="12" s="1"/>
  <c r="F44" i="12"/>
  <c r="G44" i="12" s="1"/>
  <c r="H44" i="12" s="1"/>
  <c r="I44" i="12" s="1"/>
  <c r="F43" i="12"/>
  <c r="G43" i="12" s="1"/>
  <c r="H43" i="12" s="1"/>
  <c r="I43" i="12" s="1"/>
  <c r="F42" i="12"/>
  <c r="G42" i="12" s="1"/>
  <c r="H42" i="12" s="1"/>
  <c r="I42" i="12" s="1"/>
  <c r="F41" i="12"/>
  <c r="G41" i="12" s="1"/>
  <c r="H41" i="12" s="1"/>
  <c r="I41" i="12" s="1"/>
  <c r="F38" i="12"/>
  <c r="G38" i="12" s="1"/>
  <c r="H38" i="12" s="1"/>
  <c r="I38" i="12" s="1"/>
  <c r="F37" i="12"/>
  <c r="G37" i="12" s="1"/>
  <c r="H37" i="12" s="1"/>
  <c r="I37" i="12" s="1"/>
  <c r="F30" i="12"/>
  <c r="G30" i="12" s="1"/>
  <c r="H30" i="12" s="1"/>
  <c r="I30" i="12" s="1"/>
  <c r="F27" i="12"/>
  <c r="G27" i="12" s="1"/>
  <c r="H27" i="12" s="1"/>
  <c r="I27" i="12" s="1"/>
  <c r="G25" i="12"/>
  <c r="H25" i="12" s="1"/>
  <c r="I25" i="12" s="1"/>
  <c r="I26" i="12" s="1"/>
  <c r="D25" i="12"/>
  <c r="I24" i="12"/>
  <c r="H24" i="12"/>
  <c r="G24" i="12"/>
  <c r="F24" i="12"/>
  <c r="D18" i="12"/>
  <c r="D176" i="24" l="1"/>
  <c r="E59" i="12" s="1"/>
  <c r="F174" i="25"/>
  <c r="E48" i="12"/>
  <c r="D59" i="12" s="1"/>
  <c r="G10" i="13"/>
  <c r="E30" i="13"/>
  <c r="E31" i="13" s="1"/>
  <c r="D10" i="13"/>
  <c r="I138" i="1"/>
  <c r="D24" i="13"/>
  <c r="D20" i="13"/>
  <c r="D23" i="13"/>
  <c r="D28" i="13"/>
  <c r="N5" i="24"/>
  <c r="N42" i="24" s="1"/>
  <c r="D136" i="8"/>
  <c r="E136" i="8" s="1"/>
  <c r="H178" i="24"/>
  <c r="E138" i="1"/>
  <c r="C62" i="24"/>
  <c r="C61" i="24"/>
  <c r="E10" i="13"/>
  <c r="F10" i="13"/>
  <c r="E26" i="14"/>
  <c r="E29" i="14" s="1"/>
  <c r="D22" i="13"/>
  <c r="E8" i="14"/>
  <c r="E49" i="6"/>
  <c r="E25" i="13"/>
  <c r="E26" i="13" s="1"/>
  <c r="D33" i="13"/>
  <c r="E123" i="8"/>
  <c r="E130" i="8" s="1"/>
  <c r="K13" i="6"/>
  <c r="K14" i="6" s="1"/>
  <c r="E31" i="6"/>
  <c r="C92" i="6" s="1"/>
  <c r="E125" i="8"/>
  <c r="E127" i="8" s="1"/>
  <c r="E127" i="4"/>
  <c r="E128" i="4" s="1"/>
  <c r="E124" i="4"/>
  <c r="E131" i="4" s="1"/>
  <c r="E126" i="1"/>
  <c r="E127" i="1"/>
  <c r="E124" i="1"/>
  <c r="G26" i="12"/>
  <c r="G48" i="12" s="1"/>
  <c r="F25" i="12"/>
  <c r="F26" i="12" s="1"/>
  <c r="C24" i="14"/>
  <c r="D24" i="14" s="1"/>
  <c r="E24" i="14" s="1"/>
  <c r="F24" i="14" s="1"/>
  <c r="G24" i="14" s="1"/>
  <c r="F18" i="14"/>
  <c r="E21" i="14"/>
  <c r="E19" i="14"/>
  <c r="F19" i="14" s="1"/>
  <c r="G19" i="14" s="1"/>
  <c r="D21" i="14"/>
  <c r="D23" i="14"/>
  <c r="E23" i="14" s="1"/>
  <c r="F23" i="14" s="1"/>
  <c r="G23" i="14" s="1"/>
  <c r="F17" i="13"/>
  <c r="E23" i="13"/>
  <c r="E28" i="13"/>
  <c r="C62" i="13"/>
  <c r="C64" i="13" s="1"/>
  <c r="C66" i="13" s="1"/>
  <c r="D14" i="13" s="1"/>
  <c r="D15" i="13" s="1"/>
  <c r="E20" i="13"/>
  <c r="D27" i="13"/>
  <c r="D32" i="13"/>
  <c r="E22" i="13"/>
  <c r="E32" i="13"/>
  <c r="D29" i="13"/>
  <c r="D34" i="13"/>
  <c r="I48" i="12"/>
  <c r="D48" i="12"/>
  <c r="H26" i="12"/>
  <c r="H48" i="12" s="1"/>
  <c r="F179" i="25" l="1"/>
  <c r="F176" i="25"/>
  <c r="J59" i="12"/>
  <c r="F30" i="13"/>
  <c r="E34" i="13"/>
  <c r="E33" i="13"/>
  <c r="F26" i="14"/>
  <c r="D92" i="6"/>
  <c r="I92" i="6" s="1"/>
  <c r="N123" i="24"/>
  <c r="E82" i="6"/>
  <c r="C176" i="24"/>
  <c r="C178" i="24" s="1"/>
  <c r="C71" i="14"/>
  <c r="C73" i="14" s="1"/>
  <c r="E9" i="12"/>
  <c r="P17" i="12" s="1"/>
  <c r="D41" i="24" s="1"/>
  <c r="F8" i="14"/>
  <c r="E14" i="14"/>
  <c r="E29" i="13"/>
  <c r="F25" i="13"/>
  <c r="F29" i="13" s="1"/>
  <c r="D62" i="13"/>
  <c r="D64" i="13" s="1"/>
  <c r="D66" i="13" s="1"/>
  <c r="E14" i="13" s="1"/>
  <c r="E15" i="13" s="1"/>
  <c r="E27" i="13"/>
  <c r="E128" i="8"/>
  <c r="E129" i="4"/>
  <c r="E128" i="1"/>
  <c r="E129" i="1" s="1"/>
  <c r="F48" i="12"/>
  <c r="E131" i="1"/>
  <c r="D71" i="14"/>
  <c r="D76" i="14" s="1"/>
  <c r="F29" i="14"/>
  <c r="G26" i="14"/>
  <c r="G29" i="14" s="1"/>
  <c r="E71" i="14"/>
  <c r="G18" i="14"/>
  <c r="F21" i="14"/>
  <c r="F24" i="13"/>
  <c r="F22" i="13"/>
  <c r="F20" i="13"/>
  <c r="F23" i="13"/>
  <c r="G17" i="13"/>
  <c r="F34" i="13"/>
  <c r="F32" i="13"/>
  <c r="G30" i="13"/>
  <c r="F31" i="13"/>
  <c r="F33" i="13"/>
  <c r="G25" i="13"/>
  <c r="F28" i="13"/>
  <c r="D50" i="12"/>
  <c r="E92" i="6" l="1"/>
  <c r="C75" i="14"/>
  <c r="C76" i="14"/>
  <c r="E62" i="13"/>
  <c r="E64" i="13" s="1"/>
  <c r="E66" i="13" s="1"/>
  <c r="F14" i="13" s="1"/>
  <c r="F15" i="13" s="1"/>
  <c r="F26" i="13"/>
  <c r="E84" i="6"/>
  <c r="E86" i="6" s="1"/>
  <c r="C93" i="6"/>
  <c r="E18" i="12"/>
  <c r="D42" i="24"/>
  <c r="F71" i="14"/>
  <c r="F75" i="14" s="1"/>
  <c r="G8" i="14"/>
  <c r="G14" i="14" s="1"/>
  <c r="F14" i="14"/>
  <c r="F27" i="13"/>
  <c r="F62" i="13"/>
  <c r="D75" i="14"/>
  <c r="D52" i="12"/>
  <c r="F17" i="12" s="1"/>
  <c r="F18" i="12" s="1"/>
  <c r="F50" i="12" s="1"/>
  <c r="F52" i="12" s="1"/>
  <c r="G17" i="12" s="1"/>
  <c r="G18" i="12" s="1"/>
  <c r="G50" i="12" s="1"/>
  <c r="G52" i="12" s="1"/>
  <c r="H17" i="12" s="1"/>
  <c r="H18" i="12" s="1"/>
  <c r="H50" i="12" s="1"/>
  <c r="H52" i="12" s="1"/>
  <c r="I17" i="12" s="1"/>
  <c r="I18" i="12" s="1"/>
  <c r="I50" i="12" s="1"/>
  <c r="I52" i="12" s="1"/>
  <c r="E75" i="14"/>
  <c r="E76" i="14"/>
  <c r="G21" i="14"/>
  <c r="G71" i="14" s="1"/>
  <c r="G27" i="13"/>
  <c r="G28" i="13"/>
  <c r="G29" i="13"/>
  <c r="G26" i="13"/>
  <c r="G22" i="13"/>
  <c r="G20" i="13"/>
  <c r="G23" i="13"/>
  <c r="G24" i="13"/>
  <c r="G32" i="13"/>
  <c r="G34" i="13"/>
  <c r="G33" i="13"/>
  <c r="G31" i="13"/>
  <c r="C77" i="14" l="1"/>
  <c r="D15" i="14" s="1"/>
  <c r="D16" i="14" s="1"/>
  <c r="D73" i="14" s="1"/>
  <c r="D77" i="14"/>
  <c r="E15" i="14" s="1"/>
  <c r="E16" i="14" s="1"/>
  <c r="E73" i="14" s="1"/>
  <c r="E77" i="14" s="1"/>
  <c r="F15" i="14" s="1"/>
  <c r="F16" i="14" s="1"/>
  <c r="F73" i="14" s="1"/>
  <c r="F77" i="14" s="1"/>
  <c r="G15" i="14" s="1"/>
  <c r="G16" i="14" s="1"/>
  <c r="G73" i="14" s="1"/>
  <c r="F76" i="14"/>
  <c r="F64" i="13"/>
  <c r="F66" i="13" s="1"/>
  <c r="G14" i="13" s="1"/>
  <c r="G15" i="13" s="1"/>
  <c r="E58" i="12"/>
  <c r="D178" i="24"/>
  <c r="E50" i="12"/>
  <c r="E52" i="12" s="1"/>
  <c r="D58" i="12"/>
  <c r="J58" i="12" s="1"/>
  <c r="G62" i="13"/>
  <c r="G75" i="14"/>
  <c r="G76" i="14"/>
  <c r="G64" i="13" l="1"/>
  <c r="G66" i="13" s="1"/>
  <c r="G77" i="14"/>
  <c r="F85" i="10"/>
  <c r="G85" i="10" s="1"/>
  <c r="H85" i="10" s="1"/>
  <c r="I85" i="10" s="1"/>
  <c r="F84" i="10"/>
  <c r="G84" i="10" s="1"/>
  <c r="H84" i="10" s="1"/>
  <c r="I84" i="10" s="1"/>
  <c r="F82" i="10"/>
  <c r="G82" i="10" s="1"/>
  <c r="H82" i="10" s="1"/>
  <c r="I82" i="10" s="1"/>
  <c r="F81" i="10"/>
  <c r="G81" i="10" s="1"/>
  <c r="H81" i="10" s="1"/>
  <c r="I81" i="10" s="1"/>
  <c r="F77" i="10"/>
  <c r="G77" i="10" s="1"/>
  <c r="H77" i="10" s="1"/>
  <c r="I77" i="10" s="1"/>
  <c r="F76" i="10"/>
  <c r="G76" i="10" s="1"/>
  <c r="H76" i="10" s="1"/>
  <c r="I76" i="10" s="1"/>
  <c r="F74" i="10"/>
  <c r="G74" i="10" s="1"/>
  <c r="H74" i="10" s="1"/>
  <c r="I74" i="10" s="1"/>
  <c r="F72" i="10"/>
  <c r="G72" i="10" s="1"/>
  <c r="H72" i="10" s="1"/>
  <c r="I72" i="10" s="1"/>
  <c r="F71" i="10"/>
  <c r="G71" i="10" s="1"/>
  <c r="H71" i="10" s="1"/>
  <c r="I71" i="10" s="1"/>
  <c r="F70" i="10"/>
  <c r="G70" i="10" s="1"/>
  <c r="H70" i="10" s="1"/>
  <c r="I70" i="10" s="1"/>
  <c r="F69" i="10"/>
  <c r="G69" i="10" s="1"/>
  <c r="H69" i="10" s="1"/>
  <c r="I69" i="10" s="1"/>
  <c r="F68" i="10"/>
  <c r="G68" i="10" s="1"/>
  <c r="H68" i="10" s="1"/>
  <c r="I68" i="10" s="1"/>
  <c r="F66" i="10"/>
  <c r="G66" i="10" s="1"/>
  <c r="H66" i="10" s="1"/>
  <c r="I66" i="10" s="1"/>
  <c r="G65" i="10"/>
  <c r="H65" i="10" s="1"/>
  <c r="I65" i="10" s="1"/>
  <c r="F64" i="10"/>
  <c r="G64" i="10" s="1"/>
  <c r="H64" i="10" s="1"/>
  <c r="I64" i="10" s="1"/>
  <c r="F63" i="10"/>
  <c r="G63" i="10" s="1"/>
  <c r="H63" i="10" s="1"/>
  <c r="I63" i="10" s="1"/>
  <c r="F62" i="10"/>
  <c r="G62" i="10" s="1"/>
  <c r="H62" i="10" s="1"/>
  <c r="I62" i="10" s="1"/>
  <c r="F61" i="10"/>
  <c r="G61" i="10" s="1"/>
  <c r="H61" i="10" s="1"/>
  <c r="I61" i="10" s="1"/>
  <c r="F60" i="10"/>
  <c r="G60" i="10" s="1"/>
  <c r="H60" i="10" s="1"/>
  <c r="I60" i="10" s="1"/>
  <c r="F59" i="10"/>
  <c r="G59" i="10" s="1"/>
  <c r="H59" i="10" s="1"/>
  <c r="I59" i="10" s="1"/>
  <c r="F58" i="10"/>
  <c r="G58" i="10" s="1"/>
  <c r="H58" i="10" s="1"/>
  <c r="I58" i="10" s="1"/>
  <c r="G57" i="10"/>
  <c r="H57" i="10" s="1"/>
  <c r="I57" i="10" s="1"/>
  <c r="G56" i="10"/>
  <c r="H56" i="10" s="1"/>
  <c r="I56" i="10" s="1"/>
  <c r="F55" i="10"/>
  <c r="G55" i="10" s="1"/>
  <c r="H55" i="10" s="1"/>
  <c r="I55" i="10" s="1"/>
  <c r="G54" i="10"/>
  <c r="H54" i="10" s="1"/>
  <c r="I54" i="10" s="1"/>
  <c r="F52" i="10"/>
  <c r="G52" i="10" s="1"/>
  <c r="H52" i="10" s="1"/>
  <c r="I52" i="10" s="1"/>
  <c r="F51" i="10"/>
  <c r="G51" i="10" s="1"/>
  <c r="H51" i="10" s="1"/>
  <c r="I51" i="10" s="1"/>
  <c r="F50" i="10"/>
  <c r="G50" i="10" s="1"/>
  <c r="H50" i="10" s="1"/>
  <c r="I50" i="10" s="1"/>
  <c r="O176" i="24"/>
  <c r="O178" i="24" s="1"/>
  <c r="F8" i="10"/>
  <c r="G8" i="10" s="1"/>
  <c r="I7" i="10"/>
  <c r="H7" i="10"/>
  <c r="G7" i="10"/>
  <c r="F7" i="10"/>
  <c r="F12" i="10" l="1"/>
  <c r="D88" i="10"/>
  <c r="D90" i="10" s="1"/>
  <c r="F11" i="10" s="1"/>
  <c r="G12" i="10"/>
  <c r="H8" i="10"/>
  <c r="I8" i="10" s="1"/>
  <c r="I12" i="10" s="1"/>
  <c r="F33" i="10" l="1"/>
  <c r="F86" i="10"/>
  <c r="H12" i="10"/>
  <c r="F88" i="10" l="1"/>
  <c r="F90" i="10" s="1"/>
  <c r="G11" i="10" s="1"/>
  <c r="G33" i="10" s="1"/>
  <c r="G86" i="10"/>
  <c r="G88" i="10" l="1"/>
  <c r="G90" i="10" s="1"/>
  <c r="H11" i="10" s="1"/>
  <c r="H33" i="10" s="1"/>
  <c r="H86" i="10"/>
  <c r="H88" i="10" l="1"/>
  <c r="H90" i="10" s="1"/>
  <c r="I11" i="10" s="1"/>
  <c r="I33" i="10" s="1"/>
  <c r="I86" i="10"/>
  <c r="I88" i="10" l="1"/>
  <c r="I90" i="10" s="1"/>
  <c r="F76" i="6" l="1"/>
  <c r="G76" i="6" s="1"/>
  <c r="H76" i="6" s="1"/>
  <c r="I76" i="6" s="1"/>
  <c r="F77" i="6"/>
  <c r="G77" i="6" s="1"/>
  <c r="H77" i="6" s="1"/>
  <c r="I77" i="6" s="1"/>
  <c r="F78" i="6"/>
  <c r="G78" i="6" s="1"/>
  <c r="H78" i="6" s="1"/>
  <c r="I78" i="6" s="1"/>
  <c r="F79" i="6"/>
  <c r="G79" i="6" s="1"/>
  <c r="H79" i="6" s="1"/>
  <c r="I79" i="6" s="1"/>
  <c r="F80" i="6"/>
  <c r="G80" i="6" s="1"/>
  <c r="H80" i="6" s="1"/>
  <c r="I80" i="6" s="1"/>
  <c r="F66" i="6"/>
  <c r="G66" i="6" s="1"/>
  <c r="H66" i="6" s="1"/>
  <c r="I66" i="6" s="1"/>
  <c r="F67" i="6"/>
  <c r="G67" i="6" s="1"/>
  <c r="H67" i="6" s="1"/>
  <c r="I67" i="6" s="1"/>
  <c r="F68" i="6"/>
  <c r="G68" i="6" s="1"/>
  <c r="H68" i="6" s="1"/>
  <c r="I68" i="6" s="1"/>
  <c r="F52" i="6"/>
  <c r="G52" i="6" s="1"/>
  <c r="H52" i="6" s="1"/>
  <c r="I52" i="6" s="1"/>
  <c r="F53" i="6"/>
  <c r="G53" i="6" s="1"/>
  <c r="H53" i="6" s="1"/>
  <c r="I53" i="6" s="1"/>
  <c r="F54" i="6"/>
  <c r="G54" i="6" s="1"/>
  <c r="H54" i="6" s="1"/>
  <c r="I54" i="6" s="1"/>
  <c r="F50" i="6"/>
  <c r="G50" i="6" s="1"/>
  <c r="H50" i="6" s="1"/>
  <c r="I50" i="6" s="1"/>
  <c r="F44" i="6"/>
  <c r="G44" i="6" s="1"/>
  <c r="H44" i="6" s="1"/>
  <c r="I44" i="6" s="1"/>
  <c r="F81" i="6" l="1"/>
  <c r="G81" i="6" s="1"/>
  <c r="H81" i="6" s="1"/>
  <c r="I81" i="6" s="1"/>
  <c r="F75" i="6"/>
  <c r="G75" i="6" s="1"/>
  <c r="H75" i="6" s="1"/>
  <c r="I75" i="6" s="1"/>
  <c r="F74" i="6"/>
  <c r="G74" i="6" s="1"/>
  <c r="H74" i="6" s="1"/>
  <c r="I74" i="6" s="1"/>
  <c r="F73" i="6"/>
  <c r="G73" i="6" s="1"/>
  <c r="H73" i="6" s="1"/>
  <c r="I73" i="6" s="1"/>
  <c r="F72" i="6"/>
  <c r="G72" i="6" s="1"/>
  <c r="H72" i="6" s="1"/>
  <c r="I72" i="6" s="1"/>
  <c r="F71" i="6"/>
  <c r="G71" i="6" s="1"/>
  <c r="H71" i="6" s="1"/>
  <c r="I71" i="6" s="1"/>
  <c r="F70" i="6"/>
  <c r="G70" i="6" s="1"/>
  <c r="H70" i="6" s="1"/>
  <c r="I70" i="6" s="1"/>
  <c r="F65" i="6"/>
  <c r="G65" i="6" s="1"/>
  <c r="H65" i="6" s="1"/>
  <c r="I65" i="6" s="1"/>
  <c r="F64" i="6"/>
  <c r="G64" i="6" s="1"/>
  <c r="H64" i="6" s="1"/>
  <c r="I64" i="6" s="1"/>
  <c r="F63" i="6"/>
  <c r="G63" i="6" s="1"/>
  <c r="H63" i="6" s="1"/>
  <c r="I63" i="6" s="1"/>
  <c r="F62" i="6"/>
  <c r="G62" i="6" s="1"/>
  <c r="H62" i="6" s="1"/>
  <c r="I62" i="6" s="1"/>
  <c r="F61" i="6"/>
  <c r="G61" i="6" s="1"/>
  <c r="H61" i="6" s="1"/>
  <c r="I61" i="6" s="1"/>
  <c r="F60" i="6"/>
  <c r="G60" i="6" s="1"/>
  <c r="H60" i="6" s="1"/>
  <c r="I60" i="6" s="1"/>
  <c r="F59" i="6"/>
  <c r="G59" i="6" s="1"/>
  <c r="H59" i="6" s="1"/>
  <c r="I59" i="6" s="1"/>
  <c r="F58" i="6"/>
  <c r="G58" i="6" s="1"/>
  <c r="H58" i="6" s="1"/>
  <c r="I58" i="6" s="1"/>
  <c r="F57" i="6"/>
  <c r="G57" i="6" s="1"/>
  <c r="H57" i="6" s="1"/>
  <c r="I57" i="6" s="1"/>
  <c r="F56" i="6"/>
  <c r="G56" i="6" s="1"/>
  <c r="H56" i="6" s="1"/>
  <c r="I56" i="6" s="1"/>
  <c r="F55" i="6"/>
  <c r="G55" i="6" s="1"/>
  <c r="H55" i="6" s="1"/>
  <c r="I55" i="6" s="1"/>
  <c r="F51" i="6"/>
  <c r="G51" i="6" s="1"/>
  <c r="H51" i="6" s="1"/>
  <c r="I51" i="6" s="1"/>
  <c r="F48" i="6"/>
  <c r="G48" i="6" s="1"/>
  <c r="H48" i="6" s="1"/>
  <c r="I48" i="6" s="1"/>
  <c r="F47" i="6"/>
  <c r="G47" i="6" s="1"/>
  <c r="H47" i="6" s="1"/>
  <c r="I47" i="6" s="1"/>
  <c r="F46" i="6"/>
  <c r="G46" i="6" s="1"/>
  <c r="H46" i="6" s="1"/>
  <c r="I46" i="6" s="1"/>
  <c r="F21" i="6"/>
  <c r="G21" i="6" s="1"/>
  <c r="H21" i="6" s="1"/>
  <c r="I21" i="6" s="1"/>
  <c r="F20" i="6"/>
  <c r="G20" i="6" s="1"/>
  <c r="H20" i="6" s="1"/>
  <c r="I20" i="6" s="1"/>
  <c r="F19" i="6"/>
  <c r="G19" i="6" s="1"/>
  <c r="H19" i="6" s="1"/>
  <c r="I19" i="6" s="1"/>
  <c r="F18" i="6"/>
  <c r="G18" i="6" s="1"/>
  <c r="H18" i="6" s="1"/>
  <c r="I18" i="6" s="1"/>
  <c r="F17" i="6"/>
  <c r="G17" i="6" s="1"/>
  <c r="H17" i="6" s="1"/>
  <c r="I17" i="6" s="1"/>
  <c r="F16" i="6"/>
  <c r="G16" i="6" s="1"/>
  <c r="H16" i="6" s="1"/>
  <c r="I16" i="6" s="1"/>
  <c r="F70" i="5"/>
  <c r="G70" i="5" s="1"/>
  <c r="H70" i="5" s="1"/>
  <c r="I70" i="5" s="1"/>
  <c r="F71" i="5"/>
  <c r="G71" i="5" s="1"/>
  <c r="H71" i="5" s="1"/>
  <c r="I71" i="5" s="1"/>
  <c r="F72" i="5"/>
  <c r="G72" i="5" s="1"/>
  <c r="H72" i="5" s="1"/>
  <c r="I72" i="5" s="1"/>
  <c r="F73" i="5"/>
  <c r="G73" i="5" s="1"/>
  <c r="H73" i="5" s="1"/>
  <c r="I73" i="5" s="1"/>
  <c r="F74" i="5"/>
  <c r="G74" i="5" s="1"/>
  <c r="H74" i="5" s="1"/>
  <c r="I74" i="5" s="1"/>
  <c r="F75" i="5"/>
  <c r="G75" i="5" s="1"/>
  <c r="H75" i="5" s="1"/>
  <c r="I75" i="5" s="1"/>
  <c r="F79" i="5"/>
  <c r="G79" i="5" s="1"/>
  <c r="H79" i="5" s="1"/>
  <c r="I79" i="5" s="1"/>
  <c r="F81" i="5"/>
  <c r="G81" i="5" s="1"/>
  <c r="H81" i="5" s="1"/>
  <c r="I81" i="5" s="1"/>
  <c r="F69" i="5"/>
  <c r="G69" i="5" s="1"/>
  <c r="H69" i="5" s="1"/>
  <c r="I69" i="5" s="1"/>
  <c r="F56" i="5"/>
  <c r="G56" i="5" s="1"/>
  <c r="H56" i="5" s="1"/>
  <c r="I56" i="5" s="1"/>
  <c r="F57" i="5"/>
  <c r="G57" i="5" s="1"/>
  <c r="H57" i="5" s="1"/>
  <c r="I57" i="5" s="1"/>
  <c r="F58" i="5"/>
  <c r="G58" i="5" s="1"/>
  <c r="H58" i="5" s="1"/>
  <c r="I58" i="5" s="1"/>
  <c r="F59" i="5"/>
  <c r="G59" i="5" s="1"/>
  <c r="H59" i="5" s="1"/>
  <c r="I59" i="5" s="1"/>
  <c r="F60" i="5"/>
  <c r="G60" i="5" s="1"/>
  <c r="H60" i="5" s="1"/>
  <c r="I60" i="5" s="1"/>
  <c r="F61" i="5"/>
  <c r="G61" i="5" s="1"/>
  <c r="H61" i="5" s="1"/>
  <c r="I61" i="5" s="1"/>
  <c r="F62" i="5"/>
  <c r="G62" i="5" s="1"/>
  <c r="H62" i="5" s="1"/>
  <c r="I62" i="5" s="1"/>
  <c r="F63" i="5"/>
  <c r="G63" i="5" s="1"/>
  <c r="H63" i="5" s="1"/>
  <c r="I63" i="5" s="1"/>
  <c r="F64" i="5"/>
  <c r="G64" i="5" s="1"/>
  <c r="H64" i="5" s="1"/>
  <c r="I64" i="5" s="1"/>
  <c r="F65" i="5"/>
  <c r="G65" i="5" s="1"/>
  <c r="H65" i="5" s="1"/>
  <c r="I65" i="5" s="1"/>
  <c r="F55" i="5"/>
  <c r="G55" i="5" s="1"/>
  <c r="H55" i="5" s="1"/>
  <c r="I55" i="5" s="1"/>
  <c r="F51" i="5"/>
  <c r="G51" i="5" s="1"/>
  <c r="H51" i="5" s="1"/>
  <c r="I51" i="5" s="1"/>
  <c r="F47" i="5"/>
  <c r="G47" i="5" s="1"/>
  <c r="H47" i="5" s="1"/>
  <c r="I47" i="5" s="1"/>
  <c r="F48" i="5"/>
  <c r="G48" i="5" s="1"/>
  <c r="H48" i="5" s="1"/>
  <c r="I48" i="5" s="1"/>
  <c r="F46" i="5"/>
  <c r="G46" i="5" s="1"/>
  <c r="H46" i="5" s="1"/>
  <c r="I46" i="5" s="1"/>
  <c r="F15" i="5"/>
  <c r="G15" i="5" s="1"/>
  <c r="H15" i="5" s="1"/>
  <c r="I15" i="5" s="1"/>
  <c r="F16" i="5"/>
  <c r="G16" i="5" s="1"/>
  <c r="H16" i="5" s="1"/>
  <c r="I16" i="5" s="1"/>
  <c r="F17" i="5"/>
  <c r="F18" i="5"/>
  <c r="F19" i="5"/>
  <c r="F20" i="5"/>
  <c r="F8" i="5"/>
  <c r="G8" i="5" s="1"/>
  <c r="H8" i="5" s="1"/>
  <c r="I8" i="5" s="1"/>
  <c r="F7" i="5"/>
  <c r="G7" i="5"/>
  <c r="H7" i="5"/>
  <c r="I7" i="5"/>
  <c r="F108" i="4"/>
  <c r="G108" i="4" s="1"/>
  <c r="H108" i="4" s="1"/>
  <c r="I108" i="4" s="1"/>
  <c r="F109" i="4"/>
  <c r="G109" i="4" s="1"/>
  <c r="H109" i="4" s="1"/>
  <c r="I109" i="4" s="1"/>
  <c r="F110" i="4"/>
  <c r="G110" i="4" s="1"/>
  <c r="H110" i="4" s="1"/>
  <c r="I110" i="4" s="1"/>
  <c r="F111" i="4"/>
  <c r="G111" i="4" s="1"/>
  <c r="H111" i="4" s="1"/>
  <c r="I111" i="4" s="1"/>
  <c r="F102" i="4"/>
  <c r="G102" i="4" s="1"/>
  <c r="H102" i="4" s="1"/>
  <c r="I102" i="4" s="1"/>
  <c r="F86" i="4"/>
  <c r="G86" i="4" s="1"/>
  <c r="H86" i="4" s="1"/>
  <c r="I86" i="4" s="1"/>
  <c r="F88" i="4"/>
  <c r="G88" i="4" s="1"/>
  <c r="H88" i="4" s="1"/>
  <c r="I88" i="4" s="1"/>
  <c r="F83" i="4"/>
  <c r="G83" i="4" s="1"/>
  <c r="H83" i="4" s="1"/>
  <c r="I83" i="4" s="1"/>
  <c r="F73" i="4"/>
  <c r="G73" i="4" s="1"/>
  <c r="H73" i="4" s="1"/>
  <c r="I73" i="4" s="1"/>
  <c r="F74" i="4"/>
  <c r="G74" i="4" s="1"/>
  <c r="H74" i="4" s="1"/>
  <c r="I74" i="4" s="1"/>
  <c r="F64" i="4"/>
  <c r="G64" i="4" s="1"/>
  <c r="H64" i="4" s="1"/>
  <c r="I64" i="4" s="1"/>
  <c r="F62" i="4"/>
  <c r="G62" i="4" s="1"/>
  <c r="H62" i="4" s="1"/>
  <c r="I62" i="4" s="1"/>
  <c r="F59" i="4"/>
  <c r="G59" i="4" s="1"/>
  <c r="H59" i="4" s="1"/>
  <c r="I59" i="4" s="1"/>
  <c r="F60" i="4"/>
  <c r="G60" i="4" s="1"/>
  <c r="H60" i="4" s="1"/>
  <c r="I60" i="4" s="1"/>
  <c r="F121" i="4"/>
  <c r="G121" i="4" s="1"/>
  <c r="H121" i="4" s="1"/>
  <c r="I121" i="4" s="1"/>
  <c r="F116" i="4"/>
  <c r="G116" i="4" s="1"/>
  <c r="H116" i="4" s="1"/>
  <c r="I116" i="4" s="1"/>
  <c r="F115" i="4"/>
  <c r="G115" i="4" s="1"/>
  <c r="H115" i="4" s="1"/>
  <c r="I115" i="4" s="1"/>
  <c r="F114" i="4"/>
  <c r="G114" i="4" s="1"/>
  <c r="H114" i="4" s="1"/>
  <c r="I114" i="4" s="1"/>
  <c r="F113" i="4"/>
  <c r="G113" i="4" s="1"/>
  <c r="H113" i="4" s="1"/>
  <c r="I113" i="4" s="1"/>
  <c r="F112" i="4"/>
  <c r="G112" i="4" s="1"/>
  <c r="H112" i="4" s="1"/>
  <c r="I112" i="4" s="1"/>
  <c r="F107" i="4"/>
  <c r="G107" i="4" s="1"/>
  <c r="H107" i="4" s="1"/>
  <c r="I107" i="4" s="1"/>
  <c r="F105" i="4"/>
  <c r="G105" i="4" s="1"/>
  <c r="H105" i="4" s="1"/>
  <c r="I105" i="4" s="1"/>
  <c r="F104" i="4"/>
  <c r="G104" i="4" s="1"/>
  <c r="H104" i="4" s="1"/>
  <c r="I104" i="4" s="1"/>
  <c r="F101" i="4"/>
  <c r="G101" i="4" s="1"/>
  <c r="H101" i="4" s="1"/>
  <c r="I101" i="4" s="1"/>
  <c r="F99" i="4"/>
  <c r="G99" i="4" s="1"/>
  <c r="H99" i="4" s="1"/>
  <c r="I99" i="4" s="1"/>
  <c r="F98" i="4"/>
  <c r="G98" i="4" s="1"/>
  <c r="H98" i="4" s="1"/>
  <c r="I98" i="4" s="1"/>
  <c r="F97" i="4"/>
  <c r="G97" i="4" s="1"/>
  <c r="H97" i="4" s="1"/>
  <c r="I97" i="4" s="1"/>
  <c r="F96" i="4"/>
  <c r="G96" i="4" s="1"/>
  <c r="H96" i="4" s="1"/>
  <c r="I96" i="4" s="1"/>
  <c r="F95" i="4"/>
  <c r="G95" i="4" s="1"/>
  <c r="H95" i="4" s="1"/>
  <c r="I95" i="4" s="1"/>
  <c r="F85" i="4"/>
  <c r="G85" i="4" s="1"/>
  <c r="H85" i="4" s="1"/>
  <c r="I85" i="4" s="1"/>
  <c r="F84" i="4"/>
  <c r="G84" i="4" s="1"/>
  <c r="H84" i="4" s="1"/>
  <c r="I84" i="4" s="1"/>
  <c r="F78" i="4"/>
  <c r="G78" i="4" s="1"/>
  <c r="H78" i="4" s="1"/>
  <c r="I78" i="4" s="1"/>
  <c r="F75" i="4"/>
  <c r="G75" i="4" s="1"/>
  <c r="H75" i="4" s="1"/>
  <c r="I75" i="4" s="1"/>
  <c r="F72" i="4"/>
  <c r="G72" i="4" s="1"/>
  <c r="H72" i="4" s="1"/>
  <c r="I72" i="4" s="1"/>
  <c r="F71" i="4"/>
  <c r="G71" i="4" s="1"/>
  <c r="H71" i="4" s="1"/>
  <c r="I71" i="4" s="1"/>
  <c r="F69" i="4"/>
  <c r="G69" i="4" s="1"/>
  <c r="H69" i="4" s="1"/>
  <c r="I69" i="4" s="1"/>
  <c r="F68" i="4"/>
  <c r="G68" i="4" s="1"/>
  <c r="H68" i="4" s="1"/>
  <c r="I68" i="4" s="1"/>
  <c r="F67" i="4"/>
  <c r="G67" i="4" s="1"/>
  <c r="H67" i="4" s="1"/>
  <c r="I67" i="4" s="1"/>
  <c r="F66" i="4"/>
  <c r="G66" i="4" s="1"/>
  <c r="H66" i="4" s="1"/>
  <c r="I66" i="4" s="1"/>
  <c r="F65" i="4"/>
  <c r="G65" i="4" s="1"/>
  <c r="H65" i="4" s="1"/>
  <c r="I65" i="4" s="1"/>
  <c r="F63" i="4"/>
  <c r="G63" i="4" s="1"/>
  <c r="H63" i="4" s="1"/>
  <c r="I63" i="4" s="1"/>
  <c r="F58" i="4"/>
  <c r="G58" i="4" s="1"/>
  <c r="H58" i="4" s="1"/>
  <c r="I58" i="4" s="1"/>
  <c r="F56" i="4"/>
  <c r="G56" i="4" s="1"/>
  <c r="H56" i="4" s="1"/>
  <c r="I56" i="4" s="1"/>
  <c r="F52" i="4"/>
  <c r="G52" i="4" s="1"/>
  <c r="H52" i="4" s="1"/>
  <c r="I52" i="4" s="1"/>
  <c r="F36" i="4"/>
  <c r="G36" i="4" s="1"/>
  <c r="H36" i="4" s="1"/>
  <c r="I36" i="4" s="1"/>
  <c r="F29" i="4"/>
  <c r="G29" i="4" s="1"/>
  <c r="H29" i="4" s="1"/>
  <c r="I29" i="4" s="1"/>
  <c r="F26" i="4"/>
  <c r="G26" i="4" s="1"/>
  <c r="H26" i="4" s="1"/>
  <c r="I26" i="4" s="1"/>
  <c r="F25" i="4"/>
  <c r="G25" i="4" s="1"/>
  <c r="H25" i="4" s="1"/>
  <c r="I25" i="4" s="1"/>
  <c r="F24" i="4"/>
  <c r="G24" i="4" s="1"/>
  <c r="H24" i="4" s="1"/>
  <c r="I24" i="4" s="1"/>
  <c r="F23" i="4"/>
  <c r="G23" i="4" s="1"/>
  <c r="H23" i="4" s="1"/>
  <c r="I23" i="4" s="1"/>
  <c r="F22" i="4"/>
  <c r="G22" i="4" s="1"/>
  <c r="H22" i="4" s="1"/>
  <c r="I22" i="4" s="1"/>
  <c r="F20" i="4"/>
  <c r="G20" i="4" s="1"/>
  <c r="H20" i="4" s="1"/>
  <c r="I20" i="4" s="1"/>
  <c r="F19" i="4"/>
  <c r="G19" i="4" s="1"/>
  <c r="H19" i="4" s="1"/>
  <c r="I19" i="4" s="1"/>
  <c r="F18" i="4"/>
  <c r="G18" i="4" s="1"/>
  <c r="H18" i="4" s="1"/>
  <c r="I18" i="4" s="1"/>
  <c r="F17" i="4"/>
  <c r="G17" i="4" s="1"/>
  <c r="H17" i="4" s="1"/>
  <c r="I17" i="4" s="1"/>
  <c r="F16" i="4"/>
  <c r="G16" i="4" s="1"/>
  <c r="H16" i="4" s="1"/>
  <c r="I16" i="4" s="1"/>
  <c r="F15" i="4"/>
  <c r="G15" i="4" s="1"/>
  <c r="H15" i="4" s="1"/>
  <c r="I15" i="4" s="1"/>
  <c r="F14" i="4"/>
  <c r="G14" i="4" s="1"/>
  <c r="H14" i="4" s="1"/>
  <c r="I14" i="4" s="1"/>
  <c r="F11" i="4"/>
  <c r="H12" i="5" l="1"/>
  <c r="I12" i="5"/>
  <c r="G12" i="5"/>
  <c r="F12" i="5"/>
  <c r="G17" i="5"/>
  <c r="H17" i="5" s="1"/>
  <c r="I17" i="5" s="1"/>
  <c r="G11" i="4"/>
  <c r="G19" i="5" l="1"/>
  <c r="H19" i="5" s="1"/>
  <c r="I19" i="5" s="1"/>
  <c r="G20" i="5"/>
  <c r="H20" i="5" s="1"/>
  <c r="I20" i="5" s="1"/>
  <c r="G18" i="5"/>
  <c r="H18" i="5" s="1"/>
  <c r="I18" i="5" s="1"/>
  <c r="H11" i="4"/>
  <c r="I11" i="4" l="1"/>
  <c r="F120" i="8" l="1"/>
  <c r="G120" i="8" s="1"/>
  <c r="H120" i="8" s="1"/>
  <c r="I120" i="8" s="1"/>
  <c r="F115" i="8"/>
  <c r="G115" i="8" s="1"/>
  <c r="H115" i="8" s="1"/>
  <c r="I115" i="8" s="1"/>
  <c r="F114" i="8"/>
  <c r="G114" i="8" s="1"/>
  <c r="H114" i="8" s="1"/>
  <c r="I114" i="8" s="1"/>
  <c r="F113" i="8"/>
  <c r="G113" i="8" s="1"/>
  <c r="H113" i="8" s="1"/>
  <c r="I113" i="8" s="1"/>
  <c r="F112" i="8"/>
  <c r="G112" i="8" s="1"/>
  <c r="H112" i="8" s="1"/>
  <c r="I112" i="8" s="1"/>
  <c r="F111" i="8"/>
  <c r="G111" i="8" s="1"/>
  <c r="H111" i="8" s="1"/>
  <c r="I111" i="8" s="1"/>
  <c r="F106" i="8"/>
  <c r="G106" i="8" s="1"/>
  <c r="H106" i="8" s="1"/>
  <c r="I106" i="8" s="1"/>
  <c r="F105" i="8"/>
  <c r="G105" i="8" s="1"/>
  <c r="H105" i="8" s="1"/>
  <c r="I105" i="8" s="1"/>
  <c r="F104" i="8"/>
  <c r="G104" i="8" s="1"/>
  <c r="H104" i="8" s="1"/>
  <c r="I104" i="8" s="1"/>
  <c r="F103" i="8"/>
  <c r="G103" i="8" s="1"/>
  <c r="H103" i="8" s="1"/>
  <c r="I103" i="8" s="1"/>
  <c r="F100" i="8"/>
  <c r="G100" i="8" s="1"/>
  <c r="H100" i="8" s="1"/>
  <c r="I100" i="8" s="1"/>
  <c r="F98" i="8"/>
  <c r="G98" i="8" s="1"/>
  <c r="H98" i="8" s="1"/>
  <c r="I98" i="8" s="1"/>
  <c r="F97" i="8"/>
  <c r="G97" i="8" s="1"/>
  <c r="H97" i="8" s="1"/>
  <c r="I97" i="8" s="1"/>
  <c r="F96" i="8"/>
  <c r="G96" i="8" s="1"/>
  <c r="H96" i="8" s="1"/>
  <c r="I96" i="8" s="1"/>
  <c r="F95" i="8"/>
  <c r="G95" i="8" s="1"/>
  <c r="H95" i="8" s="1"/>
  <c r="I95" i="8" s="1"/>
  <c r="F94" i="8"/>
  <c r="G94" i="8" s="1"/>
  <c r="H94" i="8" s="1"/>
  <c r="I94" i="8" s="1"/>
  <c r="F84" i="8"/>
  <c r="G84" i="8" s="1"/>
  <c r="H84" i="8" s="1"/>
  <c r="I84" i="8" s="1"/>
  <c r="F83" i="8"/>
  <c r="G83" i="8" s="1"/>
  <c r="H83" i="8" s="1"/>
  <c r="I83" i="8" s="1"/>
  <c r="F78" i="8"/>
  <c r="G78" i="8" s="1"/>
  <c r="H78" i="8" s="1"/>
  <c r="I78" i="8" s="1"/>
  <c r="F75" i="8"/>
  <c r="G75" i="8" s="1"/>
  <c r="H75" i="8" s="1"/>
  <c r="I75" i="8" s="1"/>
  <c r="F72" i="8"/>
  <c r="G72" i="8" s="1"/>
  <c r="H72" i="8" s="1"/>
  <c r="I72" i="8" s="1"/>
  <c r="F71" i="8"/>
  <c r="G71" i="8" s="1"/>
  <c r="H71" i="8" s="1"/>
  <c r="I71" i="8" s="1"/>
  <c r="F70" i="8"/>
  <c r="G70" i="8" s="1"/>
  <c r="H70" i="8" s="1"/>
  <c r="I70" i="8" s="1"/>
  <c r="F69" i="8"/>
  <c r="G69" i="8" s="1"/>
  <c r="H69" i="8" s="1"/>
  <c r="I69" i="8" s="1"/>
  <c r="F68" i="8"/>
  <c r="G68" i="8" s="1"/>
  <c r="H68" i="8" s="1"/>
  <c r="I68" i="8" s="1"/>
  <c r="F67" i="8"/>
  <c r="G67" i="8" s="1"/>
  <c r="H67" i="8" s="1"/>
  <c r="I67" i="8" s="1"/>
  <c r="F66" i="8"/>
  <c r="G66" i="8" s="1"/>
  <c r="H66" i="8" s="1"/>
  <c r="I66" i="8" s="1"/>
  <c r="F65" i="8"/>
  <c r="G65" i="8" s="1"/>
  <c r="H65" i="8" s="1"/>
  <c r="I65" i="8" s="1"/>
  <c r="F63" i="8"/>
  <c r="G63" i="8" s="1"/>
  <c r="H63" i="8" s="1"/>
  <c r="I63" i="8" s="1"/>
  <c r="F58" i="8"/>
  <c r="G58" i="8" s="1"/>
  <c r="H58" i="8" s="1"/>
  <c r="I58" i="8" s="1"/>
  <c r="F56" i="8"/>
  <c r="G56" i="8" s="1"/>
  <c r="H56" i="8" s="1"/>
  <c r="I56" i="8" s="1"/>
  <c r="F52" i="8"/>
  <c r="G52" i="8" s="1"/>
  <c r="H52" i="8" s="1"/>
  <c r="I52" i="8" s="1"/>
  <c r="F15" i="8"/>
  <c r="G15" i="8" s="1"/>
  <c r="H15" i="8" s="1"/>
  <c r="I15" i="8" s="1"/>
  <c r="F16" i="8"/>
  <c r="G16" i="8" s="1"/>
  <c r="H16" i="8" s="1"/>
  <c r="I16" i="8" s="1"/>
  <c r="F17" i="8"/>
  <c r="G17" i="8" s="1"/>
  <c r="H17" i="8" s="1"/>
  <c r="I17" i="8" s="1"/>
  <c r="F18" i="8"/>
  <c r="G18" i="8" s="1"/>
  <c r="H18" i="8" s="1"/>
  <c r="I18" i="8" s="1"/>
  <c r="F19" i="8"/>
  <c r="G19" i="8" s="1"/>
  <c r="H19" i="8" s="1"/>
  <c r="I19" i="8" s="1"/>
  <c r="F20" i="8"/>
  <c r="G20" i="8" s="1"/>
  <c r="H20" i="8" s="1"/>
  <c r="I20" i="8" s="1"/>
  <c r="F21" i="8"/>
  <c r="G21" i="8" s="1"/>
  <c r="H21" i="8" s="1"/>
  <c r="I21" i="8" s="1"/>
  <c r="F22" i="8"/>
  <c r="G22" i="8" s="1"/>
  <c r="H22" i="8" s="1"/>
  <c r="I22" i="8" s="1"/>
  <c r="F23" i="8"/>
  <c r="G23" i="8" s="1"/>
  <c r="H23" i="8" s="1"/>
  <c r="I23" i="8" s="1"/>
  <c r="F24" i="8"/>
  <c r="G24" i="8" s="1"/>
  <c r="H24" i="8" s="1"/>
  <c r="I24" i="8" s="1"/>
  <c r="F25" i="8"/>
  <c r="G25" i="8" s="1"/>
  <c r="H25" i="8" s="1"/>
  <c r="I25" i="8" s="1"/>
  <c r="F26" i="8"/>
  <c r="G26" i="8" s="1"/>
  <c r="H26" i="8" s="1"/>
  <c r="I26" i="8" s="1"/>
  <c r="F27" i="8"/>
  <c r="G27" i="8" s="1"/>
  <c r="H27" i="8" s="1"/>
  <c r="I27" i="8" s="1"/>
  <c r="F28" i="8"/>
  <c r="G28" i="8" s="1"/>
  <c r="H28" i="8" s="1"/>
  <c r="I28" i="8" s="1"/>
  <c r="F36" i="8"/>
  <c r="G36" i="8" s="1"/>
  <c r="H36" i="8" s="1"/>
  <c r="I36" i="8" s="1"/>
  <c r="F14" i="8"/>
  <c r="G14" i="8" s="1"/>
  <c r="H14" i="8" s="1"/>
  <c r="I14" i="8" s="1"/>
  <c r="F11" i="8"/>
  <c r="G11" i="8" s="1"/>
  <c r="H11" i="8" s="1"/>
  <c r="I11" i="8" s="1"/>
  <c r="F8" i="8"/>
  <c r="G176" i="24" l="1"/>
  <c r="G178" i="24" s="1"/>
  <c r="D123" i="8"/>
  <c r="G8" i="8"/>
  <c r="F37" i="8"/>
  <c r="G121" i="8" l="1"/>
  <c r="G125" i="8" s="1"/>
  <c r="F121" i="8"/>
  <c r="F125" i="8" s="1"/>
  <c r="D130" i="8"/>
  <c r="D125" i="8"/>
  <c r="D126" i="8"/>
  <c r="G37" i="8"/>
  <c r="H8" i="8"/>
  <c r="F14" i="1"/>
  <c r="G14" i="1" s="1"/>
  <c r="H14" i="1" s="1"/>
  <c r="I14" i="1" s="1"/>
  <c r="F18" i="1"/>
  <c r="G18" i="1" s="1"/>
  <c r="H18" i="1" s="1"/>
  <c r="I18" i="1" s="1"/>
  <c r="F19" i="1"/>
  <c r="G19" i="1" s="1"/>
  <c r="H19" i="1" s="1"/>
  <c r="I19" i="1" s="1"/>
  <c r="F21" i="1"/>
  <c r="G21" i="1" s="1"/>
  <c r="H21" i="1" s="1"/>
  <c r="I21" i="1" s="1"/>
  <c r="F25" i="1"/>
  <c r="G25" i="1" s="1"/>
  <c r="H25" i="1" s="1"/>
  <c r="I25" i="1" s="1"/>
  <c r="F27" i="1"/>
  <c r="G27" i="1" s="1"/>
  <c r="H27" i="1" s="1"/>
  <c r="I27" i="1" s="1"/>
  <c r="F34" i="1"/>
  <c r="G34" i="1" s="1"/>
  <c r="H34" i="1" s="1"/>
  <c r="I34" i="1" s="1"/>
  <c r="F39" i="1"/>
  <c r="F40" i="1"/>
  <c r="G40" i="1" s="1"/>
  <c r="H40" i="1" s="1"/>
  <c r="I40" i="1" s="1"/>
  <c r="F43" i="1"/>
  <c r="G43" i="1" s="1"/>
  <c r="H43" i="1" s="1"/>
  <c r="I43" i="1" s="1"/>
  <c r="F45" i="1"/>
  <c r="F47" i="1"/>
  <c r="G47" i="1" s="1"/>
  <c r="H47" i="1" s="1"/>
  <c r="I47" i="1" s="1"/>
  <c r="F50" i="1"/>
  <c r="G50" i="1" s="1"/>
  <c r="H50" i="1" s="1"/>
  <c r="I50" i="1" s="1"/>
  <c r="F51" i="1"/>
  <c r="G51" i="1" s="1"/>
  <c r="H51" i="1" s="1"/>
  <c r="I51" i="1" s="1"/>
  <c r="F54" i="1"/>
  <c r="G54" i="1" s="1"/>
  <c r="H54" i="1" s="1"/>
  <c r="I54" i="1" s="1"/>
  <c r="F56" i="1"/>
  <c r="G56" i="1" s="1"/>
  <c r="H56" i="1" s="1"/>
  <c r="I56" i="1" s="1"/>
  <c r="F57" i="1"/>
  <c r="G57" i="1" s="1"/>
  <c r="H57" i="1" s="1"/>
  <c r="I57" i="1" s="1"/>
  <c r="F58" i="1"/>
  <c r="G58" i="1" s="1"/>
  <c r="H58" i="1" s="1"/>
  <c r="I58" i="1" s="1"/>
  <c r="F59" i="1"/>
  <c r="G59" i="1" s="1"/>
  <c r="H59" i="1" s="1"/>
  <c r="I59" i="1" s="1"/>
  <c r="F60" i="1"/>
  <c r="G60" i="1" s="1"/>
  <c r="H60" i="1" s="1"/>
  <c r="I60" i="1" s="1"/>
  <c r="F61" i="1"/>
  <c r="G61" i="1" s="1"/>
  <c r="H61" i="1" s="1"/>
  <c r="I61" i="1" s="1"/>
  <c r="F62" i="1"/>
  <c r="G62" i="1" s="1"/>
  <c r="F63" i="1"/>
  <c r="G63" i="1" s="1"/>
  <c r="H63" i="1" s="1"/>
  <c r="I63" i="1" s="1"/>
  <c r="F64" i="1"/>
  <c r="G64" i="1" s="1"/>
  <c r="H64" i="1" s="1"/>
  <c r="I64" i="1" s="1"/>
  <c r="F65" i="1"/>
  <c r="G65" i="1" s="1"/>
  <c r="H65" i="1" s="1"/>
  <c r="I65" i="1" s="1"/>
  <c r="F66" i="1"/>
  <c r="G66" i="1" s="1"/>
  <c r="H66" i="1" s="1"/>
  <c r="I66" i="1" s="1"/>
  <c r="F67" i="1"/>
  <c r="G67" i="1" s="1"/>
  <c r="H67" i="1" s="1"/>
  <c r="I67" i="1" s="1"/>
  <c r="F68" i="1"/>
  <c r="G68" i="1" s="1"/>
  <c r="H68" i="1" s="1"/>
  <c r="I68" i="1" s="1"/>
  <c r="F69" i="1"/>
  <c r="G69" i="1" s="1"/>
  <c r="H69" i="1" s="1"/>
  <c r="I69" i="1" s="1"/>
  <c r="F70" i="1"/>
  <c r="G70" i="1" s="1"/>
  <c r="H70" i="1" s="1"/>
  <c r="I70" i="1" s="1"/>
  <c r="F71" i="1"/>
  <c r="G71" i="1" s="1"/>
  <c r="H71" i="1" s="1"/>
  <c r="I71" i="1" s="1"/>
  <c r="F72" i="1"/>
  <c r="G72" i="1" s="1"/>
  <c r="H72" i="1" s="1"/>
  <c r="I72" i="1" s="1"/>
  <c r="F73" i="1"/>
  <c r="G73" i="1" s="1"/>
  <c r="H73" i="1" s="1"/>
  <c r="I73" i="1" s="1"/>
  <c r="F74" i="1"/>
  <c r="G74" i="1" s="1"/>
  <c r="H74" i="1" s="1"/>
  <c r="I74" i="1" s="1"/>
  <c r="F75" i="1"/>
  <c r="G75" i="1" s="1"/>
  <c r="H75" i="1" s="1"/>
  <c r="I75" i="1" s="1"/>
  <c r="F76" i="1"/>
  <c r="G76" i="1" s="1"/>
  <c r="H76" i="1" s="1"/>
  <c r="I76" i="1" s="1"/>
  <c r="F77" i="1"/>
  <c r="G77" i="1" s="1"/>
  <c r="H77" i="1" s="1"/>
  <c r="I77" i="1" s="1"/>
  <c r="F81" i="1"/>
  <c r="G81" i="1" s="1"/>
  <c r="H81" i="1" s="1"/>
  <c r="I81" i="1" s="1"/>
  <c r="F82" i="1"/>
  <c r="G82" i="1" s="1"/>
  <c r="H82" i="1" s="1"/>
  <c r="I82" i="1" s="1"/>
  <c r="F83" i="1"/>
  <c r="G83" i="1" s="1"/>
  <c r="H83" i="1" s="1"/>
  <c r="I83" i="1" s="1"/>
  <c r="F84" i="1"/>
  <c r="G84" i="1" s="1"/>
  <c r="H84" i="1" s="1"/>
  <c r="I84" i="1" s="1"/>
  <c r="F85" i="1"/>
  <c r="G85" i="1" s="1"/>
  <c r="H85" i="1" s="1"/>
  <c r="I85" i="1" s="1"/>
  <c r="F86" i="1"/>
  <c r="G86" i="1" s="1"/>
  <c r="H86" i="1" s="1"/>
  <c r="I86" i="1" s="1"/>
  <c r="F87" i="1"/>
  <c r="G87" i="1" s="1"/>
  <c r="H87" i="1" s="1"/>
  <c r="I87" i="1" s="1"/>
  <c r="F88" i="1"/>
  <c r="G88" i="1" s="1"/>
  <c r="H88" i="1" s="1"/>
  <c r="I88" i="1" s="1"/>
  <c r="F89" i="1"/>
  <c r="G89" i="1" s="1"/>
  <c r="H89" i="1" s="1"/>
  <c r="I89" i="1" s="1"/>
  <c r="F90" i="1"/>
  <c r="G90" i="1" s="1"/>
  <c r="H90" i="1" s="1"/>
  <c r="I90" i="1" s="1"/>
  <c r="F91" i="1"/>
  <c r="G91" i="1" s="1"/>
  <c r="H91" i="1" s="1"/>
  <c r="I91" i="1" s="1"/>
  <c r="F92" i="1"/>
  <c r="G92" i="1" s="1"/>
  <c r="H92" i="1" s="1"/>
  <c r="I92" i="1" s="1"/>
  <c r="F93" i="1"/>
  <c r="G93" i="1" s="1"/>
  <c r="H93" i="1" s="1"/>
  <c r="I93" i="1" s="1"/>
  <c r="F94" i="1"/>
  <c r="G94" i="1" s="1"/>
  <c r="H94" i="1" s="1"/>
  <c r="I94" i="1" s="1"/>
  <c r="F95" i="1"/>
  <c r="G95" i="1" s="1"/>
  <c r="H95" i="1" s="1"/>
  <c r="I95" i="1" s="1"/>
  <c r="F96" i="1"/>
  <c r="G96" i="1" s="1"/>
  <c r="H96" i="1" s="1"/>
  <c r="I96" i="1" s="1"/>
  <c r="F97" i="1"/>
  <c r="G97" i="1" s="1"/>
  <c r="H97" i="1" s="1"/>
  <c r="I97" i="1" s="1"/>
  <c r="F98" i="1"/>
  <c r="G98" i="1" s="1"/>
  <c r="H98" i="1" s="1"/>
  <c r="I98" i="1" s="1"/>
  <c r="F99" i="1"/>
  <c r="G99" i="1" s="1"/>
  <c r="H99" i="1" s="1"/>
  <c r="I99" i="1" s="1"/>
  <c r="F100" i="1"/>
  <c r="G100" i="1" s="1"/>
  <c r="H100" i="1" s="1"/>
  <c r="I100" i="1" s="1"/>
  <c r="F101" i="1"/>
  <c r="G101" i="1" s="1"/>
  <c r="H101" i="1" s="1"/>
  <c r="I101" i="1" s="1"/>
  <c r="F102" i="1"/>
  <c r="G102" i="1" s="1"/>
  <c r="H102" i="1" s="1"/>
  <c r="I102" i="1" s="1"/>
  <c r="F103" i="1"/>
  <c r="G103" i="1" s="1"/>
  <c r="H103" i="1" s="1"/>
  <c r="I103" i="1" s="1"/>
  <c r="F104" i="1"/>
  <c r="G104" i="1" s="1"/>
  <c r="H104" i="1" s="1"/>
  <c r="I104" i="1" s="1"/>
  <c r="F105" i="1"/>
  <c r="G105" i="1" s="1"/>
  <c r="H105" i="1" s="1"/>
  <c r="I105" i="1" s="1"/>
  <c r="F106" i="1"/>
  <c r="G106" i="1" s="1"/>
  <c r="H106" i="1" s="1"/>
  <c r="I106" i="1" s="1"/>
  <c r="F107" i="1"/>
  <c r="G107" i="1" s="1"/>
  <c r="H107" i="1" s="1"/>
  <c r="I107" i="1" s="1"/>
  <c r="F108" i="1"/>
  <c r="G108" i="1" s="1"/>
  <c r="H108" i="1" s="1"/>
  <c r="I108" i="1" s="1"/>
  <c r="F109" i="1"/>
  <c r="G109" i="1" s="1"/>
  <c r="H109" i="1" s="1"/>
  <c r="I109" i="1" s="1"/>
  <c r="F112" i="1"/>
  <c r="G112" i="1" s="1"/>
  <c r="H112" i="1" s="1"/>
  <c r="I112" i="1" s="1"/>
  <c r="F113" i="1"/>
  <c r="G113" i="1" s="1"/>
  <c r="H113" i="1" s="1"/>
  <c r="I113" i="1" s="1"/>
  <c r="F114" i="1"/>
  <c r="G114" i="1" s="1"/>
  <c r="H114" i="1" s="1"/>
  <c r="I114" i="1" s="1"/>
  <c r="F115" i="1"/>
  <c r="G115" i="1" s="1"/>
  <c r="H115" i="1" s="1"/>
  <c r="I115" i="1" s="1"/>
  <c r="F116" i="1"/>
  <c r="G116" i="1" s="1"/>
  <c r="H116" i="1" s="1"/>
  <c r="I116" i="1" s="1"/>
  <c r="F117" i="1"/>
  <c r="G117" i="1" s="1"/>
  <c r="H117" i="1" s="1"/>
  <c r="I117" i="1" s="1"/>
  <c r="F120" i="1"/>
  <c r="G120" i="1" s="1"/>
  <c r="H120" i="1" s="1"/>
  <c r="I120" i="1" s="1"/>
  <c r="F121" i="1"/>
  <c r="G121" i="1" s="1"/>
  <c r="H121" i="1" s="1"/>
  <c r="I121" i="1" s="1"/>
  <c r="F11" i="1"/>
  <c r="G11" i="1" s="1"/>
  <c r="H11" i="1" s="1"/>
  <c r="I11" i="1" s="1"/>
  <c r="D127" i="8" l="1"/>
  <c r="G10" i="8"/>
  <c r="G39" i="8" s="1"/>
  <c r="G39" i="1"/>
  <c r="G45" i="1"/>
  <c r="H121" i="8"/>
  <c r="H125" i="8" s="1"/>
  <c r="I121" i="8"/>
  <c r="I125" i="8" s="1"/>
  <c r="H37" i="8"/>
  <c r="I8" i="8"/>
  <c r="I37" i="8" s="1"/>
  <c r="H62" i="1"/>
  <c r="D128" i="8" l="1"/>
  <c r="F10" i="8"/>
  <c r="F39" i="8" s="1"/>
  <c r="F123" i="8" s="1"/>
  <c r="F130" i="8" s="1"/>
  <c r="H10" i="8"/>
  <c r="H39" i="8" s="1"/>
  <c r="H123" i="8" s="1"/>
  <c r="H130" i="8" s="1"/>
  <c r="G123" i="8"/>
  <c r="G130" i="8" s="1"/>
  <c r="H45" i="1"/>
  <c r="H39" i="1"/>
  <c r="I10" i="8"/>
  <c r="I39" i="8" s="1"/>
  <c r="I123" i="8" s="1"/>
  <c r="I130" i="8" s="1"/>
  <c r="I62" i="1"/>
  <c r="I39" i="1" l="1"/>
  <c r="I45" i="1"/>
  <c r="F8" i="4"/>
  <c r="G8" i="4" l="1"/>
  <c r="F37" i="4"/>
  <c r="D82" i="6" l="1"/>
  <c r="M176" i="24"/>
  <c r="M178" i="24" s="1"/>
  <c r="H8" i="4"/>
  <c r="G37" i="4"/>
  <c r="D31" i="5"/>
  <c r="D82" i="5" l="1"/>
  <c r="D84" i="5" s="1"/>
  <c r="D86" i="5" s="1"/>
  <c r="F11" i="5" s="1"/>
  <c r="F31" i="5" s="1"/>
  <c r="K176" i="24"/>
  <c r="K178" i="24" s="1"/>
  <c r="I8" i="4"/>
  <c r="I37" i="4" s="1"/>
  <c r="H37" i="4"/>
  <c r="F82" i="5"/>
  <c r="F82" i="6"/>
  <c r="F84" i="5" l="1"/>
  <c r="F86" i="5" s="1"/>
  <c r="G11" i="5" s="1"/>
  <c r="G31" i="5" s="1"/>
  <c r="G82" i="5"/>
  <c r="G82" i="6"/>
  <c r="G84" i="5" l="1"/>
  <c r="G86" i="5" s="1"/>
  <c r="H11" i="5" s="1"/>
  <c r="H31" i="5" s="1"/>
  <c r="I82" i="5"/>
  <c r="H82" i="5"/>
  <c r="H84" i="5" s="1"/>
  <c r="H86" i="5" s="1"/>
  <c r="I11" i="5" s="1"/>
  <c r="I31" i="5" s="1"/>
  <c r="I82" i="6"/>
  <c r="H82" i="6"/>
  <c r="F122" i="4"/>
  <c r="F126" i="4" s="1"/>
  <c r="I176" i="24" l="1"/>
  <c r="I178" i="24" s="1"/>
  <c r="I84" i="5"/>
  <c r="I86" i="5" s="1"/>
  <c r="D126" i="4"/>
  <c r="D127" i="4"/>
  <c r="D124" i="4"/>
  <c r="G122" i="4"/>
  <c r="G126" i="4" s="1"/>
  <c r="D128" i="4" l="1"/>
  <c r="D129" i="4" s="1"/>
  <c r="D131" i="4"/>
  <c r="H122" i="4"/>
  <c r="H126" i="4" s="1"/>
  <c r="F10" i="4" l="1"/>
  <c r="F39" i="4" s="1"/>
  <c r="F124" i="4" s="1"/>
  <c r="F131" i="4" s="1"/>
  <c r="G10" i="4"/>
  <c r="G39" i="4" s="1"/>
  <c r="I10" i="4"/>
  <c r="I39" i="4" s="1"/>
  <c r="I122" i="4"/>
  <c r="I126" i="4" s="1"/>
  <c r="D41" i="1"/>
  <c r="E48" i="24" s="1"/>
  <c r="E176" i="24" l="1"/>
  <c r="E178" i="24" s="1"/>
  <c r="I124" i="4"/>
  <c r="I131" i="4" s="1"/>
  <c r="H10" i="4"/>
  <c r="H39" i="4" s="1"/>
  <c r="H124" i="4" s="1"/>
  <c r="H131" i="4" s="1"/>
  <c r="G124" i="4"/>
  <c r="G131" i="4" s="1"/>
  <c r="F41" i="1"/>
  <c r="F122" i="1" s="1"/>
  <c r="F126" i="1" s="1"/>
  <c r="D122" i="1"/>
  <c r="D127" i="1" s="1"/>
  <c r="G41" i="1" l="1"/>
  <c r="H41" i="1" s="1"/>
  <c r="D126" i="1"/>
  <c r="D128" i="1" s="1"/>
  <c r="G122" i="1"/>
  <c r="G126" i="1" s="1"/>
  <c r="I41" i="1" l="1"/>
  <c r="I122" i="1" s="1"/>
  <c r="I126" i="1" s="1"/>
  <c r="H122" i="1"/>
  <c r="H126" i="1" s="1"/>
  <c r="F8" i="6" l="1"/>
  <c r="G8" i="6" s="1"/>
  <c r="G12" i="6" s="1"/>
  <c r="D31" i="6"/>
  <c r="D84" i="6" s="1"/>
  <c r="D86" i="6" s="1"/>
  <c r="F11" i="6" s="1"/>
  <c r="F12" i="6" l="1"/>
  <c r="F31" i="6"/>
  <c r="F84" i="6" s="1"/>
  <c r="F86" i="6" s="1"/>
  <c r="G11" i="6" s="1"/>
  <c r="G31" i="6" s="1"/>
  <c r="G84" i="6" s="1"/>
  <c r="G86" i="6" s="1"/>
  <c r="H11" i="6" s="1"/>
  <c r="H8" i="6"/>
  <c r="I8" i="6" l="1"/>
  <c r="I12" i="6" s="1"/>
  <c r="H12" i="6"/>
  <c r="H31" i="6" s="1"/>
  <c r="H84" i="6" s="1"/>
  <c r="H86" i="6" s="1"/>
  <c r="I11" i="6" s="1"/>
  <c r="I31" i="6" l="1"/>
  <c r="I84" i="6" s="1"/>
  <c r="I86" i="6" s="1"/>
  <c r="F8" i="1"/>
  <c r="F36" i="1" s="1"/>
  <c r="D124" i="1" l="1"/>
  <c r="D129" i="1" s="1"/>
  <c r="G8" i="1"/>
  <c r="D131" i="1" l="1"/>
  <c r="F10" i="1" s="1"/>
  <c r="F37" i="1" s="1"/>
  <c r="F124" i="1" s="1"/>
  <c r="F131" i="1" s="1"/>
  <c r="G10" i="1" s="1"/>
  <c r="G36" i="1"/>
  <c r="G37" i="1" s="1"/>
  <c r="G124" i="1" s="1"/>
  <c r="G131" i="1" s="1"/>
  <c r="H10" i="1" s="1"/>
  <c r="H8" i="1"/>
  <c r="H36" i="1" l="1"/>
  <c r="H37" i="1" s="1"/>
  <c r="H124" i="1" s="1"/>
  <c r="H131" i="1" s="1"/>
  <c r="I10" i="1" s="1"/>
  <c r="I8" i="1"/>
  <c r="I36" i="1" s="1"/>
  <c r="I37" i="1" l="1"/>
  <c r="I124" i="1" s="1"/>
  <c r="I131" i="1" s="1"/>
  <c r="H594" i="22"/>
  <c r="H593" i="22" s="1"/>
  <c r="H455" i="22"/>
  <c r="H371" i="22"/>
  <c r="H456" i="22" s="1"/>
  <c r="H595" i="22" s="1"/>
  <c r="H388" i="22"/>
  <c r="H608" i="22" s="1"/>
  <c r="G456" i="22"/>
  <c r="G595" i="22" s="1"/>
  <c r="G455" i="22"/>
  <c r="G594" i="22"/>
  <c r="G593" i="22"/>
  <c r="H609" i="22" l="1"/>
  <c r="H470" i="22" s="1"/>
  <c r="H471" i="22" s="1"/>
  <c r="H386" i="22" s="1"/>
  <c r="H387" i="22" s="1"/>
  <c r="H472" i="22" s="1"/>
  <c r="H64" i="22"/>
  <c r="G388" i="22"/>
  <c r="G608" i="22"/>
  <c r="H146" i="22"/>
  <c r="H367" i="22" s="1"/>
  <c r="H536" i="22" s="1"/>
  <c r="H59" i="22" s="1"/>
  <c r="H63" i="22"/>
  <c r="G387" i="22" l="1"/>
  <c r="G609" i="22"/>
  <c r="G472" i="22" s="1"/>
  <c r="H268" i="22"/>
  <c r="H375" i="22"/>
  <c r="H459" i="22"/>
  <c r="H544" i="22"/>
  <c r="H597" i="22"/>
  <c r="H269" i="22"/>
  <c r="H599" i="22"/>
  <c r="H147" i="22"/>
  <c r="H452" i="22"/>
  <c r="H262" i="22"/>
  <c r="H261" i="22"/>
  <c r="H537" i="22"/>
  <c r="H462" i="22"/>
  <c r="H547" i="22"/>
  <c r="H463" i="22"/>
  <c r="H379" i="22"/>
  <c r="H159" i="22"/>
  <c r="H72" i="22"/>
  <c r="H601" i="22"/>
  <c r="H378" i="22"/>
  <c r="H457" i="22"/>
  <c r="H150" i="22"/>
  <c r="H265" i="22"/>
  <c r="H264" i="22"/>
  <c r="H372" i="22"/>
  <c r="H151" i="22"/>
  <c r="H373" i="22"/>
  <c r="N176" i="24" l="1"/>
  <c r="L63" i="25" l="1"/>
  <c r="D93" i="6"/>
  <c r="I93" i="6" s="1"/>
  <c r="N178" i="24"/>
  <c r="E36" i="5"/>
  <c r="E93" i="6" l="1"/>
  <c r="L82" i="25"/>
  <c r="L49" i="24"/>
  <c r="L176" i="24" s="1"/>
  <c r="E82" i="5"/>
  <c r="L172" i="25" l="1"/>
  <c r="L183" i="25" s="1"/>
  <c r="L174" i="25"/>
  <c r="L176" i="25" s="1"/>
  <c r="E93" i="5"/>
  <c r="L178" i="24"/>
  <c r="D93" i="5"/>
  <c r="E84" i="5"/>
  <c r="E86" i="5" s="1"/>
  <c r="J93" i="5" l="1"/>
  <c r="F93" i="5"/>
  <c r="L179" i="25" l="1"/>
  <c r="D177" i="25" l="1"/>
  <c r="D178" i="25"/>
  <c r="D95" i="25" l="1"/>
  <c r="D172" i="25" l="1"/>
  <c r="D174" i="25" l="1"/>
  <c r="D183" i="25"/>
  <c r="D179" i="25"/>
  <c r="D176" i="25"/>
  <c r="H57" i="25"/>
  <c r="H178" i="25" l="1"/>
  <c r="H177" i="25"/>
  <c r="H94" i="25"/>
  <c r="H95" i="25" l="1"/>
  <c r="H172" i="25" l="1"/>
  <c r="P12" i="25"/>
  <c r="H174" i="25" l="1"/>
  <c r="H183" i="25"/>
  <c r="P14" i="25"/>
  <c r="P55" i="25" s="1"/>
  <c r="H176" i="25" l="1"/>
  <c r="H179" i="25"/>
  <c r="P56" i="25" l="1"/>
  <c r="P57" i="25" s="1"/>
  <c r="P94" i="25" l="1"/>
  <c r="P95" i="25"/>
  <c r="P172" i="25" l="1"/>
  <c r="P174" i="25" l="1"/>
  <c r="P176" i="25" s="1"/>
  <c r="P179" i="25" s="1"/>
  <c r="P18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Miles</author>
    <author>Renea Ostermiller</author>
    <author>Heather</author>
  </authors>
  <commentList>
    <comment ref="D15" authorId="0" shapeId="0" xr:uid="{777232C1-525E-4062-892D-D49808CC791D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$200,000 for SOR from CSGF 23-24</t>
        </r>
      </text>
    </comment>
    <comment ref="F15" authorId="0" shapeId="0" xr:uid="{B763C023-E006-42D6-8DC0-7170C9091B0A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awarded 2022
</t>
        </r>
      </text>
    </comment>
    <comment ref="H15" authorId="0" shapeId="0" xr:uid="{A2CD5DD9-1FF4-417E-89C1-ADE65C0FACAB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awarded 2022
</t>
        </r>
      </text>
    </comment>
    <comment ref="N15" authorId="0" shapeId="0" xr:uid="{6CAAF64D-C46E-456F-ABA5-501A83DC6B43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General Operations, $200,000 from CSGF</t>
        </r>
      </text>
    </comment>
    <comment ref="L16" authorId="0" shapeId="0" xr:uid="{F55656A7-B542-45AD-AA35-A584879EE9CC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$420,000 from PSP</t>
        </r>
      </text>
    </comment>
    <comment ref="N16" authorId="0" shapeId="0" xr:uid="{5454005C-4E75-4EF0-8022-0BA5780EEFE4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$420,000 from PSP</t>
        </r>
      </text>
    </comment>
    <comment ref="D18" authorId="1" shapeId="0" xr:uid="{52CDEA8E-EC56-49E6-9FD0-135EDE7A0B3B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What is this?</t>
        </r>
      </text>
    </comment>
    <comment ref="N28" authorId="1" shapeId="0" xr:uid="{42C84FD6-E463-4FB4-9CF2-E0DB3C5D4D3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based on 90 kids</t>
        </r>
      </text>
    </comment>
    <comment ref="A62" authorId="2" shapeId="0" xr:uid="{095A3F63-F730-4E7C-B4FE-C42C595DD421}">
      <text>
        <r>
          <rPr>
            <b/>
            <sz val="9"/>
            <color indexed="81"/>
            <rFont val="Tahoma"/>
            <family val="2"/>
          </rPr>
          <t>Heather:</t>
        </r>
        <r>
          <rPr>
            <sz val="9"/>
            <color indexed="81"/>
            <rFont val="Tahoma"/>
            <family val="2"/>
          </rPr>
          <t xml:space="preserve">
Includes Unemployment + Workers Comp</t>
        </r>
      </text>
    </comment>
    <comment ref="A77" authorId="0" shapeId="0" xr:uid="{81ACAC19-06A6-4B44-8493-925977C606B9}">
      <text>
        <r>
          <rPr>
            <b/>
            <sz val="9"/>
            <color indexed="81"/>
            <rFont val="Tahoma"/>
            <family val="2"/>
          </rPr>
          <t>Mike Miles:</t>
        </r>
        <r>
          <rPr>
            <sz val="9"/>
            <color indexed="81"/>
            <rFont val="Tahoma"/>
            <family val="2"/>
          </rPr>
          <t xml:space="preserve">
for LCDs add the Unit line item for LCD</t>
        </r>
      </text>
    </comment>
    <comment ref="H84" authorId="1" shapeId="0" xr:uid="{C0B8BAE7-6601-4CE2-932A-F1DFD7450CE0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174k
won't have that expense next year</t>
        </r>
      </text>
    </comment>
    <comment ref="P84" authorId="1" shapeId="0" xr:uid="{16B616CD-84BE-4B39-BE02-4A916AC109A9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635k
dyad went over next year</t>
        </r>
      </text>
    </comment>
    <comment ref="F90" authorId="1" shapeId="0" xr:uid="{D6EAFDCA-D1AC-48A9-BDA1-6DD191BE6CCA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Nets against revenue USDA</t>
        </r>
      </text>
    </comment>
    <comment ref="L100" authorId="1" shapeId="0" xr:uid="{7B96BE3E-652C-41B5-923D-8A4D85C4480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52k
one time expense this year</t>
        </r>
      </text>
    </comment>
    <comment ref="P100" authorId="1" shapeId="0" xr:uid="{E8EB7A62-34B7-4ACC-8200-B12133076FBF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52k
one time expense this year</t>
        </r>
      </text>
    </comment>
    <comment ref="D101" authorId="1" shapeId="0" xr:uid="{B7E0CF75-710F-48A0-928A-A26FC9E1AE93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269,000 last year - number correct?
Ok per jessica - Mendez eq for this year</t>
        </r>
      </text>
    </comment>
    <comment ref="D103" authorId="1" shapeId="0" xr:uid="{60D0A79C-5B30-439D-A7F5-587E5D261D5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60K last year number correct
equipment pur that we won't need next year
</t>
        </r>
      </text>
    </comment>
    <comment ref="A104" authorId="1" shapeId="0" xr:uid="{3FE71CB8-ECBD-455E-92B6-10F4052ACCF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Power Schools</t>
        </r>
      </text>
    </comment>
    <comment ref="D104" authorId="1" shapeId="0" xr:uid="{0A1053C3-CBF9-4CA2-ACCD-82DE0497B11F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60k last year
For current year only</t>
        </r>
      </text>
    </comment>
    <comment ref="H104" authorId="1" shapeId="0" xr:uid="{D9561A3C-C244-4DA2-9DB7-F579139BBC83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10k
look at current allocation</t>
        </r>
      </text>
    </comment>
    <comment ref="D107" authorId="1" shapeId="0" xr:uid="{048D206D-BB10-4A3B-BB75-896B36988BA6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51K
Need to look for detail
possibly in electronic media</t>
        </r>
      </text>
    </comment>
    <comment ref="D108" authorId="1" shapeId="0" xr:uid="{4A1C7343-A80A-44A7-A386-AD0AD131895E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25K</t>
        </r>
      </text>
    </comment>
    <comment ref="D114" authorId="1" shapeId="0" xr:uid="{DA73857F-AE28-4485-BD01-9AD24C0C66E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30K</t>
        </r>
      </text>
    </comment>
    <comment ref="F114" authorId="1" shapeId="0" xr:uid="{2DF393B5-1230-43AF-A03A-D96EB84F05E1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32k
need to look at allocation for all electronic media</t>
        </r>
      </text>
    </comment>
    <comment ref="H114" authorId="1" shapeId="0" xr:uid="{BA53E439-A58E-4A02-9785-0B16FE07EEB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58k</t>
        </r>
      </text>
    </comment>
    <comment ref="P114" authorId="1" shapeId="0" xr:uid="{223A8F64-0C90-41CA-B285-3BFCF13D60F1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14k
need to look at allocation</t>
        </r>
      </text>
    </comment>
    <comment ref="D117" authorId="1" shapeId="0" xr:uid="{8BAA1B3B-FE9E-4432-A5A8-6E67DD8E433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48k 2023
Was 24,600 increased to 30K
probably need to increase</t>
        </r>
      </text>
    </comment>
    <comment ref="F117" authorId="1" shapeId="0" xr:uid="{E011CBC4-90FC-4EB8-A8DC-EDDC158F5BA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23k for 2023
Original budget 6,300
Increased to 15k</t>
        </r>
      </text>
    </comment>
    <comment ref="H117" authorId="1" shapeId="0" xr:uid="{CE2DD755-E99C-4E2B-AE3D-17F79957706B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26k for 2023
was 9,900 in budget increased to 15K</t>
        </r>
      </text>
    </comment>
    <comment ref="F118" authorId="1" shapeId="0" xr:uid="{62D648B9-A42F-4D8C-AAD7-AF25C806B3CE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75k
look at allocation for current year
Need to change to 40k</t>
        </r>
      </text>
    </comment>
    <comment ref="D129" authorId="1" shapeId="0" xr:uid="{2C424C0C-8112-4452-8866-0BB9C9CED33C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was 115k
adjusted to 150k based on current rates</t>
        </r>
      </text>
    </comment>
    <comment ref="A139" authorId="2" shapeId="0" xr:uid="{77AB1847-652D-4759-974D-328A2580D574}">
      <text>
        <r>
          <rPr>
            <b/>
            <sz val="9"/>
            <color indexed="81"/>
            <rFont val="Tahoma"/>
            <family val="2"/>
          </rPr>
          <t>Heather:</t>
        </r>
        <r>
          <rPr>
            <sz val="9"/>
            <color indexed="81"/>
            <rFont val="Tahoma"/>
            <family val="2"/>
          </rPr>
          <t xml:space="preserve">
Need to keep original budgets</t>
        </r>
      </text>
    </comment>
    <comment ref="D140" authorId="1" shapeId="0" xr:uid="{BE29EF49-4453-4233-8102-87249E8033E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58k</t>
        </r>
      </text>
    </comment>
    <comment ref="D141" authorId="1" shapeId="0" xr:uid="{D70D682C-5BF9-44FC-8685-4F71342D7E17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27K
amount ok this year was purchase of new phones</t>
        </r>
      </text>
    </comment>
    <comment ref="F145" authorId="1" shapeId="0" xr:uid="{F7447153-F0A3-4D01-A199-D7A91FC56259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44k
expense for next year won't be as high</t>
        </r>
      </text>
    </comment>
    <comment ref="H145" authorId="1" shapeId="0" xr:uid="{EE23C6DC-C5F3-4285-ADD3-BF1B9C38427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72k
</t>
        </r>
      </text>
    </comment>
    <comment ref="D147" authorId="1" shapeId="0" xr:uid="{5215DE9B-B615-4C59-97E8-DAC8AAB7CBAB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84k
need to correct allocation</t>
        </r>
      </text>
    </comment>
    <comment ref="D158" authorId="1" shapeId="0" xr:uid="{FB3C7436-4E89-49FE-B41B-92722D500DB7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116k
number good</t>
        </r>
      </text>
    </comment>
    <comment ref="F158" authorId="1" shapeId="0" xr:uid="{C8396F38-3ABD-45B8-8ED4-FF380A77CC9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46k
Jessica to send lease agreements</t>
        </r>
      </text>
    </comment>
    <comment ref="L158" authorId="1" shapeId="0" xr:uid="{E71000A2-CDFB-4E0D-BA6C-115626538DAE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23k
Jessica getting me contracts</t>
        </r>
      </text>
    </comment>
    <comment ref="P160" authorId="1" shapeId="0" xr:uid="{DE8FED32-1046-4C79-B084-6B9D0EA40DE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21k
Jessica to get me leases</t>
        </r>
      </text>
    </comment>
    <comment ref="D161" authorId="1" shapeId="0" xr:uid="{C028E2EE-CFB0-4AF9-8591-601B3F7674F0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23k
For bus service for this year</t>
        </r>
      </text>
    </comment>
    <comment ref="H162" authorId="1" shapeId="0" xr:uid="{6F7DD0A4-1400-404A-91F1-899A41B5C69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119k
hired internal will be lower next year</t>
        </r>
      </text>
    </comment>
    <comment ref="D165" authorId="1" shapeId="0" xr:uid="{60EBD390-48BA-4707-8232-45AC7CFA354B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26k
one year purchase this year</t>
        </r>
      </text>
    </comment>
    <comment ref="D167" authorId="1" shapeId="0" xr:uid="{A8CF6BCF-B505-4CC1-912B-4AD6089FE34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188k
 look at detail</t>
        </r>
      </text>
    </comment>
    <comment ref="F167" authorId="1" shapeId="0" xr:uid="{1302B2FE-E01B-4E33-8988-7780A0B035DC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22k
more expense this year</t>
        </r>
      </text>
    </comment>
    <comment ref="H167" authorId="1" shapeId="0" xr:uid="{BAB798EF-F600-4787-9632-D7AE054707F1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21k
unexpected expenses this year</t>
        </r>
      </text>
    </comment>
    <comment ref="D170" authorId="1" shapeId="0" xr:uid="{86BC5AAC-EC00-4A4A-A5E1-886E7DE40F2D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61k
more repairs in current year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I13" authorId="0" shapeId="0" xr:uid="{A02C3794-C448-419E-A96A-04B33175B5A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Cam charges - 12,948.01
</t>
        </r>
      </text>
    </comment>
    <comment ref="K13" authorId="0" shapeId="0" xr:uid="{C1AD3A9F-AEEE-4F04-A5FB-DE75A4C79875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Cam charges 12948.01 per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Kerri Holt</author>
  </authors>
  <commentList>
    <comment ref="A11" authorId="0" shapeId="0" xr:uid="{E02E86DA-B819-49D6-9200-5BFE8B973E99}">
      <text>
        <r>
          <rPr>
            <b/>
            <sz val="9"/>
            <color indexed="81"/>
            <rFont val="Tahoma"/>
            <family val="2"/>
          </rPr>
          <t>Kerri Holt:</t>
        </r>
        <r>
          <rPr>
            <sz val="9"/>
            <color indexed="81"/>
            <rFont val="Tahoma"/>
            <family val="2"/>
          </rPr>
          <t xml:space="preserve">
Back this out goes to District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tc={3D5B7807-D074-4D1C-9E95-601706AF941E}</author>
  </authors>
  <commentList>
    <comment ref="B9" authorId="0" shapeId="0" xr:uid="{3D5B7807-D074-4D1C-9E95-601706AF941E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 provided by CSI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H3" authorId="0" shapeId="0" xr:uid="{B86825FA-656E-409A-9000-97EF6D3AEA88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G4" authorId="0" shapeId="0" xr:uid="{16C88AF7-DFEE-47B8-A625-CC61FEB95199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G4" authorId="0" shapeId="0" xr:uid="{3898B0C5-1EA0-4E1B-9E87-6351C8E4F234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H3" authorId="0" shapeId="0" xr:uid="{05C3CE1B-4412-48C8-A936-BDABB73C788F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H3" authorId="0" shapeId="0" xr:uid="{234ED2C0-6362-4CE9-9749-518ACCA6B4FF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Renea Ostermiller</author>
  </authors>
  <commentList>
    <comment ref="G3" authorId="0" shapeId="0" xr:uid="{EC8EDD35-E047-4CF2-8204-AEFBF95DB0A1}">
      <text>
        <r>
          <rPr>
            <b/>
            <sz val="9"/>
            <color indexed="81"/>
            <rFont val="Tahoma"/>
            <family val="2"/>
          </rPr>
          <t>Renea Ostermiller:</t>
        </r>
        <r>
          <rPr>
            <sz val="9"/>
            <color indexed="81"/>
            <rFont val="Tahoma"/>
            <family val="2"/>
          </rPr>
          <t xml:space="preserve">
Cost for health, dental, vision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<sst xmlns="http://schemas.openxmlformats.org/spreadsheetml/2006/main" count="6800" uniqueCount="1093">
  <si>
    <t>Location</t>
  </si>
  <si>
    <t>Ector</t>
  </si>
  <si>
    <t>Row Labels</t>
  </si>
  <si>
    <t>Sum of FY23</t>
  </si>
  <si>
    <t>Sum of FY23 Growth</t>
  </si>
  <si>
    <t>Rev</t>
  </si>
  <si>
    <t>1882 Partnership</t>
  </si>
  <si>
    <t>Beginning Balance</t>
  </si>
  <si>
    <t>ESSER III</t>
  </si>
  <si>
    <t>ESSER III (carry over)</t>
  </si>
  <si>
    <t>Foundation School Program Tier 1</t>
  </si>
  <si>
    <t>Foundation School Program Tier 2</t>
  </si>
  <si>
    <t>IDEA Part B - SPED</t>
  </si>
  <si>
    <t>IMTA (Instructional Material Technology Allotment)</t>
  </si>
  <si>
    <t>MISC Revenue</t>
  </si>
  <si>
    <t>Network Startup Contribution</t>
  </si>
  <si>
    <t>Other Funding</t>
  </si>
  <si>
    <t>Student Activity Funds</t>
  </si>
  <si>
    <t>TEA School Action Fund Grant (SAF)</t>
  </si>
  <si>
    <t>TEA Start-Up Grant (CSP)</t>
  </si>
  <si>
    <t>Teacher Incentive Allotment</t>
  </si>
  <si>
    <t xml:space="preserve">Title I </t>
  </si>
  <si>
    <t xml:space="preserve">Title II </t>
  </si>
  <si>
    <t>Title III</t>
  </si>
  <si>
    <t xml:space="preserve">Title IV </t>
  </si>
  <si>
    <t>TRS On Behalf</t>
  </si>
  <si>
    <t>Exp</t>
  </si>
  <si>
    <t>5th QTR - Summer School  (SAF)</t>
  </si>
  <si>
    <t>Admin  -  Bonus</t>
  </si>
  <si>
    <t>Admin  - Salaries</t>
  </si>
  <si>
    <t>Admin - Due and Fees (Background checks)</t>
  </si>
  <si>
    <t>Admin - Health Benefits</t>
  </si>
  <si>
    <t>Admin - Life Insurance</t>
  </si>
  <si>
    <t>Admin - Medicare</t>
  </si>
  <si>
    <t>Admin - Purchased Services - ECISD</t>
  </si>
  <si>
    <t>Admin - Purchased Services -- ECISD -- optional</t>
  </si>
  <si>
    <t>Admin - Purchased Services - Network</t>
  </si>
  <si>
    <t>Admin - TRS</t>
  </si>
  <si>
    <t>Admin - TRS CARE</t>
  </si>
  <si>
    <t>Admin - Worker's Comp</t>
  </si>
  <si>
    <t>Admin. Prof. Services -- Legal</t>
  </si>
  <si>
    <t>Audit Services</t>
  </si>
  <si>
    <t>Banking Services</t>
  </si>
  <si>
    <t>Copy Clerks</t>
  </si>
  <si>
    <t>Custodial</t>
  </si>
  <si>
    <t>Dyad Consultants</t>
  </si>
  <si>
    <t>Dyad Consultants for electives</t>
  </si>
  <si>
    <t>DYAD supplies</t>
  </si>
  <si>
    <t>Field Trips</t>
  </si>
  <si>
    <t>Furniture and Equip.</t>
  </si>
  <si>
    <t xml:space="preserve">Instruction -  Purchased Services - PD </t>
  </si>
  <si>
    <t>Instruction - Curriculum</t>
  </si>
  <si>
    <t>Instruction Electronic Media - ESSER III</t>
  </si>
  <si>
    <t>Instruction Supplies</t>
  </si>
  <si>
    <t>Instruction Supplies - HOS</t>
  </si>
  <si>
    <t>Instruction Supplies - Uniforms</t>
  </si>
  <si>
    <t>Instruction Teacher Supplies - Teacher Discretionary</t>
  </si>
  <si>
    <t>Instructional - Health Benefits</t>
  </si>
  <si>
    <t>Instructional - Incentive pay</t>
  </si>
  <si>
    <t>Instructional - Life</t>
  </si>
  <si>
    <t>Instructional - Medicare</t>
  </si>
  <si>
    <t xml:space="preserve">Instructional - salaries </t>
  </si>
  <si>
    <t>Instructional - Stipend (Athletics)</t>
  </si>
  <si>
    <t>Instructional - TRS</t>
  </si>
  <si>
    <t>Instructional - TRS CARE</t>
  </si>
  <si>
    <t>Instructional - Worker's Comp</t>
  </si>
  <si>
    <t>Principal`s Discretionary Budget</t>
  </si>
  <si>
    <t>Property &amp; Liability Insurance</t>
  </si>
  <si>
    <t>School Leadership  - Copiers</t>
  </si>
  <si>
    <t>School Leadership Advertising</t>
  </si>
  <si>
    <t>School Leadership Dues &amp; Fees</t>
  </si>
  <si>
    <t>School Leadership Other Supplies</t>
  </si>
  <si>
    <t>School Leadership Travel</t>
  </si>
  <si>
    <t>Special Ed - Professional Services</t>
  </si>
  <si>
    <t>SPED - Medicare</t>
  </si>
  <si>
    <t>SPED - Worker's Comp</t>
  </si>
  <si>
    <t>SPED Health Benefits</t>
  </si>
  <si>
    <t>SPED Salaries</t>
  </si>
  <si>
    <t>Student travel out-of-state</t>
  </si>
  <si>
    <t>Supplies and equip. -- Athletics</t>
  </si>
  <si>
    <t>Supplies and equip. -- Choir/Band</t>
  </si>
  <si>
    <t>Supplies and equip. -- Other extracurricular</t>
  </si>
  <si>
    <t>Teachers - SUBSTITUTES</t>
  </si>
  <si>
    <t>Teachers Leaders -- Stipend</t>
  </si>
  <si>
    <t>Technology/Instruction Technology</t>
  </si>
  <si>
    <t>Telephone</t>
  </si>
  <si>
    <t>Testing Materials</t>
  </si>
  <si>
    <t>TRS - SPED</t>
  </si>
  <si>
    <t>TRS CARE - SPED</t>
  </si>
  <si>
    <t>Grand Total</t>
  </si>
  <si>
    <t>Rev/Exp</t>
  </si>
  <si>
    <t>Sort B</t>
  </si>
  <si>
    <t>Sort A</t>
  </si>
  <si>
    <t>Type</t>
  </si>
  <si>
    <t>Account Description</t>
  </si>
  <si>
    <t>FY23</t>
  </si>
  <si>
    <t>FY23 Growth</t>
  </si>
  <si>
    <t>AAL</t>
  </si>
  <si>
    <t>Local/Other Sources</t>
  </si>
  <si>
    <t>Pupil Activity Fund Raisers</t>
  </si>
  <si>
    <t xml:space="preserve">Grants &amp; Contributions </t>
  </si>
  <si>
    <t>Charter School Growth Fund</t>
  </si>
  <si>
    <t>State Sources</t>
  </si>
  <si>
    <t>Capital Construction Revenue</t>
  </si>
  <si>
    <t>ECEA</t>
  </si>
  <si>
    <t>ECEA - Gifted &amp; Talented</t>
  </si>
  <si>
    <t>ELPA PD Revenue</t>
  </si>
  <si>
    <t>ELPA Revenue</t>
  </si>
  <si>
    <t>Read Act - FY21</t>
  </si>
  <si>
    <t>Universal Screening Grant</t>
  </si>
  <si>
    <t>Federal Sources</t>
  </si>
  <si>
    <t>Erate Revenue</t>
  </si>
  <si>
    <t>Title I</t>
  </si>
  <si>
    <t>C3</t>
  </si>
  <si>
    <t>Title I - Parent Activities</t>
  </si>
  <si>
    <t>Mendez</t>
  </si>
  <si>
    <t>Title I Grant Funding</t>
  </si>
  <si>
    <t>ESSER II</t>
  </si>
  <si>
    <t>RISE Grant Roll-Over Ending 30 Sept 22</t>
  </si>
  <si>
    <t>State Mill Levy Funding FY21</t>
  </si>
  <si>
    <t>State Revenue</t>
  </si>
  <si>
    <t>On Behalf PERA</t>
  </si>
  <si>
    <t>Salaries</t>
  </si>
  <si>
    <t xml:space="preserve">Instructional Salaries  </t>
  </si>
  <si>
    <t>Purchased Professional Services</t>
  </si>
  <si>
    <t>District Services - IT</t>
  </si>
  <si>
    <t>Unemployment Insurance</t>
  </si>
  <si>
    <t>Workers Comp Insurance</t>
  </si>
  <si>
    <t>Purchased Professional Services (DYAD)</t>
  </si>
  <si>
    <t>Contracted Substitutes (0010)</t>
  </si>
  <si>
    <t>Special Education Purchased Prof Services</t>
  </si>
  <si>
    <t>Instruction Technology Purchased Services</t>
  </si>
  <si>
    <t>Legal Services</t>
  </si>
  <si>
    <t>School Admin Purchased Professional Services</t>
  </si>
  <si>
    <t>Business Services Fees</t>
  </si>
  <si>
    <t>Business Services Banking</t>
  </si>
  <si>
    <t>Business Services Cont. Accounting Services</t>
  </si>
  <si>
    <t>Purchased Property Services</t>
  </si>
  <si>
    <t>School Admin Rental of Equipment (Printers)</t>
  </si>
  <si>
    <t>School Admin Vehicle Lease</t>
  </si>
  <si>
    <t>Debt Service Loan Interest</t>
  </si>
  <si>
    <t>Debt Service Loan Principal</t>
  </si>
  <si>
    <t>Capital Lease Improvements</t>
  </si>
  <si>
    <t>Custodial Services</t>
  </si>
  <si>
    <t>Water &amp; Sewer</t>
  </si>
  <si>
    <t>Trash Service</t>
  </si>
  <si>
    <t>Grounds Maintenance and CAM</t>
  </si>
  <si>
    <t>Repair &amp; Maintenance (Equipment)</t>
  </si>
  <si>
    <t>Building Lease</t>
  </si>
  <si>
    <t>East Campus Building Lease</t>
  </si>
  <si>
    <t>West Campus Building Lease</t>
  </si>
  <si>
    <t>Waste Removal Services</t>
  </si>
  <si>
    <t>Security Services</t>
  </si>
  <si>
    <t>Instructional Salaries - Stipends</t>
  </si>
  <si>
    <t>Instructional Salaries - Incentive Pay</t>
  </si>
  <si>
    <t>Benefits</t>
  </si>
  <si>
    <t>Medicare - Instructional</t>
  </si>
  <si>
    <t>PERA - Instruction</t>
  </si>
  <si>
    <t>Medical (all employees)</t>
  </si>
  <si>
    <t>Unemployment Insurance (all employees)</t>
  </si>
  <si>
    <t>Workers Comp Insurance (all employees)</t>
  </si>
  <si>
    <t>Life Insurance (all employees)</t>
  </si>
  <si>
    <t>Medicare - SPED</t>
  </si>
  <si>
    <t>PERA - SPED</t>
  </si>
  <si>
    <t>Admin Salaries</t>
  </si>
  <si>
    <t>Admin Salaries - Stipends</t>
  </si>
  <si>
    <t>Admin Salaries - Bonuses</t>
  </si>
  <si>
    <t>Medicare - Admin</t>
  </si>
  <si>
    <t>PERA - ADMIN</t>
  </si>
  <si>
    <t>Dues &amp; Fees/Interest</t>
  </si>
  <si>
    <t>School Admin Dues &amp; Fees</t>
  </si>
  <si>
    <t>Facilities Dues &amp; Fees</t>
  </si>
  <si>
    <t>Materials and Equipment</t>
  </si>
  <si>
    <t>Non-Capital Equipment (Instruc 0010)</t>
  </si>
  <si>
    <t>SPED Non Capital Equipment</t>
  </si>
  <si>
    <t>Instruction Based Technology Equipment</t>
  </si>
  <si>
    <t>Chromebooks</t>
  </si>
  <si>
    <t>Other Dyad equipment and materials</t>
  </si>
  <si>
    <t>After-school activities</t>
  </si>
  <si>
    <t>Admin Non Capital Equipment</t>
  </si>
  <si>
    <t>Food Service Capital Equipment</t>
  </si>
  <si>
    <t>Materials and Supplies</t>
  </si>
  <si>
    <t>Textbooks</t>
  </si>
  <si>
    <t xml:space="preserve">Electronic Media (Instruc 0010) </t>
  </si>
  <si>
    <t>Uniforms</t>
  </si>
  <si>
    <t>Instructional Supplies</t>
  </si>
  <si>
    <t>Teacher Discretionary Supplies</t>
  </si>
  <si>
    <t>Student Incentive Supplies (Habits of Success)</t>
  </si>
  <si>
    <t>SPED Supplies (Nursing)</t>
  </si>
  <si>
    <t>School Admin Supplies</t>
  </si>
  <si>
    <t>Admin Principal Discretionary Supplies</t>
  </si>
  <si>
    <t>Custodial Supplies</t>
  </si>
  <si>
    <t>Gas &amp; Electric</t>
  </si>
  <si>
    <t>Transportation - Fuel</t>
  </si>
  <si>
    <t>Central Support Supplies (Tech Supplies)</t>
  </si>
  <si>
    <t>Food Service Fees (authorizer)</t>
  </si>
  <si>
    <t>SPED Fee (authorizer)</t>
  </si>
  <si>
    <t>CLDE District Fee</t>
  </si>
  <si>
    <t>CDE Admin Fee</t>
  </si>
  <si>
    <t>Other Purchased Services</t>
  </si>
  <si>
    <t>Liason Fee (authorizer 2300) CSI admin fee (3%)</t>
  </si>
  <si>
    <t>APS Business Services Fee (authorizer)</t>
  </si>
  <si>
    <t>Network Expenses (on Network tab)</t>
  </si>
  <si>
    <t>Services from Others (authorizer)</t>
  </si>
  <si>
    <t>School Admin Advertising</t>
  </si>
  <si>
    <t>Student travel</t>
  </si>
  <si>
    <t>Student field trips</t>
  </si>
  <si>
    <r>
      <t xml:space="preserve">5th Quarter </t>
    </r>
    <r>
      <rPr>
        <sz val="11"/>
        <color rgb="FF0000FF"/>
        <rFont val="Calibri"/>
        <family val="2"/>
      </rPr>
      <t xml:space="preserve"> (ESSER III)</t>
    </r>
  </si>
  <si>
    <t>Admin Other Purch Svcs</t>
  </si>
  <si>
    <t>School Admin Student Data Base</t>
  </si>
  <si>
    <t>Admin CLDE Professional Development</t>
  </si>
  <si>
    <t>Internet Service</t>
  </si>
  <si>
    <t>Transportation Purchased Services</t>
  </si>
  <si>
    <t>Central Support Services Internet</t>
  </si>
  <si>
    <t>Central Support Services Telephone</t>
  </si>
  <si>
    <t>C2</t>
  </si>
  <si>
    <t>SHES</t>
  </si>
  <si>
    <t>Title I Homeless</t>
  </si>
  <si>
    <t>Title IA</t>
  </si>
  <si>
    <t>Title IA - Parent Activities</t>
  </si>
  <si>
    <t>IDEA (ARP)</t>
  </si>
  <si>
    <t>State`</t>
  </si>
  <si>
    <t>At-Risk Per Pupil</t>
  </si>
  <si>
    <r>
      <t xml:space="preserve">Instructional Salaries  </t>
    </r>
    <r>
      <rPr>
        <sz val="11"/>
        <color rgb="FF0000FF"/>
        <rFont val="Calibri"/>
        <family val="2"/>
      </rPr>
      <t>($180K from ESSER III)</t>
    </r>
  </si>
  <si>
    <t>Medicare - Instruction</t>
  </si>
  <si>
    <t>PERA - Admin</t>
  </si>
  <si>
    <t>Electronic Media (Instruc 0010)</t>
  </si>
  <si>
    <t xml:space="preserve">5th Quarter  </t>
  </si>
  <si>
    <t>Building Lease or mortgage</t>
  </si>
  <si>
    <t>Title II Revenue</t>
  </si>
  <si>
    <t>Title IIA</t>
  </si>
  <si>
    <r>
      <t xml:space="preserve">Instructional Salaries  </t>
    </r>
    <r>
      <rPr>
        <sz val="11"/>
        <color rgb="FF0000FF"/>
        <rFont val="Calibri"/>
        <family val="2"/>
      </rPr>
      <t>($240K from ESSER III)</t>
    </r>
  </si>
  <si>
    <r>
      <t xml:space="preserve">Electronic Media (Instruc 0010) </t>
    </r>
    <r>
      <rPr>
        <sz val="11"/>
        <color rgb="FF0000FF"/>
        <rFont val="Calibri"/>
        <family val="2"/>
      </rPr>
      <t>($30K from ESSER III)</t>
    </r>
  </si>
  <si>
    <t>CDE Admin Fee (1% PPR)</t>
  </si>
  <si>
    <t>Business Services Fee (authorizer)</t>
  </si>
  <si>
    <t>Title III ELLA</t>
  </si>
  <si>
    <t>Teacher/Learning Coach - Salaries</t>
  </si>
  <si>
    <t>Teacher/Learning Coach - Stipends</t>
  </si>
  <si>
    <t>Teacher/Learning Coach - Bonus</t>
  </si>
  <si>
    <t>Teacher/Learning Coach - Benefits</t>
  </si>
  <si>
    <t>SPED salaries</t>
  </si>
  <si>
    <t>School Leadership - Salaries</t>
  </si>
  <si>
    <t>School Leadership - Benefits</t>
  </si>
  <si>
    <t xml:space="preserve">Benefits </t>
  </si>
  <si>
    <t>Copy Clerks (1099)</t>
  </si>
  <si>
    <t xml:space="preserve">5th QTR </t>
  </si>
  <si>
    <r>
      <t xml:space="preserve">5th QTR - Summer School  </t>
    </r>
    <r>
      <rPr>
        <sz val="11"/>
        <color rgb="FFFF0000"/>
        <rFont val="Calibri"/>
        <family val="2"/>
      </rPr>
      <t>(SAF)</t>
    </r>
  </si>
  <si>
    <t>Instruct Substitutes</t>
  </si>
  <si>
    <t>Admin - Purchased Services</t>
  </si>
  <si>
    <t>Instruct - Purchased Services</t>
  </si>
  <si>
    <t>Instruct - Materials and Supplies</t>
  </si>
  <si>
    <r>
      <t xml:space="preserve">Instruction Electronic Media - </t>
    </r>
    <r>
      <rPr>
        <sz val="11"/>
        <color rgb="FFFF0000"/>
        <rFont val="Calibri"/>
        <family val="2"/>
      </rPr>
      <t>ESSER III</t>
    </r>
  </si>
  <si>
    <t>Purchased Services</t>
  </si>
  <si>
    <t>Supplies and equip.</t>
  </si>
  <si>
    <t>Admin - Materials and Supplies</t>
  </si>
  <si>
    <t xml:space="preserve">Admin - Dues &amp; Fees </t>
  </si>
  <si>
    <t>Marketing</t>
  </si>
  <si>
    <t>Other purchases services</t>
  </si>
  <si>
    <t>Foundation School Program</t>
  </si>
  <si>
    <t>Title IIIA ELLA</t>
  </si>
  <si>
    <t>Title IV</t>
  </si>
  <si>
    <t>21St Century Comm Learning Center</t>
  </si>
  <si>
    <t>Replication Grant</t>
  </si>
  <si>
    <t>School Action Fund (SAF)</t>
  </si>
  <si>
    <t>TFS Network start-up contribution</t>
  </si>
  <si>
    <t>TOSA</t>
  </si>
  <si>
    <t xml:space="preserve">Teacher Leaders </t>
  </si>
  <si>
    <t>DYAD  - Salaries</t>
  </si>
  <si>
    <t>DYAD  -  Bonus</t>
  </si>
  <si>
    <t>DYAD - Medicare</t>
  </si>
  <si>
    <t>DYAD - Life Insurance</t>
  </si>
  <si>
    <t>DYAD - Health Benefits</t>
  </si>
  <si>
    <t>DYAD - Worker's Comp</t>
  </si>
  <si>
    <t>DYAD - TRS</t>
  </si>
  <si>
    <t>DYAD - TRS CARE</t>
  </si>
  <si>
    <t xml:space="preserve">5th QTR - Summer School </t>
  </si>
  <si>
    <t>Admin - Purchased Services - AISD</t>
  </si>
  <si>
    <t>Admin - Purchased Services -- AISD -- optional</t>
  </si>
  <si>
    <t>Furniture and Equip. (CSP grant)</t>
  </si>
  <si>
    <t>Instruction -  Purchased Services - PD (CSP)</t>
  </si>
  <si>
    <t>Instruction - Technology Equip. (CSP grant)</t>
  </si>
  <si>
    <t>Instruction Curriculum</t>
  </si>
  <si>
    <t>Instruction Electronic Media - Testing Material</t>
  </si>
  <si>
    <t>Instruction Electronic Media - (CSP grant)</t>
  </si>
  <si>
    <t>DYAD supplies (start up equip. -- CSP grant)</t>
  </si>
  <si>
    <t>Dyad Consultants (Coordinator -- CSP grant)</t>
  </si>
  <si>
    <t>Field Trips and activities</t>
  </si>
  <si>
    <t>Network</t>
  </si>
  <si>
    <t xml:space="preserve">Service Fees </t>
  </si>
  <si>
    <t>Service Fees from AAL</t>
  </si>
  <si>
    <t>Service Fees from C2</t>
  </si>
  <si>
    <t>Service Fees from C3</t>
  </si>
  <si>
    <t>Service Fees from SHES</t>
  </si>
  <si>
    <t>Service Fees from ECP</t>
  </si>
  <si>
    <t>Service Fees from Mendez</t>
  </si>
  <si>
    <t>Service Fees from 2 expansion schools</t>
  </si>
  <si>
    <t>Grants &amp; contributions</t>
  </si>
  <si>
    <t>Charter School Growth Fund Grant</t>
  </si>
  <si>
    <t>Undesignated Grants</t>
  </si>
  <si>
    <t>Network Salaries</t>
  </si>
  <si>
    <t>Network Bonuses</t>
  </si>
  <si>
    <t>Network - Medicare</t>
  </si>
  <si>
    <t>Network - Workers Comp Insurance</t>
  </si>
  <si>
    <t>Network  - Unemployment Insurance</t>
  </si>
  <si>
    <t>Network - PERA</t>
  </si>
  <si>
    <t>Network - Medical</t>
  </si>
  <si>
    <t>Network - Life</t>
  </si>
  <si>
    <t>CEO car/travel allowance</t>
  </si>
  <si>
    <t>LSAE Curriculum Developers</t>
  </si>
  <si>
    <t>LSAE Curriculum Developers - PERA</t>
  </si>
  <si>
    <t>LSAE Curriculum Developers - Medical</t>
  </si>
  <si>
    <t>Network TOSAs</t>
  </si>
  <si>
    <t>TOSAs - PERA</t>
  </si>
  <si>
    <t>TOSAs Medical</t>
  </si>
  <si>
    <t>Central staff dues and fees</t>
  </si>
  <si>
    <t>Facilities</t>
  </si>
  <si>
    <t>Network capital improvements</t>
  </si>
  <si>
    <t>Network support for new schools</t>
  </si>
  <si>
    <t>SRT evaluation team</t>
  </si>
  <si>
    <t>Furniture, Fixtures &amp; Equipement</t>
  </si>
  <si>
    <t>furniture and equipment for East office</t>
  </si>
  <si>
    <t>furniture and equipment for schools</t>
  </si>
  <si>
    <t>Network staff supplies</t>
  </si>
  <si>
    <t>Board supplies</t>
  </si>
  <si>
    <t>Purchased services</t>
  </si>
  <si>
    <t>Misc purchased services</t>
  </si>
  <si>
    <t>Network Property &amp; Liability Insurance</t>
  </si>
  <si>
    <t>Core Team DNO insurance</t>
  </si>
  <si>
    <t>Board PD and Travel</t>
  </si>
  <si>
    <t>Travel</t>
  </si>
  <si>
    <t>Network staff travel</t>
  </si>
  <si>
    <t>Network Audit Services</t>
  </si>
  <si>
    <t>Network Banking</t>
  </si>
  <si>
    <t>Network Business Services Cont. Accounting Services</t>
  </si>
  <si>
    <t>Network Technical Services</t>
  </si>
  <si>
    <t>Network Rental of Equipment (Printers)</t>
  </si>
  <si>
    <t>Title IV Revenue</t>
  </si>
  <si>
    <r>
      <t xml:space="preserve">Instructional - salaries </t>
    </r>
    <r>
      <rPr>
        <sz val="11"/>
        <color rgb="FF0000FF"/>
        <rFont val="Calibri"/>
        <family val="2"/>
      </rPr>
      <t>($275K from ESSER)</t>
    </r>
  </si>
  <si>
    <t>Instructional - Life Insurance</t>
  </si>
  <si>
    <r>
      <t xml:space="preserve">5th QTR - Summer School  </t>
    </r>
    <r>
      <rPr>
        <sz val="11"/>
        <color rgb="FFFF0000"/>
        <rFont val="Calibri"/>
        <family val="2"/>
      </rPr>
      <t>(ESSER III)</t>
    </r>
  </si>
  <si>
    <t>Admin - Purchased Services - MISD</t>
  </si>
  <si>
    <t>Admin - Purchased Services -- MISD -- optional</t>
  </si>
  <si>
    <t>Instruction - Technology</t>
  </si>
  <si>
    <t>CO Account Numbers (Hide Column)</t>
  </si>
  <si>
    <t>Lamar</t>
  </si>
  <si>
    <t>ECP</t>
  </si>
  <si>
    <t>Current Budget</t>
  </si>
  <si>
    <t>Average daily Attendance</t>
  </si>
  <si>
    <t>Physical Count</t>
  </si>
  <si>
    <t>Funded Pupil Count</t>
  </si>
  <si>
    <t>Per Pupil Revenue</t>
  </si>
  <si>
    <t>Per Pupil Mill/1882</t>
  </si>
  <si>
    <t>23-24 Budget</t>
  </si>
  <si>
    <t>REVENUE</t>
  </si>
  <si>
    <t>Foundation School Program Texas/ Colorado PPR (Per Pupil Revenue)</t>
  </si>
  <si>
    <t>1882 Partnership Texas/ Colorado Mill Levy Equalization Funding</t>
  </si>
  <si>
    <t>Capital Construction</t>
  </si>
  <si>
    <t>Title IA - Homeless</t>
  </si>
  <si>
    <t>Title IA - Parent Activities/Home Improvement</t>
  </si>
  <si>
    <t>Title IIIA  ELLA</t>
  </si>
  <si>
    <t xml:space="preserve"> ESSER III</t>
  </si>
  <si>
    <t>On Behalf PERA / TRS</t>
  </si>
  <si>
    <t>USDA School Lunch Program</t>
  </si>
  <si>
    <t>Federal Funds and Grants</t>
  </si>
  <si>
    <t>Sale of Land</t>
  </si>
  <si>
    <t xml:space="preserve">Ernest Money </t>
  </si>
  <si>
    <t>TFS Network Share</t>
  </si>
  <si>
    <t>MISC Revenue (Curr. Devel. From schools)</t>
  </si>
  <si>
    <t>Center Based Support</t>
  </si>
  <si>
    <t xml:space="preserve">Network Fees From the Campus </t>
  </si>
  <si>
    <t>Local Funds</t>
  </si>
  <si>
    <t>TOTAL REVENUES</t>
  </si>
  <si>
    <t>EXPENSES</t>
  </si>
  <si>
    <t xml:space="preserve">Instructional - Salaries  </t>
  </si>
  <si>
    <t>Instructional - Stipends</t>
  </si>
  <si>
    <t>Instructional - Incentive Pay</t>
  </si>
  <si>
    <t>Instructional - Payroll Benefits (See Staffing Sheet for Details)</t>
  </si>
  <si>
    <t>Instructional - Salaries &amp; Benefits</t>
  </si>
  <si>
    <t>SPED - Salaries</t>
  </si>
  <si>
    <t xml:space="preserve">  SPED - Incentive Pay</t>
  </si>
  <si>
    <t>SPED - Payroll Benefits (See Staffing Sheet for Details)</t>
  </si>
  <si>
    <t>SPED Center Support Salaries</t>
  </si>
  <si>
    <t>SPED Center Support - Benefits  (See Staffing Sheet for Details)</t>
  </si>
  <si>
    <t>SPED - Salaries &amp; Benefits</t>
  </si>
  <si>
    <t>Admin - Salaries</t>
  </si>
  <si>
    <t>Admin - Bonuses</t>
  </si>
  <si>
    <t>Admin - Stipends</t>
  </si>
  <si>
    <t>ADMIN- Payroll Benefits  (See Staffing Sheet for Details)</t>
  </si>
  <si>
    <t>All Staff Health Benefits</t>
  </si>
  <si>
    <t>All staff -- 401K</t>
  </si>
  <si>
    <t>SRT evaluation team (2 - 1099 contracted consultants)</t>
  </si>
  <si>
    <t>LSAE Curriculum Developers (LCD) and SOR ($300,000)</t>
  </si>
  <si>
    <t>LSAE Curriculum  Developers - Payroll Benefits</t>
  </si>
  <si>
    <t>Network TOSAs (6)</t>
  </si>
  <si>
    <t>Network TOSAs - Payroll Benefits  (See Staffing Sheet for Details)</t>
  </si>
  <si>
    <t>Admin - Salaries &amp; Benefits</t>
  </si>
  <si>
    <t>Payroll Expenses</t>
  </si>
  <si>
    <t xml:space="preserve">Dyad Consultants </t>
  </si>
  <si>
    <t>Dyad Consultants Electives</t>
  </si>
  <si>
    <t>On Behalf PERA/TRS</t>
  </si>
  <si>
    <t>Admin Dues &amp; Fees</t>
  </si>
  <si>
    <t>SPED Fee (authorizer)Fee Liason Fee</t>
  </si>
  <si>
    <t>Network Support (Calculated from Tab Network Fees)</t>
  </si>
  <si>
    <t xml:space="preserve">Support </t>
  </si>
  <si>
    <t>Furniture and equipment for East office</t>
  </si>
  <si>
    <t>Furniture and equipment</t>
  </si>
  <si>
    <t xml:space="preserve">  Instruction - Technology</t>
  </si>
  <si>
    <t xml:space="preserve">  IT / Software Fees</t>
  </si>
  <si>
    <t>Technical Services</t>
  </si>
  <si>
    <t>Dyad equipment and materials/ Supplies</t>
  </si>
  <si>
    <t xml:space="preserve">  Supplies and equip. -- Athletics</t>
  </si>
  <si>
    <t xml:space="preserve">  Supplies and equip. -- Choir/Band</t>
  </si>
  <si>
    <t xml:space="preserve">  Supplies and equip. -- Other extracurricular</t>
  </si>
  <si>
    <t xml:space="preserve">  Instruction Electronic Media - Testing Material</t>
  </si>
  <si>
    <t xml:space="preserve">  Instruction Curriculum (instructional maps and LCD lesson plans)</t>
  </si>
  <si>
    <t xml:space="preserve">  Instruction Teacher Supplies - Teacher Discretionary</t>
  </si>
  <si>
    <t>Central Support Supplies (Physics in a Box)</t>
  </si>
  <si>
    <t xml:space="preserve">  Board supplies</t>
  </si>
  <si>
    <t>Admin Supplies</t>
  </si>
  <si>
    <t xml:space="preserve">  School Leadership- Other Supplies</t>
  </si>
  <si>
    <t>Principal Discretionary Supplies</t>
  </si>
  <si>
    <t>Gas &amp; Electric /Utilities</t>
  </si>
  <si>
    <t>School Admin Advertising/ Communications</t>
  </si>
  <si>
    <t>Supplies and Materials</t>
  </si>
  <si>
    <r>
      <t xml:space="preserve">Student travel </t>
    </r>
    <r>
      <rPr>
        <sz val="11"/>
        <color rgb="FF0000FF"/>
        <rFont val="Calibri"/>
        <family val="2"/>
      </rPr>
      <t>(additional grant funds needed)</t>
    </r>
  </si>
  <si>
    <t xml:space="preserve">  Board PD and Travel</t>
  </si>
  <si>
    <t xml:space="preserve">  Admin Travel</t>
  </si>
  <si>
    <t>School Admin Student Data Base - APS</t>
  </si>
  <si>
    <t>Admin CLDE Professional Development - APS</t>
  </si>
  <si>
    <t>SPED Professional Services</t>
  </si>
  <si>
    <t>Instruction Purchased service-PD ($40,000 for Teacher PD)</t>
  </si>
  <si>
    <t xml:space="preserve">  Core Team DNO insurance</t>
  </si>
  <si>
    <t xml:space="preserve">  Network Technical Services</t>
  </si>
  <si>
    <t>Accounting Services</t>
  </si>
  <si>
    <t>Purchased Professional Services / Background Checks</t>
  </si>
  <si>
    <t xml:space="preserve">  Misc purchased services</t>
  </si>
  <si>
    <t>Rental of Equipment (Printers)</t>
  </si>
  <si>
    <t>Professional Services</t>
  </si>
  <si>
    <t xml:space="preserve">  Copiers</t>
  </si>
  <si>
    <t>Waste Removal / Trash Services</t>
  </si>
  <si>
    <t>11XX.XXX.00.2600.0430.000.0000</t>
  </si>
  <si>
    <t>Building Lease/Mortgage</t>
  </si>
  <si>
    <t>Debt Service/Bond Intercept</t>
  </si>
  <si>
    <t>Other Operating Expenses</t>
  </si>
  <si>
    <t>Total Expenses</t>
  </si>
  <si>
    <t>Net (Revenue - Expenses)</t>
  </si>
  <si>
    <t>Beginning Balance (unaudited projected balance)</t>
  </si>
  <si>
    <t>Ending Fund Balance (unaudited projected balance)</t>
  </si>
  <si>
    <t>Tabor</t>
  </si>
  <si>
    <t>N/A</t>
  </si>
  <si>
    <t>SPED</t>
  </si>
  <si>
    <t>UnRestricted Fund Balance</t>
  </si>
  <si>
    <t>2022-23 Summary of Finance Updated September 2, 2022</t>
  </si>
  <si>
    <t xml:space="preserve">Mendez </t>
  </si>
  <si>
    <t>SOF 2 Sept 22</t>
  </si>
  <si>
    <t>Austin ISD Estimate</t>
  </si>
  <si>
    <t>RADA</t>
  </si>
  <si>
    <t>Total Tier 1 Entitlement</t>
  </si>
  <si>
    <t>Total Tier 2 Entitlement</t>
  </si>
  <si>
    <t>Total Foundation Funding</t>
  </si>
  <si>
    <t>Per Pupil Foundation</t>
  </si>
  <si>
    <t>10% 1882 goes to District</t>
  </si>
  <si>
    <t>Charter Facilities</t>
  </si>
  <si>
    <t>Total 1882 to TFS</t>
  </si>
  <si>
    <t>Per Pupil 1882</t>
  </si>
  <si>
    <t>Total Rev</t>
  </si>
  <si>
    <t>Total Per Pupil</t>
  </si>
  <si>
    <t>Enrolled</t>
  </si>
  <si>
    <t>ADA</t>
  </si>
  <si>
    <t>New Enrollment RADA</t>
  </si>
  <si>
    <t>Adjusted Foundation</t>
  </si>
  <si>
    <t>Adjusted 1882</t>
  </si>
  <si>
    <t>Total Funding</t>
  </si>
  <si>
    <t>TFS FY23 BUDGETS</t>
  </si>
  <si>
    <t>NETWORK</t>
  </si>
  <si>
    <t>Approved FY23</t>
  </si>
  <si>
    <t>State Sources TX</t>
  </si>
  <si>
    <t>Foundation School Program/ State Revenue</t>
  </si>
  <si>
    <t>1882 Partnership/ State Mill Levy Funding</t>
  </si>
  <si>
    <t>Other Funding/Undesignated Grants</t>
  </si>
  <si>
    <t>Network Fees</t>
  </si>
  <si>
    <t>Network Salaries &amp; Bonuses</t>
  </si>
  <si>
    <t>Network Benefits (See Staffing Sheet for Details)</t>
  </si>
  <si>
    <t>Instructional - Benefits (See Staffing Sheet for Details)</t>
  </si>
  <si>
    <t>SPED - Benefits (See Staffing Sheet for Details)</t>
  </si>
  <si>
    <t>Admin - Bonuses - Are we missing any?</t>
  </si>
  <si>
    <t>Admin - Stipends - Can I delete this line?</t>
  </si>
  <si>
    <t>ADMIN- Benefits  (See Staffing Sheet for Details)</t>
  </si>
  <si>
    <t>SRT evaluation team (does this get benefits?)</t>
  </si>
  <si>
    <t>LSAE Curriculum Developers (do they get benefits?)</t>
  </si>
  <si>
    <t>LSAE Curriculum Developers - Benefits</t>
  </si>
  <si>
    <t>Network TOSAs (4)</t>
  </si>
  <si>
    <t>Network TOSAs - Benefits  (See Staffing Sheet for Details)</t>
  </si>
  <si>
    <t xml:space="preserve">  Network Property &amp; Liability Insurance</t>
  </si>
  <si>
    <t>School Leadership Dues and Fees</t>
  </si>
  <si>
    <t>SPED Fee (authorizer) - APS</t>
  </si>
  <si>
    <t>Furniture and equipment for schools</t>
  </si>
  <si>
    <t>Furniture and Equip</t>
  </si>
  <si>
    <t>Other Dyad equipment and materials/ Supplies</t>
  </si>
  <si>
    <t xml:space="preserve">  Instruction Curriculum</t>
  </si>
  <si>
    <r>
      <t xml:space="preserve">  Instruction Electronic Media - </t>
    </r>
    <r>
      <rPr>
        <sz val="11"/>
        <color rgb="FFFF0000"/>
        <rFont val="Calibri"/>
        <family val="2"/>
      </rPr>
      <t>ESSER III</t>
    </r>
  </si>
  <si>
    <t xml:space="preserve">  Instruction Supplies</t>
  </si>
  <si>
    <t xml:space="preserve">  Instruction Supplies - Uniforms</t>
  </si>
  <si>
    <t xml:space="preserve">  Instruction Supplies - HOS</t>
  </si>
  <si>
    <t>Liason Fee /District Support Fee - APS</t>
  </si>
  <si>
    <t>Business Services Fee (authorizer) - APS</t>
  </si>
  <si>
    <t>Bond Intercept Payment - APS</t>
  </si>
  <si>
    <t>Nutrition Services Fees - APS</t>
  </si>
  <si>
    <t>Services from Others (authorizer) - APS</t>
  </si>
  <si>
    <t xml:space="preserve">  Network staff travel</t>
  </si>
  <si>
    <t>Instruction Purchased service-PD</t>
  </si>
  <si>
    <t xml:space="preserve">  Admin - Purchased Services - MISD/ ESISD/ASID</t>
  </si>
  <si>
    <t xml:space="preserve">  Admin - Purchased Services -- MISD/ESISD/ASID -- optional</t>
  </si>
  <si>
    <t xml:space="preserve">  School Leadership- Copies</t>
  </si>
  <si>
    <t xml:space="preserve">  Property &amp; Liability Insurance</t>
  </si>
  <si>
    <t xml:space="preserve">  Network Banking</t>
  </si>
  <si>
    <t xml:space="preserve">  Network Business Services Cont. Accounting Services</t>
  </si>
  <si>
    <t xml:space="preserve">  Network Rental of Equipment (Printers)</t>
  </si>
  <si>
    <t>TOTAL EXPENSES</t>
  </si>
  <si>
    <t>NET</t>
  </si>
  <si>
    <t>Sort Order</t>
  </si>
  <si>
    <t>This determins the</t>
  </si>
  <si>
    <t>I will hide</t>
  </si>
  <si>
    <t>SRT evaluation team (do they get benefits?) How many people?</t>
  </si>
  <si>
    <t>LSAE Curriculum Developers (do they get benefits?) or is this stipend</t>
  </si>
  <si>
    <t>5th Quarter</t>
  </si>
  <si>
    <t>School Admin Dues &amp; Fees - Can thse be combined to one Line?</t>
  </si>
  <si>
    <t>Liason Fee /District Support Fee</t>
  </si>
  <si>
    <t xml:space="preserve">  CLDE District Fee?? Can I Delete</t>
  </si>
  <si>
    <t>Food Service Capital Equipment - Can I delete these?</t>
  </si>
  <si>
    <t>Principal Discretionary Supplies - Can I delete?</t>
  </si>
  <si>
    <t>Admin Other Purch Svcs - Can I delete?</t>
  </si>
  <si>
    <t>Central Support Services Internet - Can I move these to network?</t>
  </si>
  <si>
    <t>Debt Service</t>
  </si>
  <si>
    <t>Third Future Schools -- FY23 Draft Budget</t>
  </si>
  <si>
    <t>Revised 14 July 22</t>
  </si>
  <si>
    <t>Verified</t>
  </si>
  <si>
    <t>Sort</t>
  </si>
  <si>
    <t>FY24</t>
  </si>
  <si>
    <t>FY25</t>
  </si>
  <si>
    <t>FY26</t>
  </si>
  <si>
    <t>FY27</t>
  </si>
  <si>
    <t>Mike's Estimate</t>
  </si>
  <si>
    <t>Service Fees - AAL</t>
  </si>
  <si>
    <t>csgf</t>
  </si>
  <si>
    <t>Service Fees - C2</t>
  </si>
  <si>
    <t>Service Fees - C3</t>
  </si>
  <si>
    <t>SH</t>
  </si>
  <si>
    <t>Service Fees - SHES</t>
  </si>
  <si>
    <t>Service Fees - ECP</t>
  </si>
  <si>
    <t>Service Fees - Mendez</t>
  </si>
  <si>
    <t>CSGF Grant</t>
  </si>
  <si>
    <t>Network Beginning Balance</t>
  </si>
  <si>
    <t>Network - Salaries + Bonuses</t>
  </si>
  <si>
    <t>Network - Benefits (Detail on Staffing Sheet)</t>
  </si>
  <si>
    <t>LSAE Curriculum Developers Salaries</t>
  </si>
  <si>
    <t>Network TOSAs - Benefits</t>
  </si>
  <si>
    <t>IT / Software Fees</t>
  </si>
  <si>
    <t>Revenues over Expenditures</t>
  </si>
  <si>
    <t>Ending Funding Balance</t>
  </si>
  <si>
    <t>Check Sums</t>
  </si>
  <si>
    <t>This Sheet</t>
  </si>
  <si>
    <t>Master</t>
  </si>
  <si>
    <t>Check</t>
  </si>
  <si>
    <t>Revenues</t>
  </si>
  <si>
    <t>Expenditures</t>
  </si>
  <si>
    <t xml:space="preserve">Capital Budgets </t>
  </si>
  <si>
    <t>Fiscal Year 2023</t>
  </si>
  <si>
    <t xml:space="preserve">Current </t>
  </si>
  <si>
    <t>Budget</t>
  </si>
  <si>
    <t>9.23.2022</t>
  </si>
  <si>
    <t>Acadamhy of Advanced Learning</t>
  </si>
  <si>
    <t>Coperni 2</t>
  </si>
  <si>
    <t>Coperni 3</t>
  </si>
  <si>
    <t>Sam Houston</t>
  </si>
  <si>
    <t>Please note if a repair extends the life of a building or a compent of the build</t>
  </si>
  <si>
    <t xml:space="preserve">It would be considered capital construction. </t>
  </si>
  <si>
    <t>Third Future Schools</t>
  </si>
  <si>
    <t xml:space="preserve">Newwork Expense Split </t>
  </si>
  <si>
    <t>Expenses Percentage by School</t>
  </si>
  <si>
    <t>Enrollment</t>
  </si>
  <si>
    <t>Total</t>
  </si>
  <si>
    <t>Extor</t>
  </si>
  <si>
    <t>Percentage Expense Split 9.26.22</t>
  </si>
  <si>
    <t>Position</t>
  </si>
  <si>
    <t>Health</t>
  </si>
  <si>
    <t>PERA</t>
  </si>
  <si>
    <t>Medicare</t>
  </si>
  <si>
    <t>Workers Comp</t>
  </si>
  <si>
    <t>Unemployment</t>
  </si>
  <si>
    <t>Life</t>
  </si>
  <si>
    <t>Salary Plus</t>
  </si>
  <si>
    <t xml:space="preserve">Total </t>
  </si>
  <si>
    <t>Bonus</t>
  </si>
  <si>
    <t>Compensation</t>
  </si>
  <si>
    <t>AAL -- FY23-FY27 Draft Budget</t>
  </si>
  <si>
    <t>Approved 23 June 22</t>
  </si>
  <si>
    <t>SORT</t>
  </si>
  <si>
    <t xml:space="preserve"> Approved FY23</t>
  </si>
  <si>
    <t>Average Daily Attendance</t>
  </si>
  <si>
    <t>Per APS</t>
  </si>
  <si>
    <t>Mike there is some debate about these numbers</t>
  </si>
  <si>
    <t>Waiting on Jessica to complete RFFs for FY22</t>
  </si>
  <si>
    <t>Coronovirus Relief Fund</t>
  </si>
  <si>
    <t>Interfund Transfer -- General Funds</t>
  </si>
  <si>
    <t>Mike - this is correct for 900 kids per APS</t>
  </si>
  <si>
    <t>Instructional - Benefits</t>
  </si>
  <si>
    <t>SPED - Benfits</t>
  </si>
  <si>
    <t>Admin - Benfits</t>
  </si>
  <si>
    <t>TABOR Reserves</t>
  </si>
  <si>
    <t>SPED Reserves</t>
  </si>
  <si>
    <t>Not to exceed $90K</t>
  </si>
  <si>
    <t>Reserved Fund Balance</t>
  </si>
  <si>
    <t>Unreserved Fund Balance</t>
  </si>
  <si>
    <t>Can't be more than 15% of Revenues</t>
  </si>
  <si>
    <t>FUND Balance (Reserved + Unreserved)</t>
  </si>
  <si>
    <t>Per Pupil Network Fee</t>
  </si>
  <si>
    <t>School Revenue</t>
  </si>
  <si>
    <t>%</t>
  </si>
  <si>
    <t>Network Fee</t>
  </si>
  <si>
    <t>TOTAL</t>
  </si>
  <si>
    <r>
      <t xml:space="preserve">AAL Teacher 2023-2024 Base Salaries  </t>
    </r>
    <r>
      <rPr>
        <i/>
        <sz val="12"/>
        <color theme="1"/>
        <rFont val="Calibri"/>
        <family val="2"/>
        <scheme val="minor"/>
      </rPr>
      <t>(revised 22 Mar 2023)</t>
    </r>
  </si>
  <si>
    <t>No.</t>
  </si>
  <si>
    <t>Salary Range</t>
  </si>
  <si>
    <t>Minimum for High Performers with 3yrs of Exp.</t>
  </si>
  <si>
    <t>Estimated Salary Costs</t>
  </si>
  <si>
    <t>Grant Funded</t>
  </si>
  <si>
    <t>Minimum</t>
  </si>
  <si>
    <t>Maximum</t>
  </si>
  <si>
    <t xml:space="preserve"> PR Benefits</t>
  </si>
  <si>
    <t>Kindergarten</t>
  </si>
  <si>
    <t>1st Grade</t>
  </si>
  <si>
    <t>2nd Grade Read/Write</t>
  </si>
  <si>
    <t>2nd Grade Science of Reading</t>
  </si>
  <si>
    <t>2nd Grade Math</t>
  </si>
  <si>
    <t>2nd Grade Science</t>
  </si>
  <si>
    <t>3rd Grade Read/Write</t>
  </si>
  <si>
    <t>3rd Grade Science of Reading</t>
  </si>
  <si>
    <t>3rd Grade Math</t>
  </si>
  <si>
    <t xml:space="preserve">3rd Grade Science </t>
  </si>
  <si>
    <r>
      <t>3rd/4th Grade AOT</t>
    </r>
    <r>
      <rPr>
        <b/>
        <sz val="11"/>
        <color rgb="FF0000FF"/>
        <rFont val="Calibri"/>
        <family val="2"/>
        <scheme val="minor"/>
      </rPr>
      <t xml:space="preserve"> </t>
    </r>
  </si>
  <si>
    <t>4th Grade Read/Write</t>
  </si>
  <si>
    <t>4th Grade Science of Reading</t>
  </si>
  <si>
    <t xml:space="preserve">4th Grade Math  </t>
  </si>
  <si>
    <t>4th Grade Science</t>
  </si>
  <si>
    <t>5th Grade Read/Write</t>
  </si>
  <si>
    <t>5th Grade Math</t>
  </si>
  <si>
    <t>5th/6th Grade Science</t>
  </si>
  <si>
    <t>5th/6th Grade Physics in a Box (TA)</t>
  </si>
  <si>
    <t>5th/6th Grade AOT</t>
  </si>
  <si>
    <t>6th Grade Read/Write</t>
  </si>
  <si>
    <t>6th Grade Math</t>
  </si>
  <si>
    <t>7th Grade Read/Write</t>
  </si>
  <si>
    <t>7th Grade Math</t>
  </si>
  <si>
    <t>7th/8th Grade Science</t>
  </si>
  <si>
    <t>7th/8th Grade Physics in a Box (TA)</t>
  </si>
  <si>
    <t>7th/8th Grade AOT</t>
  </si>
  <si>
    <t>7th/8th Grade Social Studies</t>
  </si>
  <si>
    <t xml:space="preserve">8th Grade Read/Write </t>
  </si>
  <si>
    <t>8th Grade Math</t>
  </si>
  <si>
    <t>Elective classes</t>
  </si>
  <si>
    <t>Reading Interventionist (K-8)</t>
  </si>
  <si>
    <t>ELD/interventionist (K-8)</t>
  </si>
  <si>
    <t xml:space="preserve">Learning Coach   </t>
  </si>
  <si>
    <t>Teacher Apprentice</t>
  </si>
  <si>
    <t>Special Education</t>
  </si>
  <si>
    <t>Principal</t>
  </si>
  <si>
    <t>Asst Principal (Main)</t>
  </si>
  <si>
    <t>Asst Principal  (East)</t>
  </si>
  <si>
    <t>Asst Principal  (West)</t>
  </si>
  <si>
    <t>Asst Principal (West)</t>
  </si>
  <si>
    <t>Dyad Coord</t>
  </si>
  <si>
    <t>Office Manager</t>
  </si>
  <si>
    <t>Asst Office Manager</t>
  </si>
  <si>
    <t>Copy clerk</t>
  </si>
  <si>
    <t>C2 -- FY23-FY27 Draft Budget</t>
  </si>
  <si>
    <t>$ per CSI (new number as of July 14)</t>
  </si>
  <si>
    <r>
      <t xml:space="preserve">Charter School Growth Fund </t>
    </r>
    <r>
      <rPr>
        <sz val="11"/>
        <color rgb="FF0000FF"/>
        <rFont val="Calibri"/>
        <family val="2"/>
      </rPr>
      <t>(awarded)</t>
    </r>
  </si>
  <si>
    <t>$292.00 *3% decrease from FY22</t>
  </si>
  <si>
    <t xml:space="preserve"> $1,482.00 PPA / Tier B PPA $2,425.60    </t>
  </si>
  <si>
    <t xml:space="preserve">$500.00 base / $280.97 GT PPA </t>
  </si>
  <si>
    <t>NEP &amp; LEP $354.90 / FEP $354.89</t>
  </si>
  <si>
    <t>$497.06  **will update in June 2022 after SRD counts are finalized**</t>
  </si>
  <si>
    <t>$399.83 PPA</t>
  </si>
  <si>
    <t xml:space="preserve">$250.00 PPA for students identified in FY23 </t>
  </si>
  <si>
    <t>$6.31 PPA</t>
  </si>
  <si>
    <t>$8.03 PPA  **CS &amp; TS priority funding not included in estimate**</t>
  </si>
  <si>
    <t>NEP &amp; LEP $140.32 / FEP $136.34</t>
  </si>
  <si>
    <t>$1,805.44 PPA</t>
  </si>
  <si>
    <t>$436.90 PPA</t>
  </si>
  <si>
    <r>
      <t xml:space="preserve">Coperni 2 Teacher 2023-2024 Base Salaries  </t>
    </r>
    <r>
      <rPr>
        <i/>
        <sz val="12"/>
        <color theme="1"/>
        <rFont val="Calibri"/>
        <family val="2"/>
        <scheme val="minor"/>
      </rPr>
      <t>(revised 22 Mar 2023)</t>
    </r>
  </si>
  <si>
    <t xml:space="preserve">Coperni 2 </t>
  </si>
  <si>
    <t>2nd Grade ELA/ Science of Reading</t>
  </si>
  <si>
    <t>2nd Grade Math/ Science</t>
  </si>
  <si>
    <t>3rd &amp; 4th Grade ELA</t>
  </si>
  <si>
    <t>3rd &amp; 4th Grade Math</t>
  </si>
  <si>
    <t>3rd &amp; 4th Grade Art of Thinking (TA)</t>
  </si>
  <si>
    <t>3rd &amp; 4th Grade Science</t>
  </si>
  <si>
    <t>5th &amp; 6th Grade ELA</t>
  </si>
  <si>
    <t>5th &amp; 6th Grade Math</t>
  </si>
  <si>
    <t>5th &amp; 8th Grade Science</t>
  </si>
  <si>
    <t>5th - 8th Grade Art of Thinking (TA)</t>
  </si>
  <si>
    <t>7th &amp; 8th Grade ELA</t>
  </si>
  <si>
    <t>7th &amp; 8th Grade Math</t>
  </si>
  <si>
    <t>7th &amp; 8th Social Studies (TA)  (TOSA)</t>
  </si>
  <si>
    <r>
      <t xml:space="preserve">Special Education </t>
    </r>
    <r>
      <rPr>
        <sz val="11"/>
        <color rgb="FF0000FF"/>
        <rFont val="Calibri"/>
        <family val="2"/>
        <scheme val="minor"/>
      </rPr>
      <t>(Network funds)</t>
    </r>
  </si>
  <si>
    <t>Asst. Principal</t>
  </si>
  <si>
    <t>Asst. Office Manager (shared with C3)</t>
  </si>
  <si>
    <t>Cafeteria worker</t>
  </si>
  <si>
    <t>C3 -- FY23-FY27 Draft Budget</t>
  </si>
  <si>
    <t xml:space="preserve"> Initial estimate </t>
  </si>
  <si>
    <t>Adjusted for lower enrollment</t>
  </si>
  <si>
    <r>
      <t xml:space="preserve">Coperni 3  Teacher 2023-2024 Base Salaries  </t>
    </r>
    <r>
      <rPr>
        <i/>
        <sz val="12"/>
        <color theme="1"/>
        <rFont val="Calibri"/>
        <family val="2"/>
        <scheme val="minor"/>
      </rPr>
      <t>(revised 4 Mar 2023)</t>
    </r>
  </si>
  <si>
    <t>2nd Grade ELA/ SOR</t>
  </si>
  <si>
    <t>3rd &amp; 4th Grade SOR</t>
  </si>
  <si>
    <t>3rd &amp; 4th Grade AOT (TA)</t>
  </si>
  <si>
    <t>5th &amp; 6th Grade Science</t>
  </si>
  <si>
    <t>5-8 Grade Art of Thinking (TOSA)</t>
  </si>
  <si>
    <t>7th &amp; 8th Grade Science</t>
  </si>
  <si>
    <t>7th &amp; 8th Gr. Social Studies (TA)</t>
  </si>
  <si>
    <t>Teacher Apprentice  (grant funded)</t>
  </si>
  <si>
    <t>Asst. Office Manager</t>
  </si>
  <si>
    <t>Bus driver</t>
  </si>
  <si>
    <t>Sam Houston ES -- FY23-FY27 Draft Budget</t>
  </si>
  <si>
    <t>Revenue per ADA</t>
  </si>
  <si>
    <t>Revenue per Enrolled</t>
  </si>
  <si>
    <t>Title IIIA</t>
  </si>
  <si>
    <t>IDEA B</t>
  </si>
  <si>
    <t>On Behalf TRS</t>
  </si>
  <si>
    <t>Includes Utilites</t>
  </si>
  <si>
    <t>CHECK</t>
  </si>
  <si>
    <t>Ector College Prep MS -- FY23-FY27 Draft Budget</t>
  </si>
  <si>
    <t>Mike - note additional enrollment revenue</t>
  </si>
  <si>
    <t>Additional 1.2 M (approximate)</t>
  </si>
  <si>
    <t>Network startup contribution</t>
  </si>
  <si>
    <r>
      <t xml:space="preserve">SHES Teacher 2023-2024 Base Salaries  </t>
    </r>
    <r>
      <rPr>
        <i/>
        <sz val="12"/>
        <color theme="1"/>
        <rFont val="Calibri"/>
        <family val="2"/>
        <scheme val="minor"/>
      </rPr>
      <t>(revised 4 Mar 2023)</t>
    </r>
  </si>
  <si>
    <t>TRS</t>
  </si>
  <si>
    <t>Total Comp</t>
  </si>
  <si>
    <t>Total Benefits</t>
  </si>
  <si>
    <t>PreK</t>
  </si>
  <si>
    <t>PreK assistant</t>
  </si>
  <si>
    <t>3rd Grade Science of Reading  (TA)</t>
  </si>
  <si>
    <t>3rd/4th Grade Art of Thinking</t>
  </si>
  <si>
    <t>4th Grade Science of Reading  (TA)</t>
  </si>
  <si>
    <t>4th Grade Math</t>
  </si>
  <si>
    <t xml:space="preserve">4th Grade Science </t>
  </si>
  <si>
    <t>5th Grade Science of Reading  (TA)</t>
  </si>
  <si>
    <t xml:space="preserve">5th Grade Science </t>
  </si>
  <si>
    <t>5th/6th Grade Art of Thinking</t>
  </si>
  <si>
    <t>6th Grade Science of Reading  (TA)</t>
  </si>
  <si>
    <t>6th Grade Science</t>
  </si>
  <si>
    <t>Elective teachers</t>
  </si>
  <si>
    <t>Reading Interventionist (K-6)</t>
  </si>
  <si>
    <t xml:space="preserve">Learning Coach </t>
  </si>
  <si>
    <t>Special Education Support</t>
  </si>
  <si>
    <t>Assistant Principal</t>
  </si>
  <si>
    <t>Dyad Coordinator</t>
  </si>
  <si>
    <t>Office manager</t>
  </si>
  <si>
    <t>Assistant office manager</t>
  </si>
  <si>
    <t>Counselor (.5)</t>
  </si>
  <si>
    <t>Nurse</t>
  </si>
  <si>
    <r>
      <t xml:space="preserve">Lamar ES Teacher 2023-2024 Base Salaries  </t>
    </r>
    <r>
      <rPr>
        <i/>
        <sz val="12"/>
        <color theme="1"/>
        <rFont val="Calibri"/>
        <family val="2"/>
        <scheme val="minor"/>
      </rPr>
      <t>(revised 19 Mar 2023)</t>
    </r>
  </si>
  <si>
    <t>3rd Grade Science of Reading  (RI)</t>
  </si>
  <si>
    <r>
      <t xml:space="preserve">ECP Teacher 2023-2024 Base Salaries  </t>
    </r>
    <r>
      <rPr>
        <i/>
        <sz val="12"/>
        <color theme="1"/>
        <rFont val="Calibri"/>
        <family val="2"/>
        <scheme val="minor"/>
      </rPr>
      <t>(revised 4 Mar 2023)</t>
    </r>
  </si>
  <si>
    <t>No. of teachers</t>
  </si>
  <si>
    <t>Minimum for 3yrs of Experience (Avg. Base Salary)</t>
  </si>
  <si>
    <r>
      <t xml:space="preserve">6th Grade Read/Write  </t>
    </r>
    <r>
      <rPr>
        <b/>
        <sz val="11"/>
        <color rgb="FF0000FF"/>
        <rFont val="Calibri"/>
        <family val="2"/>
        <scheme val="minor"/>
      </rPr>
      <t>(1C2L)</t>
    </r>
  </si>
  <si>
    <r>
      <t xml:space="preserve">6th Grade Science  </t>
    </r>
    <r>
      <rPr>
        <b/>
        <sz val="11"/>
        <color rgb="FF0000FF"/>
        <rFont val="Calibri"/>
        <family val="2"/>
        <scheme val="minor"/>
      </rPr>
      <t>(1C2L)</t>
    </r>
  </si>
  <si>
    <r>
      <t xml:space="preserve">6th Grade Art of Thinking </t>
    </r>
    <r>
      <rPr>
        <b/>
        <sz val="11"/>
        <color rgb="FF0000FF"/>
        <rFont val="Calibri"/>
        <family val="2"/>
        <scheme val="minor"/>
      </rPr>
      <t>(1C2L)</t>
    </r>
  </si>
  <si>
    <t xml:space="preserve">6th Grade Art of Thinking </t>
  </si>
  <si>
    <t>6th Grade Social Studies</t>
  </si>
  <si>
    <t>7th Grade Science</t>
  </si>
  <si>
    <t>7th Grade Art of Thinking</t>
  </si>
  <si>
    <t>7th Grade Social Studies</t>
  </si>
  <si>
    <t>8th Grade Read/Write</t>
  </si>
  <si>
    <r>
      <t xml:space="preserve">8th Grade Math </t>
    </r>
    <r>
      <rPr>
        <b/>
        <sz val="11"/>
        <color rgb="FF0000FF"/>
        <rFont val="Calibri"/>
        <family val="2"/>
        <scheme val="minor"/>
      </rPr>
      <t>(1C2L)</t>
    </r>
  </si>
  <si>
    <t xml:space="preserve">8th Grade Math </t>
  </si>
  <si>
    <t>8th Grade Science</t>
  </si>
  <si>
    <r>
      <t xml:space="preserve">8th Grade Art of Thinking </t>
    </r>
    <r>
      <rPr>
        <b/>
        <sz val="11"/>
        <color rgb="FF0000FF"/>
        <rFont val="Calibri"/>
        <family val="2"/>
      </rPr>
      <t>(1C2L</t>
    </r>
    <r>
      <rPr>
        <sz val="11"/>
        <rFont val="Calibri"/>
        <family val="2"/>
      </rPr>
      <t>)</t>
    </r>
  </si>
  <si>
    <t xml:space="preserve">8th Grade Art of Thinking </t>
  </si>
  <si>
    <t>8th Grade Social Studies</t>
  </si>
  <si>
    <t xml:space="preserve">Reading Interventionist </t>
  </si>
  <si>
    <t>ELD interventionist</t>
  </si>
  <si>
    <t>Special Education support</t>
  </si>
  <si>
    <t>Special Education para</t>
  </si>
  <si>
    <t xml:space="preserve">Counselor </t>
  </si>
  <si>
    <t>School Nurse</t>
  </si>
  <si>
    <t>Technology coordinator</t>
  </si>
  <si>
    <t>DYAD Coordinator</t>
  </si>
  <si>
    <t>Mendez MS -- FY23-FY27 Draft Budget</t>
  </si>
  <si>
    <t>Approved 23 Jume 22</t>
  </si>
  <si>
    <t>Mike - this is correct per AISD</t>
  </si>
  <si>
    <t>you had $3,887,820</t>
  </si>
  <si>
    <t>Center Support (SPED) - Salaries</t>
  </si>
  <si>
    <t>Center Support (SPED) - Benefits</t>
  </si>
  <si>
    <t>Facility/Building</t>
  </si>
  <si>
    <t>FY22 Enrollment</t>
  </si>
  <si>
    <t>Lease or own</t>
  </si>
  <si>
    <t>Lease end date</t>
  </si>
  <si>
    <t>Purchase Price</t>
  </si>
  <si>
    <t>Annual Lease or Mortgage</t>
  </si>
  <si>
    <t>Utilities</t>
  </si>
  <si>
    <t>Maintenance</t>
  </si>
  <si>
    <t>Current or anticipated Renovation Projects</t>
  </si>
  <si>
    <t>Estimated cost of Project</t>
  </si>
  <si>
    <t>Outstanding Loans</t>
  </si>
  <si>
    <t>Address</t>
  </si>
  <si>
    <t>Authorizer</t>
  </si>
  <si>
    <t>Grades</t>
  </si>
  <si>
    <t>FY 2023</t>
  </si>
  <si>
    <t>FY 2024</t>
  </si>
  <si>
    <t>FY 2025</t>
  </si>
  <si>
    <t>AAL Main (PTT Properties)</t>
  </si>
  <si>
    <t>431 N Sable Blvd, Aurora, CO</t>
  </si>
  <si>
    <t>Aurora Public Schools</t>
  </si>
  <si>
    <t>K-4</t>
  </si>
  <si>
    <t>Lease</t>
  </si>
  <si>
    <t>na</t>
  </si>
  <si>
    <t>None</t>
  </si>
  <si>
    <t xml:space="preserve">    Building</t>
  </si>
  <si>
    <t xml:space="preserve">    Playground</t>
  </si>
  <si>
    <t xml:space="preserve">    Room Rental - Blue</t>
  </si>
  <si>
    <t xml:space="preserve">    Outdoor Classrooms</t>
  </si>
  <si>
    <t>AAL West</t>
  </si>
  <si>
    <t>350 N. Blackhawk St #8754, Aurora</t>
  </si>
  <si>
    <t>7-8</t>
  </si>
  <si>
    <t>Own</t>
  </si>
  <si>
    <t>Interest</t>
  </si>
  <si>
    <t>AAL East (1556)</t>
  </si>
  <si>
    <t>15540 E. 6th Ave, Aurora CO</t>
  </si>
  <si>
    <t>5-6</t>
  </si>
  <si>
    <t>Sq Ft</t>
  </si>
  <si>
    <t>Rate</t>
  </si>
  <si>
    <t>34,065 / 37,302</t>
  </si>
  <si>
    <t>Adding a central office area; 3500 square feet</t>
  </si>
  <si>
    <t>$60,000 annual lease</t>
  </si>
  <si>
    <t>525 E. Costilla St. Colorado Springs, CO</t>
  </si>
  <si>
    <t>CSI</t>
  </si>
  <si>
    <t>Bond Starts 7/1/22 Total $8,612,762.81 Ballon due 7/1/29 $6,269,987.50</t>
  </si>
  <si>
    <t>755 Citadel Dr. West, Colorado Springs, CO</t>
  </si>
  <si>
    <t>Lease to own</t>
  </si>
  <si>
    <t>Possible expansion of 7 classrooms and a team center prior to August 2023</t>
  </si>
  <si>
    <t>$264,000 to CSDC will be paid in Aug. 2022; $1.2 million to CSFS in Feb. 2024</t>
  </si>
  <si>
    <t>Debt Holder - CCFS SPE</t>
  </si>
  <si>
    <t>DEBT</t>
  </si>
  <si>
    <t>2000 W. Louisiana Ave., Midland, TX</t>
  </si>
  <si>
    <t>1882 partnership</t>
  </si>
  <si>
    <t>Ector College Prep</t>
  </si>
  <si>
    <t>809 W. Clements St. Odessa, TX</t>
  </si>
  <si>
    <t>Mendez Middle School</t>
  </si>
  <si>
    <t>5106 Village Square Dr., Austin TX</t>
  </si>
  <si>
    <t xml:space="preserve"> </t>
  </si>
  <si>
    <t>Date</t>
  </si>
  <si>
    <t>Adjustments</t>
  </si>
  <si>
    <t>Modified by</t>
  </si>
  <si>
    <t>Added detail for benefis</t>
  </si>
  <si>
    <t>RLO</t>
  </si>
  <si>
    <t>updated lease and CAM for AAL</t>
  </si>
  <si>
    <t>Third Future School System</t>
  </si>
  <si>
    <t>Debt Structure</t>
  </si>
  <si>
    <t>FYs 23 - 27</t>
  </si>
  <si>
    <t>Remaining</t>
  </si>
  <si>
    <t>AAL A CUSIP 19645UEB6</t>
  </si>
  <si>
    <t>AAL B CUSIP 19645UEC4</t>
  </si>
  <si>
    <t>Loan $700k TFS Building Corp.</t>
  </si>
  <si>
    <t>Due August 31, 2022</t>
  </si>
  <si>
    <t>Total Debt Payment</t>
  </si>
  <si>
    <t>Colorado Educational &amp; Cultural Facility Authority</t>
  </si>
  <si>
    <t>The Investment Bank was DA Davidson</t>
  </si>
  <si>
    <t>Charter School Development Corporation $700,000 Loan 431 Sable</t>
  </si>
  <si>
    <t xml:space="preserve">UMB Bank is the Trustee for the Debt </t>
  </si>
  <si>
    <t xml:space="preserve">Jacque Schwarts </t>
  </si>
  <si>
    <t>816.860.7520</t>
  </si>
  <si>
    <t>FYs 23 - 35</t>
  </si>
  <si>
    <t>Charter School Development Corporation</t>
  </si>
  <si>
    <t>Colorado Charter Facility Solutions $9781/month</t>
  </si>
  <si>
    <t>Colorado Charter Facility Solutions Baloon</t>
  </si>
  <si>
    <t>Due March 1, 2024</t>
  </si>
  <si>
    <t>Charter School Development Corporation owns the building.</t>
  </si>
  <si>
    <t xml:space="preserve">There is a lease payments for 10 years with two 5 year options.  Current purchase price is $5.900,000.  This price is going down each year by a bit with the rent option to buy. </t>
  </si>
  <si>
    <t>Colorado Charter Facility Solutions, 1390 Lawrence Street, Suite 200 Denver Co. 80204</t>
  </si>
  <si>
    <t xml:space="preserve">Charter Intercept Program </t>
  </si>
  <si>
    <t>need to look at 21A $240.163 - $239,912.5 Difference mabe due to charge in Intercept Program.</t>
  </si>
  <si>
    <t>Bond Reserve Fund $176,081.33</t>
  </si>
  <si>
    <t>Balloon</t>
  </si>
  <si>
    <t>FYs 23 - 29</t>
  </si>
  <si>
    <t>Payment</t>
  </si>
  <si>
    <t>Fiscal Year</t>
  </si>
  <si>
    <t>2021 A CECFA CSChool Rev BDs CUSIP 19645UKL7</t>
  </si>
  <si>
    <t>2021 B CECFA CSChool Rev BDs CUSIP  19645UkM5</t>
  </si>
  <si>
    <t>Lease/Purchase Option ( in FS 2021)</t>
  </si>
  <si>
    <t>Total Debt</t>
  </si>
  <si>
    <t>The Investment Banker DA Davidson</t>
  </si>
  <si>
    <t>303-839+2216</t>
  </si>
  <si>
    <t>Mark Heller</t>
  </si>
  <si>
    <t>Executive Directorsd</t>
  </si>
  <si>
    <t xml:space="preserve">Colorado Educational and Cultural Facilities Authority </t>
  </si>
  <si>
    <t>303-297-7332</t>
  </si>
  <si>
    <t xml:space="preserve">Conduit Issuer </t>
  </si>
  <si>
    <t>Series 2021 A</t>
  </si>
  <si>
    <t>Bond Reserve Fund -Intercept schedule</t>
  </si>
  <si>
    <t>Balloon Payment - Intercept schedule</t>
  </si>
  <si>
    <t>Balloon is due July 1,2029</t>
  </si>
  <si>
    <t xml:space="preserve">Ballon Payment on Amortization Schedule </t>
  </si>
  <si>
    <t>Cusip 19645UKL7</t>
  </si>
  <si>
    <t>Difference</t>
  </si>
  <si>
    <t>Texas New School -- F23-F27 Draft Budget</t>
  </si>
  <si>
    <t>revised 26 Mar 2022</t>
  </si>
  <si>
    <t>Per Pupil Revenue (w Title monies)</t>
  </si>
  <si>
    <t xml:space="preserve">New School PPR Revenue </t>
  </si>
  <si>
    <t>New School undesignated grant</t>
  </si>
  <si>
    <t>New School Beginning Balance</t>
  </si>
  <si>
    <t xml:space="preserve">Teachers - salaries </t>
  </si>
  <si>
    <t>Teacher Leaders Stipends</t>
  </si>
  <si>
    <t>Teachers - Incentive pay</t>
  </si>
  <si>
    <t>Teachers - Medicare</t>
  </si>
  <si>
    <t>Teachers - Health Benefits</t>
  </si>
  <si>
    <t>Teachers - Worker's Comp</t>
  </si>
  <si>
    <t>Teachers - TRS</t>
  </si>
  <si>
    <t>Teachers - TRS CARE</t>
  </si>
  <si>
    <t>Teachers - SPED salaries</t>
  </si>
  <si>
    <t>Teachers - Medicare SPED</t>
  </si>
  <si>
    <t>Teachers - Worker's Comp- SPED</t>
  </si>
  <si>
    <t>Teachers - TRS CARE - SPED</t>
  </si>
  <si>
    <t>School Leadership  - Salaries</t>
  </si>
  <si>
    <t>School Leadership - Medicare</t>
  </si>
  <si>
    <t>School Leadership - Worker's Comp</t>
  </si>
  <si>
    <t>School Leadership - TRS</t>
  </si>
  <si>
    <t>School Leadership - TRS CARE</t>
  </si>
  <si>
    <t xml:space="preserve">Admin - Purchased Services </t>
  </si>
  <si>
    <t>Admin - Purchased Services -- optional -- w custodial</t>
  </si>
  <si>
    <t xml:space="preserve">Instruction Electronic Media </t>
  </si>
  <si>
    <t>Colorado New School -- FY23-FY27 Draft Budget</t>
  </si>
  <si>
    <t>revised 22 Mar 2022</t>
  </si>
  <si>
    <t>Per Pupil Revenue (w Title)</t>
  </si>
  <si>
    <t>New School Contrib &amp; Donations - Undesignated</t>
  </si>
  <si>
    <t>Network Start-up Contribution</t>
  </si>
  <si>
    <t>New School Capital Construction Revenue</t>
  </si>
  <si>
    <t xml:space="preserve">New School State Mill Levy Funding </t>
  </si>
  <si>
    <t>New School State Revenue</t>
  </si>
  <si>
    <t>Permian Strategic Partner</t>
  </si>
  <si>
    <t>New Schools Baton Rouge</t>
  </si>
  <si>
    <t xml:space="preserve">  Equalization Fee</t>
  </si>
  <si>
    <t>Network Support from the Campus</t>
  </si>
  <si>
    <t>5th Quarter Summer School (summer 2023)</t>
  </si>
  <si>
    <t>District administrative fee (authorizer)</t>
  </si>
  <si>
    <t>District Services Fee (authorizer)/itemized below</t>
  </si>
  <si>
    <t>Replication Grant/ School Improvement Grant</t>
  </si>
  <si>
    <t>Teacher Incentive Allotment/ Other staff incentives</t>
  </si>
  <si>
    <t>At-Risk Per Pupil/ Elementary Emergency Reflief Fund</t>
  </si>
  <si>
    <t xml:space="preserve"> Other Funding/Undesignated</t>
  </si>
  <si>
    <t>Third Future Schools FY23/24 BUDGETS</t>
  </si>
  <si>
    <t>5050</t>
  </si>
  <si>
    <t>5055</t>
  </si>
  <si>
    <t>5500</t>
  </si>
  <si>
    <t>5510</t>
  </si>
  <si>
    <t>5520</t>
  </si>
  <si>
    <t>5105</t>
  </si>
  <si>
    <t>5110</t>
  </si>
  <si>
    <t>5115</t>
  </si>
  <si>
    <t>5120</t>
  </si>
  <si>
    <t>5201</t>
  </si>
  <si>
    <t>5202</t>
  </si>
  <si>
    <t>5203</t>
  </si>
  <si>
    <t>5205</t>
  </si>
  <si>
    <t>5210</t>
  </si>
  <si>
    <t>5215</t>
  </si>
  <si>
    <t>5220</t>
  </si>
  <si>
    <t>5221</t>
  </si>
  <si>
    <t>5225</t>
  </si>
  <si>
    <t>5226</t>
  </si>
  <si>
    <t>5228</t>
  </si>
  <si>
    <t>5230</t>
  </si>
  <si>
    <t>5240</t>
  </si>
  <si>
    <t>5245</t>
  </si>
  <si>
    <t>5250</t>
  </si>
  <si>
    <t>5251</t>
  </si>
  <si>
    <t>5255</t>
  </si>
  <si>
    <t>5256</t>
  </si>
  <si>
    <t>5260</t>
  </si>
  <si>
    <t>5265</t>
  </si>
  <si>
    <t>5290</t>
  </si>
  <si>
    <t>5300</t>
  </si>
  <si>
    <t>5270</t>
  </si>
  <si>
    <t>5651</t>
  </si>
  <si>
    <t>5652</t>
  </si>
  <si>
    <t>5900</t>
  </si>
  <si>
    <t>5901</t>
  </si>
  <si>
    <t>5720</t>
  </si>
  <si>
    <t>5730</t>
  </si>
  <si>
    <t>6101</t>
  </si>
  <si>
    <t>6104</t>
  </si>
  <si>
    <t>6118, 6109</t>
  </si>
  <si>
    <t>6102</t>
  </si>
  <si>
    <t>6103</t>
  </si>
  <si>
    <t>6105</t>
  </si>
  <si>
    <t>6110,6119</t>
  </si>
  <si>
    <t>6108</t>
  </si>
  <si>
    <t>6107</t>
  </si>
  <si>
    <t>6123</t>
  </si>
  <si>
    <t>6111,6120</t>
  </si>
  <si>
    <t>6106</t>
  </si>
  <si>
    <t>6115</t>
  </si>
  <si>
    <t>6116</t>
  </si>
  <si>
    <t>6117</t>
  </si>
  <si>
    <t>6126</t>
  </si>
  <si>
    <t>6127</t>
  </si>
  <si>
    <t>6128</t>
  </si>
  <si>
    <t>6122</t>
  </si>
  <si>
    <t>6112,6113,6114,6121</t>
  </si>
  <si>
    <t>6360</t>
  </si>
  <si>
    <t>6144</t>
  </si>
  <si>
    <t>6370</t>
  </si>
  <si>
    <t>6147</t>
  </si>
  <si>
    <t>6124</t>
  </si>
  <si>
    <t>6125</t>
  </si>
  <si>
    <t>6129</t>
  </si>
  <si>
    <t>6751</t>
  </si>
  <si>
    <t>6131</t>
  </si>
  <si>
    <t>6132</t>
  </si>
  <si>
    <t>6190</t>
  </si>
  <si>
    <t>6133</t>
  </si>
  <si>
    <t>6134</t>
  </si>
  <si>
    <t>6135</t>
  </si>
  <si>
    <t>6136</t>
  </si>
  <si>
    <t>6960</t>
  </si>
  <si>
    <t>6137</t>
  </si>
  <si>
    <t>6138</t>
  </si>
  <si>
    <t>6240</t>
  </si>
  <si>
    <t>6776</t>
  </si>
  <si>
    <t>6480</t>
  </si>
  <si>
    <t>6882</t>
  </si>
  <si>
    <t>6883</t>
  </si>
  <si>
    <t>6884</t>
  </si>
  <si>
    <t>6885</t>
  </si>
  <si>
    <t>6886</t>
  </si>
  <si>
    <t>6887</t>
  </si>
  <si>
    <t>6400</t>
  </si>
  <si>
    <t>6888</t>
  </si>
  <si>
    <t>6889</t>
  </si>
  <si>
    <t>6445</t>
  </si>
  <si>
    <t>6440</t>
  </si>
  <si>
    <t>6441</t>
  </si>
  <si>
    <t>6443</t>
  </si>
  <si>
    <t>6890</t>
  </si>
  <si>
    <t>6891</t>
  </si>
  <si>
    <t>6892</t>
  </si>
  <si>
    <t>6893</t>
  </si>
  <si>
    <t>6894</t>
  </si>
  <si>
    <t>6810</t>
  </si>
  <si>
    <t>6820</t>
  </si>
  <si>
    <t>6896</t>
  </si>
  <si>
    <t>6897</t>
  </si>
  <si>
    <t>6281</t>
  </si>
  <si>
    <t>6450</t>
  </si>
  <si>
    <t>6761</t>
  </si>
  <si>
    <t>6762</t>
  </si>
  <si>
    <t>7000</t>
  </si>
  <si>
    <t>6898</t>
  </si>
  <si>
    <t>6899</t>
  </si>
  <si>
    <t>6821</t>
  </si>
  <si>
    <t>6771</t>
  </si>
  <si>
    <t>6773</t>
  </si>
  <si>
    <t>6772</t>
  </si>
  <si>
    <t>6774</t>
  </si>
  <si>
    <t>6775</t>
  </si>
  <si>
    <t>6770</t>
  </si>
  <si>
    <t>6777</t>
  </si>
  <si>
    <t>6778</t>
  </si>
  <si>
    <t>6700</t>
  </si>
  <si>
    <t>6710</t>
  </si>
  <si>
    <t>6779</t>
  </si>
  <si>
    <t>6781</t>
  </si>
  <si>
    <t>6180</t>
  </si>
  <si>
    <t>6730</t>
  </si>
  <si>
    <t>6782</t>
  </si>
  <si>
    <t>6783</t>
  </si>
  <si>
    <t>6930</t>
  </si>
  <si>
    <t>6940</t>
  </si>
  <si>
    <t>6784</t>
  </si>
  <si>
    <t>6785</t>
  </si>
  <si>
    <t>6895</t>
  </si>
  <si>
    <t>6786</t>
  </si>
  <si>
    <t>6787</t>
  </si>
  <si>
    <t>6800</t>
  </si>
  <si>
    <t>6830</t>
  </si>
  <si>
    <t>6788</t>
  </si>
  <si>
    <t>6789</t>
  </si>
  <si>
    <t>5800,5801,5802</t>
  </si>
  <si>
    <t>5590 5503</t>
  </si>
  <si>
    <t>6241</t>
  </si>
  <si>
    <t>6881</t>
  </si>
  <si>
    <t>6442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</si>
</sst>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[$-409]d\-mmm\-yy;@"/>
    <numFmt numFmtId="168" formatCode="&quot;$&quot;#,##0.00"/>
    <numFmt numFmtId="169" formatCode="_(* #,##0_);_(* \(#,##0\);_(* &quot;-&quot;??_);_(@_)"/>
    <numFmt numFmtId="170" formatCode="0.0%"/>
  </numFmts>
  <fonts count="53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FF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sz val="12"/>
      <name val="Arial"/>
      <family val="2"/>
    </font>
    <font>
      <b/>
      <i/>
      <sz val="11"/>
      <color rgb="FF0000F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11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9E2F3"/>
      </patternFill>
    </fill>
    <fill>
      <patternFill patternType="solid">
        <fgColor rgb="FF66FFFF"/>
        <bgColor rgb="FFD9E2F3"/>
      </patternFill>
    </fill>
    <fill>
      <patternFill patternType="solid">
        <fgColor rgb="FFFF0000"/>
        <bgColor indexed="64"/>
      </patternFill>
    </fill>
    <fill>
      <patternFill patternType="solid">
        <fgColor rgb="FFE9E8DF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44" fontId="13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6" fillId="0" borderId="0"/>
    <xf numFmtId="9" fontId="1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  <xf numFmtId="43" fontId="8" fillId="0" borderId="0" applyFont="0" applyFill="0" applyBorder="0" applyAlignment="0" applyProtection="0"/>
    <xf numFmtId="40" fontId="36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1327">
    <xf numFmtId="0" fontId="0" fillId="0" borderId="0" xfId="0"/>
    <xf numFmtId="41" fontId="0" fillId="0" borderId="1" xfId="0" applyNumberFormat="1" applyBorder="1"/>
    <xf numFmtId="0" fontId="13" fillId="0" borderId="0" xfId="0" applyFont="1"/>
    <xf numFmtId="0" fontId="0" fillId="4" borderId="2" xfId="0" applyFill="1" applyBorder="1"/>
    <xf numFmtId="41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right" indent="1"/>
    </xf>
    <xf numFmtId="41" fontId="0" fillId="0" borderId="2" xfId="0" applyNumberFormat="1" applyBorder="1"/>
    <xf numFmtId="0" fontId="0" fillId="0" borderId="0" xfId="0" applyAlignment="1">
      <alignment horizontal="right" indent="1"/>
    </xf>
    <xf numFmtId="0" fontId="15" fillId="5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 indent="1"/>
    </xf>
    <xf numFmtId="164" fontId="0" fillId="0" borderId="0" xfId="0" applyNumberFormat="1"/>
    <xf numFmtId="0" fontId="18" fillId="0" borderId="0" xfId="0" applyFont="1"/>
    <xf numFmtId="0" fontId="13" fillId="0" borderId="5" xfId="0" applyFont="1" applyBorder="1" applyAlignment="1">
      <alignment horizontal="right" indent="1"/>
    </xf>
    <xf numFmtId="0" fontId="1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0" fillId="0" borderId="0" xfId="0" applyFont="1"/>
    <xf numFmtId="37" fontId="12" fillId="0" borderId="0" xfId="3" applyNumberFormat="1" applyFont="1" applyAlignment="1">
      <alignment horizontal="center" vertical="center"/>
    </xf>
    <xf numFmtId="0" fontId="0" fillId="9" borderId="2" xfId="0" applyFill="1" applyBorder="1"/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left"/>
    </xf>
    <xf numFmtId="0" fontId="0" fillId="9" borderId="2" xfId="0" applyFill="1" applyBorder="1" applyAlignment="1">
      <alignment horizontal="right"/>
    </xf>
    <xf numFmtId="37" fontId="0" fillId="0" borderId="2" xfId="0" applyNumberFormat="1" applyBorder="1"/>
    <xf numFmtId="41" fontId="16" fillId="7" borderId="1" xfId="0" applyNumberFormat="1" applyFont="1" applyFill="1" applyBorder="1"/>
    <xf numFmtId="3" fontId="0" fillId="0" borderId="1" xfId="0" applyNumberFormat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44" fontId="13" fillId="0" borderId="0" xfId="1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right"/>
    </xf>
    <xf numFmtId="3" fontId="0" fillId="3" borderId="1" xfId="0" applyNumberFormat="1" applyFill="1" applyBorder="1"/>
    <xf numFmtId="3" fontId="0" fillId="0" borderId="1" xfId="0" applyNumberFormat="1" applyBorder="1" applyAlignment="1">
      <alignment horizontal="right" indent="1"/>
    </xf>
    <xf numFmtId="3" fontId="0" fillId="3" borderId="1" xfId="0" applyNumberFormat="1" applyFill="1" applyBorder="1" applyAlignment="1">
      <alignment horizontal="right" indent="1"/>
    </xf>
    <xf numFmtId="3" fontId="16" fillId="6" borderId="1" xfId="0" applyNumberFormat="1" applyFont="1" applyFill="1" applyBorder="1" applyAlignment="1">
      <alignment horizontal="right" indent="1"/>
    </xf>
    <xf numFmtId="3" fontId="13" fillId="0" borderId="1" xfId="0" applyNumberFormat="1" applyFont="1" applyBorder="1" applyAlignment="1">
      <alignment horizontal="right" indent="1"/>
    </xf>
    <xf numFmtId="3" fontId="16" fillId="8" borderId="1" xfId="0" applyNumberFormat="1" applyFont="1" applyFill="1" applyBorder="1" applyAlignment="1">
      <alignment horizontal="right" indent="1"/>
    </xf>
    <xf numFmtId="41" fontId="0" fillId="0" borderId="2" xfId="0" applyNumberFormat="1" applyBorder="1" applyAlignment="1">
      <alignment horizontal="right" indent="1"/>
    </xf>
    <xf numFmtId="41" fontId="0" fillId="0" borderId="5" xfId="0" applyNumberFormat="1" applyBorder="1" applyAlignment="1">
      <alignment horizontal="right" indent="1"/>
    </xf>
    <xf numFmtId="41" fontId="0" fillId="0" borderId="3" xfId="0" applyNumberFormat="1" applyBorder="1" applyAlignment="1">
      <alignment horizontal="right" indent="1"/>
    </xf>
    <xf numFmtId="41" fontId="16" fillId="5" borderId="1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7" fontId="0" fillId="0" borderId="1" xfId="0" applyNumberFormat="1" applyBorder="1"/>
    <xf numFmtId="0" fontId="21" fillId="0" borderId="1" xfId="4" applyFont="1" applyBorder="1" applyAlignment="1">
      <alignment horizontal="center" wrapText="1"/>
    </xf>
    <xf numFmtId="37" fontId="12" fillId="0" borderId="1" xfId="3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right" indent="1"/>
    </xf>
    <xf numFmtId="44" fontId="15" fillId="2" borderId="1" xfId="1" applyFont="1" applyFill="1" applyBorder="1" applyAlignment="1">
      <alignment horizontal="center" wrapText="1"/>
    </xf>
    <xf numFmtId="3" fontId="0" fillId="0" borderId="7" xfId="0" applyNumberFormat="1" applyBorder="1" applyAlignment="1">
      <alignment horizontal="right" indent="1"/>
    </xf>
    <xf numFmtId="3" fontId="0" fillId="5" borderId="1" xfId="0" applyNumberFormat="1" applyFill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3" borderId="1" xfId="0" applyNumberFormat="1" applyFill="1" applyBorder="1" applyAlignment="1">
      <alignment horizontal="right" indent="1"/>
    </xf>
    <xf numFmtId="164" fontId="16" fillId="5" borderId="1" xfId="0" applyNumberFormat="1" applyFont="1" applyFill="1" applyBorder="1" applyAlignment="1">
      <alignment horizontal="right" indent="1"/>
    </xf>
    <xf numFmtId="44" fontId="15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indent="1"/>
    </xf>
    <xf numFmtId="3" fontId="16" fillId="5" borderId="1" xfId="0" applyNumberFormat="1" applyFont="1" applyFill="1" applyBorder="1" applyAlignment="1">
      <alignment horizontal="right" indent="1"/>
    </xf>
    <xf numFmtId="37" fontId="0" fillId="0" borderId="1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164" fontId="0" fillId="0" borderId="6" xfId="0" applyNumberFormat="1" applyBorder="1" applyAlignment="1">
      <alignment horizontal="right" indent="1"/>
    </xf>
    <xf numFmtId="3" fontId="13" fillId="0" borderId="1" xfId="1" applyNumberFormat="1" applyFont="1" applyFill="1" applyBorder="1" applyAlignment="1">
      <alignment horizontal="right" indent="1"/>
    </xf>
    <xf numFmtId="3" fontId="13" fillId="0" borderId="4" xfId="1" applyNumberFormat="1" applyFont="1" applyFill="1" applyBorder="1" applyAlignment="1">
      <alignment horizontal="right" indent="1"/>
    </xf>
    <xf numFmtId="3" fontId="16" fillId="6" borderId="1" xfId="0" applyNumberFormat="1" applyFont="1" applyFill="1" applyBorder="1" applyAlignment="1">
      <alignment horizontal="right" vertical="center" indent="1"/>
    </xf>
    <xf numFmtId="3" fontId="0" fillId="0" borderId="2" xfId="0" applyNumberFormat="1" applyBorder="1" applyAlignment="1">
      <alignment horizontal="right" indent="1"/>
    </xf>
    <xf numFmtId="3" fontId="16" fillId="7" borderId="1" xfId="0" applyNumberFormat="1" applyFont="1" applyFill="1" applyBorder="1" applyAlignment="1">
      <alignment horizontal="right" indent="1"/>
    </xf>
    <xf numFmtId="3" fontId="12" fillId="0" borderId="1" xfId="3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0" fillId="3" borderId="7" xfId="0" applyNumberFormat="1" applyFill="1" applyBorder="1" applyAlignment="1">
      <alignment horizontal="right" indent="1"/>
    </xf>
    <xf numFmtId="1" fontId="21" fillId="0" borderId="1" xfId="4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7"/>
    <xf numFmtId="0" fontId="13" fillId="0" borderId="0" xfId="7" applyFont="1" applyAlignment="1">
      <alignment horizontal="left"/>
    </xf>
    <xf numFmtId="0" fontId="9" fillId="2" borderId="1" xfId="7" applyFill="1" applyBorder="1" applyAlignment="1">
      <alignment horizontal="center"/>
    </xf>
    <xf numFmtId="0" fontId="9" fillId="2" borderId="1" xfId="7" applyFill="1" applyBorder="1" applyAlignment="1">
      <alignment horizontal="center" wrapText="1"/>
    </xf>
    <xf numFmtId="44" fontId="15" fillId="2" borderId="1" xfId="8" applyFont="1" applyFill="1" applyBorder="1" applyAlignment="1">
      <alignment horizontal="center" wrapText="1"/>
    </xf>
    <xf numFmtId="0" fontId="13" fillId="0" borderId="0" xfId="7" applyFont="1"/>
    <xf numFmtId="1" fontId="20" fillId="0" borderId="1" xfId="7" applyNumberFormat="1" applyFont="1" applyBorder="1"/>
    <xf numFmtId="1" fontId="21" fillId="0" borderId="1" xfId="7" applyNumberFormat="1" applyFont="1" applyBorder="1" applyAlignment="1">
      <alignment horizontal="center" wrapText="1"/>
    </xf>
    <xf numFmtId="3" fontId="24" fillId="0" borderId="1" xfId="7" applyNumberFormat="1" applyFont="1" applyBorder="1" applyAlignment="1">
      <alignment horizontal="right" indent="1"/>
    </xf>
    <xf numFmtId="0" fontId="9" fillId="0" borderId="0" xfId="7" applyAlignment="1">
      <alignment horizontal="left"/>
    </xf>
    <xf numFmtId="49" fontId="13" fillId="0" borderId="0" xfId="7" applyNumberFormat="1" applyFont="1" applyAlignment="1">
      <alignment horizontal="left"/>
    </xf>
    <xf numFmtId="3" fontId="25" fillId="0" borderId="1" xfId="7" applyNumberFormat="1" applyFont="1" applyBorder="1" applyAlignment="1">
      <alignment horizontal="right" indent="1"/>
    </xf>
    <xf numFmtId="0" fontId="9" fillId="0" borderId="0" xfId="7" applyAlignment="1">
      <alignment horizontal="right" indent="1"/>
    </xf>
    <xf numFmtId="3" fontId="25" fillId="5" borderId="1" xfId="7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 indent="1"/>
    </xf>
    <xf numFmtId="164" fontId="0" fillId="9" borderId="0" xfId="0" applyNumberFormat="1" applyFill="1" applyAlignment="1">
      <alignment horizontal="right" indent="1"/>
    </xf>
    <xf numFmtId="164" fontId="15" fillId="10" borderId="1" xfId="0" applyNumberFormat="1" applyFont="1" applyFill="1" applyBorder="1" applyAlignment="1">
      <alignment horizontal="right" indent="1"/>
    </xf>
    <xf numFmtId="0" fontId="21" fillId="0" borderId="1" xfId="7" applyFont="1" applyBorder="1" applyAlignment="1">
      <alignment horizontal="center" wrapText="1"/>
    </xf>
    <xf numFmtId="0" fontId="28" fillId="0" borderId="0" xfId="0" applyFont="1" applyAlignment="1">
      <alignment horizontal="left"/>
    </xf>
    <xf numFmtId="9" fontId="15" fillId="0" borderId="0" xfId="0" applyNumberFormat="1" applyFont="1" applyAlignment="1">
      <alignment horizontal="center"/>
    </xf>
    <xf numFmtId="44" fontId="15" fillId="2" borderId="1" xfId="1" applyFont="1" applyFill="1" applyBorder="1" applyAlignment="1">
      <alignment horizontal="right" wrapText="1"/>
    </xf>
    <xf numFmtId="165" fontId="13" fillId="0" borderId="1" xfId="1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5" fontId="13" fillId="0" borderId="0" xfId="1" applyNumberFormat="1" applyFont="1" applyAlignment="1">
      <alignment horizontal="right"/>
    </xf>
    <xf numFmtId="165" fontId="12" fillId="0" borderId="1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0" fillId="0" borderId="1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41" fontId="0" fillId="0" borderId="0" xfId="0" applyNumberFormat="1" applyAlignment="1">
      <alignment horizontal="right" indent="1"/>
    </xf>
    <xf numFmtId="165" fontId="13" fillId="0" borderId="0" xfId="1" applyNumberFormat="1" applyFont="1" applyAlignment="1">
      <alignment horizontal="left"/>
    </xf>
    <xf numFmtId="165" fontId="12" fillId="0" borderId="1" xfId="1" applyNumberFormat="1" applyFont="1" applyBorder="1" applyAlignment="1">
      <alignment horizontal="center" vertical="center"/>
    </xf>
    <xf numFmtId="165" fontId="13" fillId="0" borderId="0" xfId="1" applyNumberFormat="1" applyFont="1" applyAlignment="1"/>
    <xf numFmtId="165" fontId="12" fillId="0" borderId="1" xfId="1" applyNumberFormat="1" applyFont="1" applyBorder="1" applyAlignment="1">
      <alignment vertical="center"/>
    </xf>
    <xf numFmtId="165" fontId="24" fillId="0" borderId="1" xfId="1" applyNumberFormat="1" applyFont="1" applyBorder="1" applyAlignment="1"/>
    <xf numFmtId="165" fontId="9" fillId="0" borderId="0" xfId="1" applyNumberFormat="1" applyFont="1" applyAlignment="1"/>
    <xf numFmtId="9" fontId="15" fillId="0" borderId="0" xfId="11" applyFont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1" applyNumberFormat="1" applyFont="1" applyBorder="1" applyAlignment="1">
      <alignment horizontal="center" vertical="center"/>
    </xf>
    <xf numFmtId="1" fontId="21" fillId="0" borderId="1" xfId="1" applyNumberFormat="1" applyFont="1" applyBorder="1" applyAlignment="1">
      <alignment horizontal="center" wrapText="1"/>
    </xf>
    <xf numFmtId="165" fontId="9" fillId="0" borderId="0" xfId="7" applyNumberFormat="1"/>
    <xf numFmtId="165" fontId="0" fillId="0" borderId="1" xfId="1" applyNumberFormat="1" applyFont="1" applyBorder="1" applyAlignment="1">
      <alignment horizontal="right" indent="1"/>
    </xf>
    <xf numFmtId="165" fontId="0" fillId="3" borderId="1" xfId="1" applyNumberFormat="1" applyFont="1" applyFill="1" applyBorder="1" applyAlignment="1">
      <alignment horizontal="right" indent="1"/>
    </xf>
    <xf numFmtId="165" fontId="0" fillId="0" borderId="1" xfId="1" applyNumberFormat="1" applyFont="1" applyFill="1" applyBorder="1" applyAlignment="1">
      <alignment horizontal="right" indent="1"/>
    </xf>
    <xf numFmtId="165" fontId="13" fillId="0" borderId="1" xfId="1" applyNumberFormat="1" applyFont="1" applyBorder="1" applyAlignment="1">
      <alignment horizontal="right" indent="1"/>
    </xf>
    <xf numFmtId="165" fontId="0" fillId="0" borderId="0" xfId="1" applyNumberFormat="1" applyFont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165" fontId="0" fillId="0" borderId="5" xfId="1" applyNumberFormat="1" applyFont="1" applyBorder="1" applyAlignment="1">
      <alignment horizontal="right" indent="1"/>
    </xf>
    <xf numFmtId="165" fontId="0" fillId="0" borderId="3" xfId="1" applyNumberFormat="1" applyFont="1" applyBorder="1" applyAlignment="1">
      <alignment horizontal="right" indent="1"/>
    </xf>
    <xf numFmtId="165" fontId="0" fillId="0" borderId="0" xfId="0" applyNumberFormat="1"/>
    <xf numFmtId="165" fontId="0" fillId="0" borderId="0" xfId="1" applyNumberFormat="1" applyFont="1"/>
    <xf numFmtId="165" fontId="13" fillId="0" borderId="1" xfId="1" applyNumberFormat="1" applyFont="1" applyFill="1" applyBorder="1" applyAlignment="1">
      <alignment horizontal="right" indent="1"/>
    </xf>
    <xf numFmtId="165" fontId="0" fillId="11" borderId="1" xfId="1" applyNumberFormat="1" applyFont="1" applyFill="1" applyBorder="1" applyAlignment="1">
      <alignment horizontal="right" indent="1"/>
    </xf>
    <xf numFmtId="0" fontId="15" fillId="11" borderId="0" xfId="0" applyFont="1" applyFill="1" applyAlignment="1">
      <alignment horizontal="center"/>
    </xf>
    <xf numFmtId="3" fontId="0" fillId="3" borderId="9" xfId="0" applyNumberFormat="1" applyFill="1" applyBorder="1"/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2" borderId="7" xfId="0" applyFill="1" applyBorder="1" applyAlignment="1">
      <alignment horizontal="center" wrapText="1"/>
    </xf>
    <xf numFmtId="44" fontId="15" fillId="2" borderId="9" xfId="1" applyFont="1" applyFill="1" applyBorder="1" applyAlignment="1">
      <alignment horizontal="center" wrapText="1"/>
    </xf>
    <xf numFmtId="164" fontId="15" fillId="10" borderId="9" xfId="0" applyNumberFormat="1" applyFont="1" applyFill="1" applyBorder="1" applyAlignment="1">
      <alignment horizontal="right" indent="1"/>
    </xf>
    <xf numFmtId="0" fontId="19" fillId="0" borderId="0" xfId="7" applyFont="1"/>
    <xf numFmtId="0" fontId="19" fillId="0" borderId="0" xfId="7" applyFont="1" applyAlignment="1">
      <alignment horizontal="left"/>
    </xf>
    <xf numFmtId="0" fontId="8" fillId="0" borderId="0" xfId="15"/>
    <xf numFmtId="0" fontId="25" fillId="3" borderId="1" xfId="15" applyFont="1" applyFill="1" applyBorder="1" applyAlignment="1">
      <alignment horizontal="center" vertical="center"/>
    </xf>
    <xf numFmtId="0" fontId="8" fillId="0" borderId="1" xfId="15" applyBorder="1"/>
    <xf numFmtId="0" fontId="8" fillId="0" borderId="1" xfId="15" applyBorder="1" applyAlignment="1">
      <alignment horizontal="center"/>
    </xf>
    <xf numFmtId="164" fontId="8" fillId="0" borderId="1" xfId="15" applyNumberFormat="1" applyBorder="1" applyAlignment="1">
      <alignment horizontal="center" vertical="center"/>
    </xf>
    <xf numFmtId="164" fontId="12" fillId="0" borderId="1" xfId="15" applyNumberFormat="1" applyFont="1" applyBorder="1" applyAlignment="1">
      <alignment horizontal="center" vertical="center"/>
    </xf>
    <xf numFmtId="0" fontId="8" fillId="0" borderId="1" xfId="15" applyBorder="1" applyAlignment="1">
      <alignment wrapText="1"/>
    </xf>
    <xf numFmtId="0" fontId="8" fillId="0" borderId="1" xfId="15" applyBorder="1" applyAlignment="1">
      <alignment horizontal="center" wrapText="1"/>
    </xf>
    <xf numFmtId="0" fontId="8" fillId="3" borderId="1" xfId="15" applyFill="1" applyBorder="1"/>
    <xf numFmtId="0" fontId="8" fillId="0" borderId="0" xfId="15" applyAlignment="1">
      <alignment horizontal="center"/>
    </xf>
    <xf numFmtId="164" fontId="25" fillId="6" borderId="1" xfId="15" applyNumberFormat="1" applyFont="1" applyFill="1" applyBorder="1" applyAlignment="1">
      <alignment horizontal="center"/>
    </xf>
    <xf numFmtId="164" fontId="8" fillId="0" borderId="0" xfId="15" applyNumberFormat="1"/>
    <xf numFmtId="0" fontId="13" fillId="0" borderId="1" xfId="16" applyBorder="1" applyAlignment="1">
      <alignment horizontal="left"/>
    </xf>
    <xf numFmtId="0" fontId="13" fillId="0" borderId="1" xfId="16" applyBorder="1" applyAlignment="1">
      <alignment horizontal="center"/>
    </xf>
    <xf numFmtId="164" fontId="32" fillId="0" borderId="1" xfId="16" applyNumberFormat="1" applyFont="1" applyBorder="1" applyAlignment="1">
      <alignment horizontal="center" vertical="center" wrapText="1"/>
    </xf>
    <xf numFmtId="164" fontId="32" fillId="0" borderId="1" xfId="16" applyNumberFormat="1" applyFont="1" applyBorder="1" applyAlignment="1">
      <alignment vertical="center" wrapText="1"/>
    </xf>
    <xf numFmtId="5" fontId="32" fillId="0" borderId="1" xfId="16" applyNumberFormat="1" applyFont="1" applyBorder="1" applyAlignment="1">
      <alignment horizontal="center" vertical="center" wrapText="1"/>
    </xf>
    <xf numFmtId="164" fontId="13" fillId="0" borderId="1" xfId="16" applyNumberFormat="1" applyBorder="1" applyAlignment="1">
      <alignment horizontal="center"/>
    </xf>
    <xf numFmtId="0" fontId="13" fillId="0" borderId="0" xfId="16"/>
    <xf numFmtId="0" fontId="13" fillId="0" borderId="0" xfId="16" applyAlignment="1">
      <alignment horizontal="center"/>
    </xf>
    <xf numFmtId="164" fontId="25" fillId="6" borderId="1" xfId="16" applyNumberFormat="1" applyFont="1" applyFill="1" applyBorder="1" applyAlignment="1">
      <alignment horizontal="center"/>
    </xf>
    <xf numFmtId="0" fontId="25" fillId="7" borderId="1" xfId="15" applyFont="1" applyFill="1" applyBorder="1" applyAlignment="1">
      <alignment horizontal="center"/>
    </xf>
    <xf numFmtId="164" fontId="25" fillId="8" borderId="1" xfId="15" applyNumberFormat="1" applyFont="1" applyFill="1" applyBorder="1" applyAlignment="1">
      <alignment horizontal="center" vertical="center"/>
    </xf>
    <xf numFmtId="0" fontId="8" fillId="0" borderId="1" xfId="15" applyBorder="1" applyAlignment="1">
      <alignment horizontal="center" vertical="center"/>
    </xf>
    <xf numFmtId="164" fontId="12" fillId="0" borderId="1" xfId="15" applyNumberFormat="1" applyFont="1" applyBorder="1" applyAlignment="1">
      <alignment horizontal="center"/>
    </xf>
    <xf numFmtId="0" fontId="8" fillId="0" borderId="1" xfId="15" applyBorder="1" applyAlignment="1">
      <alignment horizontal="center" vertical="center" wrapText="1"/>
    </xf>
    <xf numFmtId="0" fontId="8" fillId="0" borderId="11" xfId="15" applyBorder="1" applyAlignment="1">
      <alignment horizontal="center" vertical="center"/>
    </xf>
    <xf numFmtId="164" fontId="8" fillId="0" borderId="11" xfId="15" applyNumberFormat="1" applyBorder="1" applyAlignment="1">
      <alignment horizontal="center" vertical="center"/>
    </xf>
    <xf numFmtId="0" fontId="8" fillId="7" borderId="1" xfId="15" applyFill="1" applyBorder="1" applyAlignment="1">
      <alignment wrapText="1"/>
    </xf>
    <xf numFmtId="164" fontId="25" fillId="6" borderId="1" xfId="15" applyNumberFormat="1" applyFont="1" applyFill="1" applyBorder="1" applyAlignment="1">
      <alignment horizontal="center" vertical="center"/>
    </xf>
    <xf numFmtId="164" fontId="8" fillId="0" borderId="1" xfId="15" applyNumberFormat="1" applyBorder="1" applyAlignment="1">
      <alignment horizontal="center"/>
    </xf>
    <xf numFmtId="0" fontId="25" fillId="5" borderId="1" xfId="15" applyFont="1" applyFill="1" applyBorder="1" applyAlignment="1">
      <alignment horizontal="center"/>
    </xf>
    <xf numFmtId="0" fontId="8" fillId="7" borderId="1" xfId="15" applyFill="1" applyBorder="1"/>
    <xf numFmtId="0" fontId="8" fillId="13" borderId="1" xfId="15" applyFill="1" applyBorder="1"/>
    <xf numFmtId="164" fontId="25" fillId="0" borderId="0" xfId="15" applyNumberFormat="1" applyFont="1" applyAlignment="1">
      <alignment horizontal="center" vertical="center"/>
    </xf>
    <xf numFmtId="0" fontId="12" fillId="5" borderId="1" xfId="15" applyFont="1" applyFill="1" applyBorder="1" applyAlignment="1">
      <alignment horizontal="center"/>
    </xf>
    <xf numFmtId="164" fontId="12" fillId="0" borderId="0" xfId="15" applyNumberFormat="1" applyFont="1" applyAlignment="1">
      <alignment horizontal="center" vertical="center"/>
    </xf>
    <xf numFmtId="164" fontId="25" fillId="8" borderId="1" xfId="15" applyNumberFormat="1" applyFont="1" applyFill="1" applyBorder="1" applyAlignment="1">
      <alignment horizontal="center"/>
    </xf>
    <xf numFmtId="0" fontId="0" fillId="0" borderId="1" xfId="15" applyFont="1" applyBorder="1"/>
    <xf numFmtId="164" fontId="12" fillId="3" borderId="1" xfId="15" applyNumberFormat="1" applyFont="1" applyFill="1" applyBorder="1" applyAlignment="1">
      <alignment horizontal="center" vertical="center"/>
    </xf>
    <xf numFmtId="0" fontId="0" fillId="0" borderId="1" xfId="15" applyFont="1" applyBorder="1" applyAlignment="1">
      <alignment wrapText="1"/>
    </xf>
    <xf numFmtId="0" fontId="14" fillId="8" borderId="1" xfId="15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right" indent="1"/>
    </xf>
    <xf numFmtId="165" fontId="16" fillId="6" borderId="1" xfId="1" applyNumberFormat="1" applyFont="1" applyFill="1" applyBorder="1" applyAlignment="1">
      <alignment horizontal="right" vertical="center" indent="1"/>
    </xf>
    <xf numFmtId="165" fontId="0" fillId="11" borderId="1" xfId="1" applyNumberFormat="1" applyFont="1" applyFill="1" applyBorder="1" applyAlignment="1">
      <alignment horizontal="right"/>
    </xf>
    <xf numFmtId="165" fontId="24" fillId="11" borderId="1" xfId="1" applyNumberFormat="1" applyFont="1" applyFill="1" applyBorder="1" applyAlignment="1"/>
    <xf numFmtId="44" fontId="0" fillId="0" borderId="0" xfId="0" applyNumberFormat="1"/>
    <xf numFmtId="165" fontId="33" fillId="6" borderId="1" xfId="1" applyNumberFormat="1" applyFont="1" applyFill="1" applyBorder="1" applyAlignment="1">
      <alignment horizontal="right"/>
    </xf>
    <xf numFmtId="165" fontId="33" fillId="11" borderId="1" xfId="1" applyNumberFormat="1" applyFont="1" applyFill="1" applyBorder="1" applyAlignment="1">
      <alignment horizontal="right"/>
    </xf>
    <xf numFmtId="165" fontId="31" fillId="11" borderId="1" xfId="1" applyNumberFormat="1" applyFont="1" applyFill="1" applyBorder="1" applyAlignment="1"/>
    <xf numFmtId="165" fontId="13" fillId="13" borderId="1" xfId="1" applyNumberFormat="1" applyFont="1" applyFill="1" applyBorder="1" applyAlignment="1">
      <alignment horizontal="right" indent="1"/>
    </xf>
    <xf numFmtId="165" fontId="13" fillId="13" borderId="4" xfId="1" applyNumberFormat="1" applyFont="1" applyFill="1" applyBorder="1" applyAlignment="1">
      <alignment horizontal="right" indent="1"/>
    </xf>
    <xf numFmtId="165" fontId="33" fillId="11" borderId="1" xfId="1" applyNumberFormat="1" applyFont="1" applyFill="1" applyBorder="1" applyAlignment="1">
      <alignment horizontal="right" indent="1"/>
    </xf>
    <xf numFmtId="3" fontId="16" fillId="8" borderId="9" xfId="0" applyNumberFormat="1" applyFont="1" applyFill="1" applyBorder="1" applyAlignment="1">
      <alignment horizontal="right" indent="1"/>
    </xf>
    <xf numFmtId="165" fontId="0" fillId="0" borderId="10" xfId="1" applyNumberFormat="1" applyFont="1" applyBorder="1" applyAlignment="1">
      <alignment horizontal="right" indent="1"/>
    </xf>
    <xf numFmtId="0" fontId="0" fillId="9" borderId="12" xfId="0" applyFill="1" applyBorder="1"/>
    <xf numFmtId="0" fontId="0" fillId="9" borderId="13" xfId="0" applyFill="1" applyBorder="1" applyAlignment="1">
      <alignment horizontal="right"/>
    </xf>
    <xf numFmtId="165" fontId="16" fillId="8" borderId="14" xfId="1" applyNumberFormat="1" applyFont="1" applyFill="1" applyBorder="1" applyAlignment="1">
      <alignment horizontal="right" indent="1"/>
    </xf>
    <xf numFmtId="165" fontId="16" fillId="8" borderId="15" xfId="1" applyNumberFormat="1" applyFont="1" applyFill="1" applyBorder="1" applyAlignment="1">
      <alignment horizontal="right" indent="1"/>
    </xf>
    <xf numFmtId="0" fontId="0" fillId="0" borderId="12" xfId="0" applyBorder="1"/>
    <xf numFmtId="0" fontId="0" fillId="0" borderId="13" xfId="0" applyBorder="1" applyAlignment="1">
      <alignment horizontal="right" indent="1"/>
    </xf>
    <xf numFmtId="165" fontId="0" fillId="0" borderId="13" xfId="1" applyNumberFormat="1" applyFont="1" applyBorder="1" applyAlignment="1">
      <alignment horizontal="right" indent="1"/>
    </xf>
    <xf numFmtId="3" fontId="16" fillId="7" borderId="9" xfId="0" applyNumberFormat="1" applyFont="1" applyFill="1" applyBorder="1" applyAlignment="1">
      <alignment horizontal="right" indent="1"/>
    </xf>
    <xf numFmtId="165" fontId="16" fillId="7" borderId="14" xfId="1" applyNumberFormat="1" applyFont="1" applyFill="1" applyBorder="1" applyAlignment="1">
      <alignment horizontal="right" indent="1"/>
    </xf>
    <xf numFmtId="3" fontId="16" fillId="6" borderId="9" xfId="0" applyNumberFormat="1" applyFont="1" applyFill="1" applyBorder="1" applyAlignment="1">
      <alignment horizontal="right" vertical="center" indent="1"/>
    </xf>
    <xf numFmtId="165" fontId="24" fillId="0" borderId="10" xfId="1" applyNumberFormat="1" applyFont="1" applyBorder="1" applyAlignment="1"/>
    <xf numFmtId="0" fontId="9" fillId="9" borderId="12" xfId="7" applyFill="1" applyBorder="1"/>
    <xf numFmtId="0" fontId="9" fillId="9" borderId="13" xfId="7" applyFill="1" applyBorder="1"/>
    <xf numFmtId="165" fontId="25" fillId="6" borderId="14" xfId="1" applyNumberFormat="1" applyFont="1" applyFill="1" applyBorder="1" applyAlignment="1"/>
    <xf numFmtId="165" fontId="25" fillId="6" borderId="15" xfId="1" applyNumberFormat="1" applyFont="1" applyFill="1" applyBorder="1" applyAlignment="1"/>
    <xf numFmtId="0" fontId="9" fillId="9" borderId="13" xfId="7" applyFill="1" applyBorder="1" applyAlignment="1">
      <alignment horizontal="right"/>
    </xf>
    <xf numFmtId="165" fontId="25" fillId="8" borderId="14" xfId="1" applyNumberFormat="1" applyFont="1" applyFill="1" applyBorder="1" applyAlignment="1"/>
    <xf numFmtId="165" fontId="35" fillId="8" borderId="15" xfId="1" applyNumberFormat="1" applyFont="1" applyFill="1" applyBorder="1" applyAlignment="1"/>
    <xf numFmtId="3" fontId="25" fillId="0" borderId="9" xfId="7" applyNumberFormat="1" applyFont="1" applyBorder="1" applyAlignment="1">
      <alignment horizontal="right" indent="1"/>
    </xf>
    <xf numFmtId="0" fontId="9" fillId="0" borderId="12" xfId="7" applyBorder="1"/>
    <xf numFmtId="0" fontId="9" fillId="0" borderId="13" xfId="7" applyBorder="1" applyAlignment="1">
      <alignment horizontal="right" indent="1"/>
    </xf>
    <xf numFmtId="165" fontId="25" fillId="0" borderId="14" xfId="1" applyNumberFormat="1" applyFont="1" applyBorder="1" applyAlignment="1"/>
    <xf numFmtId="3" fontId="25" fillId="5" borderId="9" xfId="7" applyNumberFormat="1" applyFont="1" applyFill="1" applyBorder="1" applyAlignment="1">
      <alignment horizontal="right"/>
    </xf>
    <xf numFmtId="165" fontId="25" fillId="5" borderId="14" xfId="1" applyNumberFormat="1" applyFont="1" applyFill="1" applyBorder="1" applyAlignment="1"/>
    <xf numFmtId="165" fontId="13" fillId="0" borderId="10" xfId="1" applyNumberFormat="1" applyFont="1" applyFill="1" applyBorder="1" applyAlignment="1">
      <alignment horizontal="right"/>
    </xf>
    <xf numFmtId="0" fontId="0" fillId="9" borderId="13" xfId="0" applyFill="1" applyBorder="1"/>
    <xf numFmtId="165" fontId="16" fillId="6" borderId="14" xfId="1" applyNumberFormat="1" applyFont="1" applyFill="1" applyBorder="1" applyAlignment="1">
      <alignment horizontal="right" vertical="center"/>
    </xf>
    <xf numFmtId="165" fontId="34" fillId="6" borderId="15" xfId="1" applyNumberFormat="1" applyFont="1" applyFill="1" applyBorder="1" applyAlignment="1">
      <alignment horizontal="right" vertical="center"/>
    </xf>
    <xf numFmtId="165" fontId="0" fillId="0" borderId="10" xfId="1" applyNumberFormat="1" applyFont="1" applyBorder="1" applyAlignment="1">
      <alignment horizontal="right"/>
    </xf>
    <xf numFmtId="165" fontId="16" fillId="8" borderId="13" xfId="1" applyNumberFormat="1" applyFont="1" applyFill="1" applyBorder="1" applyAlignment="1">
      <alignment horizontal="right"/>
    </xf>
    <xf numFmtId="165" fontId="34" fillId="8" borderId="16" xfId="1" applyNumberFormat="1" applyFont="1" applyFill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41" fontId="16" fillId="7" borderId="9" xfId="0" applyNumberFormat="1" applyFont="1" applyFill="1" applyBorder="1"/>
    <xf numFmtId="165" fontId="16" fillId="7" borderId="14" xfId="1" applyNumberFormat="1" applyFont="1" applyFill="1" applyBorder="1" applyAlignment="1">
      <alignment horizontal="right"/>
    </xf>
    <xf numFmtId="165" fontId="34" fillId="8" borderId="15" xfId="1" applyNumberFormat="1" applyFont="1" applyFill="1" applyBorder="1" applyAlignment="1">
      <alignment horizontal="right" indent="1"/>
    </xf>
    <xf numFmtId="165" fontId="17" fillId="0" borderId="16" xfId="1" applyNumberFormat="1" applyFont="1" applyBorder="1" applyAlignment="1">
      <alignment horizontal="right" indent="1"/>
    </xf>
    <xf numFmtId="165" fontId="34" fillId="7" borderId="15" xfId="1" applyNumberFormat="1" applyFont="1" applyFill="1" applyBorder="1" applyAlignment="1">
      <alignment horizontal="right" indent="1"/>
    </xf>
    <xf numFmtId="165" fontId="35" fillId="0" borderId="15" xfId="1" applyNumberFormat="1" applyFont="1" applyBorder="1" applyAlignment="1"/>
    <xf numFmtId="165" fontId="35" fillId="5" borderId="15" xfId="1" applyNumberFormat="1" applyFont="1" applyFill="1" applyBorder="1" applyAlignment="1"/>
    <xf numFmtId="165" fontId="17" fillId="0" borderId="16" xfId="1" applyNumberFormat="1" applyFont="1" applyBorder="1" applyAlignment="1">
      <alignment horizontal="right"/>
    </xf>
    <xf numFmtId="165" fontId="34" fillId="7" borderId="15" xfId="1" applyNumberFormat="1" applyFont="1" applyFill="1" applyBorder="1" applyAlignment="1">
      <alignment horizontal="right"/>
    </xf>
    <xf numFmtId="165" fontId="0" fillId="13" borderId="0" xfId="0" applyNumberFormat="1" applyFill="1"/>
    <xf numFmtId="0" fontId="0" fillId="13" borderId="0" xfId="0" applyFill="1"/>
    <xf numFmtId="44" fontId="0" fillId="13" borderId="0" xfId="0" applyNumberFormat="1" applyFill="1"/>
    <xf numFmtId="1" fontId="33" fillId="13" borderId="1" xfId="0" applyNumberFormat="1" applyFont="1" applyFill="1" applyBorder="1" applyAlignment="1">
      <alignment horizontal="center" vertical="center"/>
    </xf>
    <xf numFmtId="1" fontId="31" fillId="13" borderId="1" xfId="4" applyNumberFormat="1" applyFont="1" applyFill="1" applyBorder="1" applyAlignment="1">
      <alignment horizontal="center" wrapText="1"/>
    </xf>
    <xf numFmtId="165" fontId="21" fillId="11" borderId="1" xfId="1" applyNumberFormat="1" applyFont="1" applyFill="1" applyBorder="1" applyAlignment="1">
      <alignment horizontal="center" vertical="center"/>
    </xf>
    <xf numFmtId="165" fontId="17" fillId="0" borderId="2" xfId="1" applyNumberFormat="1" applyFont="1" applyBorder="1" applyAlignment="1">
      <alignment horizontal="right" indent="1"/>
    </xf>
    <xf numFmtId="165" fontId="33" fillId="13" borderId="1" xfId="1" applyNumberFormat="1" applyFont="1" applyFill="1" applyBorder="1" applyAlignment="1">
      <alignment horizontal="right" indent="1"/>
    </xf>
    <xf numFmtId="165" fontId="17" fillId="0" borderId="5" xfId="1" applyNumberFormat="1" applyFont="1" applyBorder="1" applyAlignment="1">
      <alignment horizontal="right" indent="1"/>
    </xf>
    <xf numFmtId="165" fontId="17" fillId="0" borderId="3" xfId="1" applyNumberFormat="1" applyFont="1" applyBorder="1" applyAlignment="1">
      <alignment horizontal="right" indent="1"/>
    </xf>
    <xf numFmtId="165" fontId="33" fillId="0" borderId="2" xfId="1" applyNumberFormat="1" applyFont="1" applyBorder="1" applyAlignment="1">
      <alignment horizontal="right" indent="1"/>
    </xf>
    <xf numFmtId="164" fontId="33" fillId="11" borderId="1" xfId="0" applyNumberFormat="1" applyFont="1" applyFill="1" applyBorder="1" applyAlignment="1">
      <alignment horizontal="right" indent="1"/>
    </xf>
    <xf numFmtId="164" fontId="33" fillId="10" borderId="1" xfId="0" applyNumberFormat="1" applyFont="1" applyFill="1" applyBorder="1" applyAlignment="1">
      <alignment horizontal="right" indent="1"/>
    </xf>
    <xf numFmtId="41" fontId="33" fillId="11" borderId="1" xfId="0" applyNumberFormat="1" applyFont="1" applyFill="1" applyBorder="1"/>
    <xf numFmtId="41" fontId="0" fillId="0" borderId="13" xfId="0" applyNumberFormat="1" applyBorder="1"/>
    <xf numFmtId="41" fontId="33" fillId="0" borderId="16" xfId="0" applyNumberFormat="1" applyFont="1" applyBorder="1"/>
    <xf numFmtId="41" fontId="33" fillId="0" borderId="0" xfId="0" applyNumberFormat="1" applyFont="1"/>
    <xf numFmtId="0" fontId="15" fillId="0" borderId="2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0" xfId="0" applyFont="1"/>
    <xf numFmtId="0" fontId="15" fillId="0" borderId="12" xfId="0" applyFont="1" applyBorder="1" applyAlignment="1">
      <alignment horizontal="right" indent="1"/>
    </xf>
    <xf numFmtId="0" fontId="15" fillId="0" borderId="0" xfId="0" applyFont="1" applyAlignment="1">
      <alignment horizontal="right" indent="1"/>
    </xf>
    <xf numFmtId="0" fontId="15" fillId="15" borderId="0" xfId="0" applyFont="1" applyFill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 wrapText="1"/>
    </xf>
    <xf numFmtId="44" fontId="15" fillId="15" borderId="1" xfId="1" applyFont="1" applyFill="1" applyBorder="1" applyAlignment="1">
      <alignment horizontal="center" vertical="center" wrapText="1"/>
    </xf>
    <xf numFmtId="165" fontId="31" fillId="13" borderId="1" xfId="1" applyNumberFormat="1" applyFont="1" applyFill="1" applyBorder="1" applyAlignment="1"/>
    <xf numFmtId="0" fontId="9" fillId="0" borderId="0" xfId="7" applyAlignment="1">
      <alignment horizontal="center"/>
    </xf>
    <xf numFmtId="165" fontId="13" fillId="0" borderId="10" xfId="1" applyNumberFormat="1" applyFont="1" applyFill="1" applyBorder="1" applyAlignment="1">
      <alignment horizontal="right" indent="1"/>
    </xf>
    <xf numFmtId="165" fontId="31" fillId="13" borderId="10" xfId="1" applyNumberFormat="1" applyFont="1" applyFill="1" applyBorder="1" applyAlignment="1"/>
    <xf numFmtId="165" fontId="0" fillId="0" borderId="4" xfId="1" applyNumberFormat="1" applyFont="1" applyBorder="1" applyAlignment="1">
      <alignment horizontal="right" indent="1"/>
    </xf>
    <xf numFmtId="41" fontId="0" fillId="0" borderId="10" xfId="0" applyNumberFormat="1" applyBorder="1"/>
    <xf numFmtId="165" fontId="33" fillId="11" borderId="4" xfId="1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3" fontId="16" fillId="6" borderId="9" xfId="0" applyNumberFormat="1" applyFont="1" applyFill="1" applyBorder="1" applyAlignment="1">
      <alignment horizontal="right" indent="1"/>
    </xf>
    <xf numFmtId="0" fontId="0" fillId="4" borderId="12" xfId="0" applyFill="1" applyBorder="1"/>
    <xf numFmtId="0" fontId="15" fillId="4" borderId="13" xfId="0" applyFont="1" applyFill="1" applyBorder="1" applyAlignment="1">
      <alignment horizontal="right"/>
    </xf>
    <xf numFmtId="165" fontId="16" fillId="6" borderId="14" xfId="1" applyNumberFormat="1" applyFont="1" applyFill="1" applyBorder="1" applyAlignment="1">
      <alignment horizontal="right" indent="1"/>
    </xf>
    <xf numFmtId="165" fontId="16" fillId="6" borderId="15" xfId="1" applyNumberFormat="1" applyFont="1" applyFill="1" applyBorder="1" applyAlignment="1">
      <alignment horizontal="right" indent="1"/>
    </xf>
    <xf numFmtId="0" fontId="15" fillId="4" borderId="17" xfId="0" applyFont="1" applyFill="1" applyBorder="1" applyAlignment="1">
      <alignment horizontal="right"/>
    </xf>
    <xf numFmtId="41" fontId="16" fillId="5" borderId="9" xfId="0" applyNumberFormat="1" applyFont="1" applyFill="1" applyBorder="1" applyAlignment="1">
      <alignment horizontal="right" indent="1"/>
    </xf>
    <xf numFmtId="0" fontId="15" fillId="0" borderId="13" xfId="0" applyFont="1" applyBorder="1" applyAlignment="1">
      <alignment horizontal="right" indent="1"/>
    </xf>
    <xf numFmtId="41" fontId="16" fillId="5" borderId="14" xfId="0" applyNumberFormat="1" applyFont="1" applyFill="1" applyBorder="1" applyAlignment="1">
      <alignment horizontal="right" indent="1"/>
    </xf>
    <xf numFmtId="41" fontId="16" fillId="5" borderId="15" xfId="0" applyNumberFormat="1" applyFont="1" applyFill="1" applyBorder="1" applyAlignment="1">
      <alignment horizontal="right" indent="1"/>
    </xf>
    <xf numFmtId="0" fontId="15" fillId="0" borderId="9" xfId="0" applyFont="1" applyBorder="1" applyAlignment="1">
      <alignment horizontal="center" vertical="center"/>
    </xf>
    <xf numFmtId="9" fontId="15" fillId="0" borderId="1" xfId="11" applyFont="1" applyBorder="1" applyAlignment="1">
      <alignment horizontal="center"/>
    </xf>
    <xf numFmtId="0" fontId="15" fillId="4" borderId="14" xfId="0" applyFont="1" applyFill="1" applyBorder="1" applyAlignment="1">
      <alignment horizontal="right"/>
    </xf>
    <xf numFmtId="165" fontId="16" fillId="5" borderId="14" xfId="1" applyNumberFormat="1" applyFont="1" applyFill="1" applyBorder="1" applyAlignment="1">
      <alignment horizontal="right" indent="1"/>
    </xf>
    <xf numFmtId="165" fontId="16" fillId="5" borderId="15" xfId="1" applyNumberFormat="1" applyFont="1" applyFill="1" applyBorder="1" applyAlignment="1">
      <alignment horizontal="right" indent="1"/>
    </xf>
    <xf numFmtId="37" fontId="12" fillId="0" borderId="9" xfId="3" applyNumberFormat="1" applyFont="1" applyBorder="1" applyAlignment="1">
      <alignment horizontal="center" vertical="center"/>
    </xf>
    <xf numFmtId="165" fontId="34" fillId="5" borderId="15" xfId="1" applyNumberFormat="1" applyFont="1" applyFill="1" applyBorder="1" applyAlignment="1">
      <alignment horizontal="right" indent="1"/>
    </xf>
    <xf numFmtId="0" fontId="0" fillId="4" borderId="0" xfId="0" applyFill="1"/>
    <xf numFmtId="165" fontId="0" fillId="4" borderId="1" xfId="1" applyNumberFormat="1" applyFont="1" applyFill="1" applyBorder="1" applyAlignment="1">
      <alignment horizontal="right" indent="1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165" fontId="13" fillId="4" borderId="1" xfId="1" applyNumberFormat="1" applyFont="1" applyFill="1" applyBorder="1" applyAlignment="1">
      <alignment horizontal="right" indent="1"/>
    </xf>
    <xf numFmtId="165" fontId="13" fillId="4" borderId="1" xfId="1" applyNumberFormat="1" applyFont="1" applyFill="1" applyBorder="1" applyAlignment="1">
      <alignment horizontal="right"/>
    </xf>
    <xf numFmtId="0" fontId="13" fillId="4" borderId="0" xfId="7" applyFont="1" applyFill="1"/>
    <xf numFmtId="0" fontId="13" fillId="4" borderId="0" xfId="7" applyFont="1" applyFill="1" applyAlignment="1">
      <alignment horizontal="left"/>
    </xf>
    <xf numFmtId="165" fontId="24" fillId="4" borderId="1" xfId="1" applyNumberFormat="1" applyFont="1" applyFill="1" applyBorder="1" applyAlignment="1"/>
    <xf numFmtId="0" fontId="37" fillId="0" borderId="0" xfId="7" applyFont="1" applyAlignment="1">
      <alignment horizontal="center"/>
    </xf>
    <xf numFmtId="0" fontId="37" fillId="0" borderId="0" xfId="7" applyFont="1"/>
    <xf numFmtId="164" fontId="33" fillId="8" borderId="1" xfId="0" applyNumberFormat="1" applyFont="1" applyFill="1" applyBorder="1" applyAlignment="1">
      <alignment horizontal="right" indent="1"/>
    </xf>
    <xf numFmtId="41" fontId="33" fillId="8" borderId="1" xfId="0" applyNumberFormat="1" applyFont="1" applyFill="1" applyBorder="1"/>
    <xf numFmtId="165" fontId="33" fillId="8" borderId="1" xfId="1" applyNumberFormat="1" applyFont="1" applyFill="1" applyBorder="1" applyAlignment="1">
      <alignment horizontal="right"/>
    </xf>
    <xf numFmtId="165" fontId="9" fillId="13" borderId="0" xfId="7" applyNumberFormat="1" applyFill="1"/>
    <xf numFmtId="165" fontId="31" fillId="8" borderId="1" xfId="1" applyNumberFormat="1" applyFont="1" applyFill="1" applyBorder="1" applyAlignment="1"/>
    <xf numFmtId="165" fontId="33" fillId="8" borderId="1" xfId="1" applyNumberFormat="1" applyFont="1" applyFill="1" applyBorder="1" applyAlignment="1">
      <alignment horizontal="right" indent="1"/>
    </xf>
    <xf numFmtId="0" fontId="21" fillId="8" borderId="1" xfId="4" applyFont="1" applyFill="1" applyBorder="1" applyAlignment="1">
      <alignment horizontal="center" wrapText="1"/>
    </xf>
    <xf numFmtId="165" fontId="0" fillId="8" borderId="1" xfId="1" applyNumberFormat="1" applyFont="1" applyFill="1" applyBorder="1" applyAlignment="1">
      <alignment horizontal="right" indent="1"/>
    </xf>
    <xf numFmtId="165" fontId="0" fillId="13" borderId="1" xfId="1" applyNumberFormat="1" applyFont="1" applyFill="1" applyBorder="1" applyAlignment="1">
      <alignment horizontal="right" indent="1"/>
    </xf>
    <xf numFmtId="0" fontId="15" fillId="8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1" borderId="1" xfId="1" applyNumberFormat="1" applyFont="1" applyFill="1" applyBorder="1" applyAlignment="1">
      <alignment horizontal="right" vertical="center"/>
    </xf>
    <xf numFmtId="0" fontId="33" fillId="7" borderId="0" xfId="7" applyFont="1" applyFill="1"/>
    <xf numFmtId="0" fontId="33" fillId="7" borderId="0" xfId="7" applyFont="1" applyFill="1" applyAlignment="1">
      <alignment horizontal="left"/>
    </xf>
    <xf numFmtId="0" fontId="33" fillId="7" borderId="0" xfId="0" applyFont="1" applyFill="1"/>
    <xf numFmtId="0" fontId="33" fillId="7" borderId="0" xfId="0" applyFont="1" applyFill="1" applyAlignment="1">
      <alignment horizontal="left"/>
    </xf>
    <xf numFmtId="9" fontId="0" fillId="0" borderId="11" xfId="11" applyFont="1" applyFill="1" applyBorder="1" applyAlignment="1">
      <alignment horizontal="right" indent="1"/>
    </xf>
    <xf numFmtId="39" fontId="0" fillId="0" borderId="11" xfId="0" applyNumberFormat="1" applyBorder="1"/>
    <xf numFmtId="44" fontId="15" fillId="2" borderId="11" xfId="1" applyFont="1" applyFill="1" applyBorder="1" applyAlignment="1">
      <alignment horizontal="center" wrapText="1"/>
    </xf>
    <xf numFmtId="42" fontId="0" fillId="0" borderId="0" xfId="1" applyNumberFormat="1" applyFont="1"/>
    <xf numFmtId="42" fontId="0" fillId="0" borderId="0" xfId="1" applyNumberFormat="1" applyFont="1" applyFill="1"/>
    <xf numFmtId="42" fontId="0" fillId="0" borderId="0" xfId="1" applyNumberFormat="1" applyFont="1" applyBorder="1"/>
    <xf numFmtId="42" fontId="16" fillId="17" borderId="12" xfId="1" applyNumberFormat="1" applyFont="1" applyFill="1" applyBorder="1"/>
    <xf numFmtId="42" fontId="16" fillId="17" borderId="18" xfId="1" applyNumberFormat="1" applyFont="1" applyFill="1" applyBorder="1"/>
    <xf numFmtId="42" fontId="16" fillId="24" borderId="15" xfId="1" applyNumberFormat="1" applyFont="1" applyFill="1" applyBorder="1"/>
    <xf numFmtId="42" fontId="29" fillId="19" borderId="22" xfId="1" applyNumberFormat="1" applyFont="1" applyFill="1" applyBorder="1" applyAlignment="1">
      <alignment horizontal="right" indent="1"/>
    </xf>
    <xf numFmtId="42" fontId="29" fillId="24" borderId="20" xfId="1" applyNumberFormat="1" applyFont="1" applyFill="1" applyBorder="1" applyAlignment="1">
      <alignment horizontal="right" indent="1"/>
    </xf>
    <xf numFmtId="42" fontId="39" fillId="0" borderId="0" xfId="1" applyNumberFormat="1" applyFont="1"/>
    <xf numFmtId="42" fontId="15" fillId="0" borderId="0" xfId="1" applyNumberFormat="1" applyFont="1"/>
    <xf numFmtId="42" fontId="15" fillId="24" borderId="15" xfId="1" applyNumberFormat="1" applyFont="1" applyFill="1" applyBorder="1" applyAlignment="1">
      <alignment horizontal="center" wrapText="1"/>
    </xf>
    <xf numFmtId="42" fontId="0" fillId="0" borderId="7" xfId="1" applyNumberFormat="1" applyFont="1" applyBorder="1"/>
    <xf numFmtId="42" fontId="13" fillId="0" borderId="7" xfId="1" applyNumberFormat="1" applyFont="1" applyBorder="1"/>
    <xf numFmtId="42" fontId="0" fillId="0" borderId="25" xfId="1" applyNumberFormat="1" applyFont="1" applyBorder="1"/>
    <xf numFmtId="42" fontId="0" fillId="0" borderId="29" xfId="1" applyNumberFormat="1" applyFont="1" applyBorder="1"/>
    <xf numFmtId="0" fontId="0" fillId="0" borderId="7" xfId="0" applyBorder="1"/>
    <xf numFmtId="0" fontId="0" fillId="0" borderId="28" xfId="0" applyBorder="1"/>
    <xf numFmtId="42" fontId="0" fillId="0" borderId="7" xfId="1" applyNumberFormat="1" applyFont="1" applyFill="1" applyBorder="1"/>
    <xf numFmtId="0" fontId="0" fillId="0" borderId="25" xfId="0" applyBorder="1"/>
    <xf numFmtId="0" fontId="13" fillId="0" borderId="7" xfId="0" applyFont="1" applyBorder="1"/>
    <xf numFmtId="42" fontId="33" fillId="7" borderId="7" xfId="1" applyNumberFormat="1" applyFont="1" applyFill="1" applyBorder="1"/>
    <xf numFmtId="42" fontId="0" fillId="0" borderId="30" xfId="1" applyNumberFormat="1" applyFont="1" applyBorder="1"/>
    <xf numFmtId="42" fontId="0" fillId="19" borderId="31" xfId="1" applyNumberFormat="1" applyFont="1" applyFill="1" applyBorder="1" applyAlignment="1">
      <alignment horizontal="right" indent="1"/>
    </xf>
    <xf numFmtId="42" fontId="0" fillId="19" borderId="9" xfId="1" applyNumberFormat="1" applyFont="1" applyFill="1" applyBorder="1" applyAlignment="1">
      <alignment horizontal="right" indent="1"/>
    </xf>
    <xf numFmtId="42" fontId="0" fillId="19" borderId="32" xfId="1" applyNumberFormat="1" applyFont="1" applyFill="1" applyBorder="1"/>
    <xf numFmtId="42" fontId="15" fillId="18" borderId="27" xfId="1" applyNumberFormat="1" applyFont="1" applyFill="1" applyBorder="1" applyAlignment="1">
      <alignment horizontal="center" wrapText="1"/>
    </xf>
    <xf numFmtId="42" fontId="16" fillId="18" borderId="12" xfId="1" applyNumberFormat="1" applyFont="1" applyFill="1" applyBorder="1"/>
    <xf numFmtId="42" fontId="0" fillId="18" borderId="35" xfId="1" applyNumberFormat="1" applyFont="1" applyFill="1" applyBorder="1"/>
    <xf numFmtId="42" fontId="0" fillId="18" borderId="39" xfId="1" applyNumberFormat="1" applyFont="1" applyFill="1" applyBorder="1"/>
    <xf numFmtId="42" fontId="15" fillId="19" borderId="27" xfId="1" applyNumberFormat="1" applyFont="1" applyFill="1" applyBorder="1" applyAlignment="1">
      <alignment horizontal="center" wrapText="1"/>
    </xf>
    <xf numFmtId="42" fontId="15" fillId="19" borderId="15" xfId="1" applyNumberFormat="1" applyFont="1" applyFill="1" applyBorder="1" applyAlignment="1">
      <alignment horizontal="center" wrapText="1"/>
    </xf>
    <xf numFmtId="42" fontId="16" fillId="19" borderId="27" xfId="1" applyNumberFormat="1" applyFont="1" applyFill="1" applyBorder="1" applyAlignment="1">
      <alignment horizontal="right" indent="1"/>
    </xf>
    <xf numFmtId="42" fontId="16" fillId="19" borderId="15" xfId="1" applyNumberFormat="1" applyFont="1" applyFill="1" applyBorder="1" applyAlignment="1">
      <alignment horizontal="right" indent="1"/>
    </xf>
    <xf numFmtId="42" fontId="0" fillId="19" borderId="42" xfId="1" applyNumberFormat="1" applyFont="1" applyFill="1" applyBorder="1" applyAlignment="1">
      <alignment horizontal="right" indent="1"/>
    </xf>
    <xf numFmtId="42" fontId="0" fillId="19" borderId="36" xfId="1" applyNumberFormat="1" applyFont="1" applyFill="1" applyBorder="1" applyAlignment="1">
      <alignment horizontal="right" indent="1"/>
    </xf>
    <xf numFmtId="42" fontId="0" fillId="19" borderId="38" xfId="1" applyNumberFormat="1" applyFont="1" applyFill="1" applyBorder="1"/>
    <xf numFmtId="42" fontId="29" fillId="19" borderId="20" xfId="1" applyNumberFormat="1" applyFont="1" applyFill="1" applyBorder="1" applyAlignment="1">
      <alignment horizontal="right" indent="1"/>
    </xf>
    <xf numFmtId="42" fontId="0" fillId="19" borderId="35" xfId="1" applyNumberFormat="1" applyFont="1" applyFill="1" applyBorder="1"/>
    <xf numFmtId="42" fontId="0" fillId="19" borderId="36" xfId="1" applyNumberFormat="1" applyFont="1" applyFill="1" applyBorder="1"/>
    <xf numFmtId="42" fontId="15" fillId="20" borderId="27" xfId="1" applyNumberFormat="1" applyFont="1" applyFill="1" applyBorder="1" applyAlignment="1">
      <alignment horizontal="center" wrapText="1"/>
    </xf>
    <xf numFmtId="42" fontId="15" fillId="20" borderId="15" xfId="1" applyNumberFormat="1" applyFont="1" applyFill="1" applyBorder="1" applyAlignment="1">
      <alignment horizontal="center" wrapText="1"/>
    </xf>
    <xf numFmtId="42" fontId="16" fillId="20" borderId="27" xfId="1" applyNumberFormat="1" applyFont="1" applyFill="1" applyBorder="1"/>
    <xf numFmtId="42" fontId="16" fillId="20" borderId="15" xfId="1" applyNumberFormat="1" applyFont="1" applyFill="1" applyBorder="1"/>
    <xf numFmtId="42" fontId="0" fillId="20" borderId="41" xfId="1" applyNumberFormat="1" applyFont="1" applyFill="1" applyBorder="1"/>
    <xf numFmtId="42" fontId="0" fillId="20" borderId="42" xfId="1" applyNumberFormat="1" applyFont="1" applyFill="1" applyBorder="1"/>
    <xf numFmtId="42" fontId="0" fillId="20" borderId="35" xfId="1" applyNumberFormat="1" applyFont="1" applyFill="1" applyBorder="1"/>
    <xf numFmtId="42" fontId="0" fillId="20" borderId="36" xfId="1" applyNumberFormat="1" applyFont="1" applyFill="1" applyBorder="1"/>
    <xf numFmtId="42" fontId="0" fillId="20" borderId="37" xfId="1" applyNumberFormat="1" applyFont="1" applyFill="1" applyBorder="1"/>
    <xf numFmtId="42" fontId="0" fillId="20" borderId="38" xfId="1" applyNumberFormat="1" applyFont="1" applyFill="1" applyBorder="1"/>
    <xf numFmtId="42" fontId="29" fillId="20" borderId="22" xfId="1" applyNumberFormat="1" applyFont="1" applyFill="1" applyBorder="1" applyAlignment="1">
      <alignment horizontal="right" indent="1"/>
    </xf>
    <xf numFmtId="42" fontId="29" fillId="20" borderId="20" xfId="1" applyNumberFormat="1" applyFont="1" applyFill="1" applyBorder="1" applyAlignment="1">
      <alignment horizontal="right" indent="1"/>
    </xf>
    <xf numFmtId="42" fontId="15" fillId="21" borderId="27" xfId="1" applyNumberFormat="1" applyFont="1" applyFill="1" applyBorder="1" applyAlignment="1">
      <alignment horizontal="center" wrapText="1"/>
    </xf>
    <xf numFmtId="42" fontId="15" fillId="21" borderId="15" xfId="1" applyNumberFormat="1" applyFont="1" applyFill="1" applyBorder="1" applyAlignment="1">
      <alignment horizontal="center" wrapText="1"/>
    </xf>
    <xf numFmtId="42" fontId="16" fillId="21" borderId="27" xfId="1" applyNumberFormat="1" applyFont="1" applyFill="1" applyBorder="1"/>
    <xf numFmtId="42" fontId="16" fillId="21" borderId="15" xfId="1" applyNumberFormat="1" applyFont="1" applyFill="1" applyBorder="1"/>
    <xf numFmtId="42" fontId="0" fillId="21" borderId="41" xfId="1" applyNumberFormat="1" applyFont="1" applyFill="1" applyBorder="1"/>
    <xf numFmtId="42" fontId="0" fillId="21" borderId="42" xfId="1" applyNumberFormat="1" applyFont="1" applyFill="1" applyBorder="1"/>
    <xf numFmtId="42" fontId="0" fillId="21" borderId="35" xfId="1" applyNumberFormat="1" applyFont="1" applyFill="1" applyBorder="1"/>
    <xf numFmtId="42" fontId="0" fillId="21" borderId="36" xfId="1" applyNumberFormat="1" applyFont="1" applyFill="1" applyBorder="1"/>
    <xf numFmtId="42" fontId="0" fillId="21" borderId="37" xfId="1" applyNumberFormat="1" applyFont="1" applyFill="1" applyBorder="1"/>
    <xf numFmtId="42" fontId="0" fillId="21" borderId="38" xfId="1" applyNumberFormat="1" applyFont="1" applyFill="1" applyBorder="1"/>
    <xf numFmtId="42" fontId="29" fillId="21" borderId="22" xfId="1" applyNumberFormat="1" applyFont="1" applyFill="1" applyBorder="1" applyAlignment="1">
      <alignment horizontal="right" indent="1"/>
    </xf>
    <xf numFmtId="42" fontId="29" fillId="21" borderId="20" xfId="1" applyNumberFormat="1" applyFont="1" applyFill="1" applyBorder="1" applyAlignment="1">
      <alignment horizontal="right" indent="1"/>
    </xf>
    <xf numFmtId="42" fontId="15" fillId="22" borderId="27" xfId="1" applyNumberFormat="1" applyFont="1" applyFill="1" applyBorder="1" applyAlignment="1">
      <alignment horizontal="center" wrapText="1"/>
    </xf>
    <xf numFmtId="42" fontId="15" fillId="22" borderId="15" xfId="1" applyNumberFormat="1" applyFont="1" applyFill="1" applyBorder="1" applyAlignment="1">
      <alignment horizontal="center" wrapText="1"/>
    </xf>
    <xf numFmtId="42" fontId="16" fillId="22" borderId="27" xfId="1" applyNumberFormat="1" applyFont="1" applyFill="1" applyBorder="1"/>
    <xf numFmtId="42" fontId="16" fillId="22" borderId="15" xfId="1" applyNumberFormat="1" applyFont="1" applyFill="1" applyBorder="1"/>
    <xf numFmtId="42" fontId="0" fillId="22" borderId="41" xfId="1" applyNumberFormat="1" applyFont="1" applyFill="1" applyBorder="1"/>
    <xf numFmtId="42" fontId="0" fillId="22" borderId="42" xfId="1" applyNumberFormat="1" applyFont="1" applyFill="1" applyBorder="1"/>
    <xf numFmtId="42" fontId="0" fillId="22" borderId="35" xfId="1" applyNumberFormat="1" applyFont="1" applyFill="1" applyBorder="1"/>
    <xf numFmtId="42" fontId="0" fillId="22" borderId="36" xfId="1" applyNumberFormat="1" applyFont="1" applyFill="1" applyBorder="1"/>
    <xf numFmtId="42" fontId="0" fillId="22" borderId="37" xfId="1" applyNumberFormat="1" applyFont="1" applyFill="1" applyBorder="1"/>
    <xf numFmtId="42" fontId="0" fillId="22" borderId="38" xfId="1" applyNumberFormat="1" applyFont="1" applyFill="1" applyBorder="1"/>
    <xf numFmtId="42" fontId="29" fillId="22" borderId="22" xfId="1" applyNumberFormat="1" applyFont="1" applyFill="1" applyBorder="1" applyAlignment="1">
      <alignment horizontal="right" indent="1"/>
    </xf>
    <xf numFmtId="42" fontId="29" fillId="22" borderId="20" xfId="1" applyNumberFormat="1" applyFont="1" applyFill="1" applyBorder="1" applyAlignment="1">
      <alignment horizontal="right" indent="1"/>
    </xf>
    <xf numFmtId="42" fontId="15" fillId="23" borderId="27" xfId="1" applyNumberFormat="1" applyFont="1" applyFill="1" applyBorder="1" applyAlignment="1">
      <alignment horizontal="center" wrapText="1"/>
    </xf>
    <xf numFmtId="42" fontId="15" fillId="23" borderId="15" xfId="1" applyNumberFormat="1" applyFont="1" applyFill="1" applyBorder="1" applyAlignment="1">
      <alignment horizontal="center" wrapText="1"/>
    </xf>
    <xf numFmtId="42" fontId="16" fillId="23" borderId="27" xfId="1" applyNumberFormat="1" applyFont="1" applyFill="1" applyBorder="1"/>
    <xf numFmtId="42" fontId="16" fillId="23" borderId="15" xfId="1" applyNumberFormat="1" applyFont="1" applyFill="1" applyBorder="1"/>
    <xf numFmtId="42" fontId="0" fillId="23" borderId="41" xfId="1" applyNumberFormat="1" applyFont="1" applyFill="1" applyBorder="1"/>
    <xf numFmtId="42" fontId="0" fillId="23" borderId="42" xfId="1" applyNumberFormat="1" applyFont="1" applyFill="1" applyBorder="1"/>
    <xf numFmtId="42" fontId="0" fillId="23" borderId="35" xfId="1" applyNumberFormat="1" applyFont="1" applyFill="1" applyBorder="1"/>
    <xf numFmtId="42" fontId="0" fillId="23" borderId="36" xfId="1" applyNumberFormat="1" applyFont="1" applyFill="1" applyBorder="1"/>
    <xf numFmtId="42" fontId="0" fillId="23" borderId="37" xfId="1" applyNumberFormat="1" applyFont="1" applyFill="1" applyBorder="1"/>
    <xf numFmtId="42" fontId="0" fillId="23" borderId="38" xfId="1" applyNumberFormat="1" applyFont="1" applyFill="1" applyBorder="1"/>
    <xf numFmtId="42" fontId="29" fillId="23" borderId="22" xfId="1" applyNumberFormat="1" applyFont="1" applyFill="1" applyBorder="1" applyAlignment="1">
      <alignment horizontal="right" indent="1"/>
    </xf>
    <xf numFmtId="42" fontId="29" fillId="23" borderId="20" xfId="1" applyNumberFormat="1" applyFont="1" applyFill="1" applyBorder="1" applyAlignment="1">
      <alignment horizontal="right" indent="1"/>
    </xf>
    <xf numFmtId="42" fontId="15" fillId="24" borderId="27" xfId="1" applyNumberFormat="1" applyFont="1" applyFill="1" applyBorder="1" applyAlignment="1">
      <alignment horizontal="center" wrapText="1"/>
    </xf>
    <xf numFmtId="42" fontId="0" fillId="24" borderId="34" xfId="1" applyNumberFormat="1" applyFont="1" applyFill="1" applyBorder="1"/>
    <xf numFmtId="42" fontId="16" fillId="24" borderId="27" xfId="1" applyNumberFormat="1" applyFont="1" applyFill="1" applyBorder="1"/>
    <xf numFmtId="42" fontId="0" fillId="24" borderId="41" xfId="1" applyNumberFormat="1" applyFont="1" applyFill="1" applyBorder="1"/>
    <xf numFmtId="42" fontId="0" fillId="24" borderId="42" xfId="1" applyNumberFormat="1" applyFont="1" applyFill="1" applyBorder="1"/>
    <xf numFmtId="42" fontId="0" fillId="24" borderId="35" xfId="1" applyNumberFormat="1" applyFont="1" applyFill="1" applyBorder="1"/>
    <xf numFmtId="42" fontId="0" fillId="24" borderId="36" xfId="1" applyNumberFormat="1" applyFont="1" applyFill="1" applyBorder="1"/>
    <xf numFmtId="42" fontId="0" fillId="24" borderId="37" xfId="1" applyNumberFormat="1" applyFont="1" applyFill="1" applyBorder="1"/>
    <xf numFmtId="42" fontId="29" fillId="24" borderId="22" xfId="1" applyNumberFormat="1" applyFont="1" applyFill="1" applyBorder="1" applyAlignment="1">
      <alignment horizontal="right" indent="1"/>
    </xf>
    <xf numFmtId="42" fontId="15" fillId="20" borderId="35" xfId="1" applyNumberFormat="1" applyFont="1" applyFill="1" applyBorder="1"/>
    <xf numFmtId="42" fontId="15" fillId="21" borderId="35" xfId="1" applyNumberFormat="1" applyFont="1" applyFill="1" applyBorder="1"/>
    <xf numFmtId="42" fontId="15" fillId="21" borderId="36" xfId="1" applyNumberFormat="1" applyFont="1" applyFill="1" applyBorder="1"/>
    <xf numFmtId="42" fontId="15" fillId="22" borderId="35" xfId="1" applyNumberFormat="1" applyFont="1" applyFill="1" applyBorder="1"/>
    <xf numFmtId="42" fontId="15" fillId="22" borderId="36" xfId="1" applyNumberFormat="1" applyFont="1" applyFill="1" applyBorder="1"/>
    <xf numFmtId="42" fontId="15" fillId="23" borderId="35" xfId="1" applyNumberFormat="1" applyFont="1" applyFill="1" applyBorder="1"/>
    <xf numFmtId="42" fontId="15" fillId="24" borderId="35" xfId="1" applyNumberFormat="1" applyFont="1" applyFill="1" applyBorder="1"/>
    <xf numFmtId="42" fontId="15" fillId="24" borderId="36" xfId="1" applyNumberFormat="1" applyFont="1" applyFill="1" applyBorder="1"/>
    <xf numFmtId="42" fontId="29" fillId="18" borderId="27" xfId="1" applyNumberFormat="1" applyFont="1" applyFill="1" applyBorder="1" applyAlignment="1">
      <alignment horizontal="right" indent="1"/>
    </xf>
    <xf numFmtId="42" fontId="29" fillId="19" borderId="27" xfId="1" applyNumberFormat="1" applyFont="1" applyFill="1" applyBorder="1" applyAlignment="1">
      <alignment horizontal="right" indent="1"/>
    </xf>
    <xf numFmtId="42" fontId="29" fillId="20" borderId="27" xfId="1" applyNumberFormat="1" applyFont="1" applyFill="1" applyBorder="1" applyAlignment="1">
      <alignment horizontal="right" indent="1"/>
    </xf>
    <xf numFmtId="42" fontId="29" fillId="21" borderId="27" xfId="1" applyNumberFormat="1" applyFont="1" applyFill="1" applyBorder="1" applyAlignment="1">
      <alignment horizontal="right" indent="1"/>
    </xf>
    <xf numFmtId="42" fontId="29" fillId="22" borderId="27" xfId="1" applyNumberFormat="1" applyFont="1" applyFill="1" applyBorder="1" applyAlignment="1">
      <alignment horizontal="right" indent="1"/>
    </xf>
    <xf numFmtId="42" fontId="29" fillId="23" borderId="27" xfId="1" applyNumberFormat="1" applyFont="1" applyFill="1" applyBorder="1" applyAlignment="1">
      <alignment horizontal="right" indent="1"/>
    </xf>
    <xf numFmtId="42" fontId="29" fillId="24" borderId="27" xfId="1" applyNumberFormat="1" applyFont="1" applyFill="1" applyBorder="1" applyAlignment="1">
      <alignment horizontal="right" indent="1"/>
    </xf>
    <xf numFmtId="42" fontId="15" fillId="19" borderId="9" xfId="1" applyNumberFormat="1" applyFont="1" applyFill="1" applyBorder="1" applyAlignment="1">
      <alignment horizontal="right" indent="1"/>
    </xf>
    <xf numFmtId="42" fontId="15" fillId="16" borderId="12" xfId="1" applyNumberFormat="1" applyFont="1" applyFill="1" applyBorder="1" applyAlignment="1">
      <alignment horizontal="center"/>
    </xf>
    <xf numFmtId="42" fontId="0" fillId="0" borderId="47" xfId="1" applyNumberFormat="1" applyFont="1" applyFill="1" applyBorder="1"/>
    <xf numFmtId="42" fontId="15" fillId="0" borderId="47" xfId="1" applyNumberFormat="1" applyFont="1" applyFill="1" applyBorder="1" applyAlignment="1">
      <alignment horizontal="left"/>
    </xf>
    <xf numFmtId="42" fontId="13" fillId="0" borderId="47" xfId="1" applyNumberFormat="1" applyFont="1" applyFill="1" applyBorder="1" applyAlignment="1">
      <alignment horizontal="left"/>
    </xf>
    <xf numFmtId="42" fontId="13" fillId="0" borderId="47" xfId="1" applyNumberFormat="1" applyFont="1" applyFill="1" applyBorder="1"/>
    <xf numFmtId="42" fontId="13" fillId="0" borderId="47" xfId="1" applyNumberFormat="1" applyFont="1" applyBorder="1" applyAlignment="1">
      <alignment horizontal="left"/>
    </xf>
    <xf numFmtId="42" fontId="13" fillId="0" borderId="48" xfId="1" applyNumberFormat="1" applyFont="1" applyBorder="1" applyAlignment="1">
      <alignment horizontal="left"/>
    </xf>
    <xf numFmtId="42" fontId="0" fillId="0" borderId="33" xfId="1" applyNumberFormat="1" applyFont="1" applyFill="1" applyBorder="1"/>
    <xf numFmtId="42" fontId="13" fillId="0" borderId="33" xfId="1" applyNumberFormat="1" applyFont="1" applyFill="1" applyBorder="1"/>
    <xf numFmtId="42" fontId="0" fillId="0" borderId="33" xfId="1" applyNumberFormat="1" applyFont="1" applyFill="1" applyBorder="1" applyAlignment="1">
      <alignment horizontal="left" vertical="center"/>
    </xf>
    <xf numFmtId="42" fontId="13" fillId="0" borderId="33" xfId="1" applyNumberFormat="1" applyFont="1" applyFill="1" applyBorder="1" applyAlignment="1">
      <alignment horizontal="left" vertical="center"/>
    </xf>
    <xf numFmtId="42" fontId="0" fillId="0" borderId="41" xfId="1" applyNumberFormat="1" applyFont="1" applyBorder="1" applyAlignment="1">
      <alignment horizontal="left"/>
    </xf>
    <xf numFmtId="42" fontId="0" fillId="0" borderId="35" xfId="1" applyNumberFormat="1" applyFont="1" applyBorder="1" applyAlignment="1">
      <alignment horizontal="left"/>
    </xf>
    <xf numFmtId="42" fontId="0" fillId="0" borderId="37" xfId="1" applyNumberFormat="1" applyFont="1" applyBorder="1" applyAlignment="1">
      <alignment horizontal="left"/>
    </xf>
    <xf numFmtId="42" fontId="0" fillId="0" borderId="39" xfId="1" applyNumberFormat="1" applyFont="1" applyBorder="1"/>
    <xf numFmtId="42" fontId="0" fillId="0" borderId="33" xfId="1" applyNumberFormat="1" applyFont="1" applyBorder="1" applyAlignment="1">
      <alignment horizontal="left"/>
    </xf>
    <xf numFmtId="42" fontId="0" fillId="0" borderId="49" xfId="1" applyNumberFormat="1" applyFont="1" applyBorder="1" applyAlignment="1">
      <alignment horizontal="left"/>
    </xf>
    <xf numFmtId="42" fontId="0" fillId="0" borderId="33" xfId="1" applyNumberFormat="1" applyFont="1" applyFill="1" applyBorder="1" applyAlignment="1">
      <alignment horizontal="left"/>
    </xf>
    <xf numFmtId="0" fontId="13" fillId="0" borderId="35" xfId="0" applyFont="1" applyBorder="1"/>
    <xf numFmtId="0" fontId="13" fillId="0" borderId="37" xfId="0" applyFont="1" applyBorder="1"/>
    <xf numFmtId="0" fontId="13" fillId="0" borderId="41" xfId="0" applyFont="1" applyBorder="1"/>
    <xf numFmtId="0" fontId="13" fillId="0" borderId="39" xfId="0" applyFont="1" applyBorder="1"/>
    <xf numFmtId="42" fontId="33" fillId="7" borderId="33" xfId="1" applyNumberFormat="1" applyFont="1" applyFill="1" applyBorder="1" applyAlignment="1">
      <alignment horizontal="left"/>
    </xf>
    <xf numFmtId="0" fontId="13" fillId="0" borderId="33" xfId="0" applyFont="1" applyBorder="1"/>
    <xf numFmtId="0" fontId="0" fillId="0" borderId="33" xfId="0" applyBorder="1"/>
    <xf numFmtId="42" fontId="0" fillId="0" borderId="33" xfId="1" applyNumberFormat="1" applyFont="1" applyBorder="1"/>
    <xf numFmtId="42" fontId="0" fillId="0" borderId="49" xfId="1" applyNumberFormat="1" applyFont="1" applyBorder="1"/>
    <xf numFmtId="42" fontId="38" fillId="18" borderId="15" xfId="1" applyNumberFormat="1" applyFont="1" applyFill="1" applyBorder="1" applyAlignment="1">
      <alignment horizontal="center" wrapText="1"/>
    </xf>
    <xf numFmtId="42" fontId="29" fillId="18" borderId="16" xfId="1" applyNumberFormat="1" applyFont="1" applyFill="1" applyBorder="1"/>
    <xf numFmtId="42" fontId="27" fillId="18" borderId="36" xfId="1" applyNumberFormat="1" applyFont="1" applyFill="1" applyBorder="1"/>
    <xf numFmtId="42" fontId="27" fillId="18" borderId="40" xfId="1" applyNumberFormat="1" applyFont="1" applyFill="1" applyBorder="1"/>
    <xf numFmtId="42" fontId="27" fillId="0" borderId="0" xfId="1" applyNumberFormat="1" applyFont="1" applyFill="1"/>
    <xf numFmtId="42" fontId="23" fillId="25" borderId="12" xfId="1" applyNumberFormat="1" applyFont="1" applyFill="1" applyBorder="1"/>
    <xf numFmtId="42" fontId="15" fillId="16" borderId="18" xfId="1" applyNumberFormat="1" applyFont="1" applyFill="1" applyBorder="1" applyAlignment="1">
      <alignment horizontal="left" wrapText="1"/>
    </xf>
    <xf numFmtId="42" fontId="13" fillId="18" borderId="45" xfId="1" applyNumberFormat="1" applyFont="1" applyFill="1" applyBorder="1" applyAlignment="1">
      <alignment horizontal="right" indent="1"/>
    </xf>
    <xf numFmtId="42" fontId="27" fillId="18" borderId="46" xfId="1" applyNumberFormat="1" applyFont="1" applyFill="1" applyBorder="1" applyAlignment="1">
      <alignment horizontal="right" indent="1"/>
    </xf>
    <xf numFmtId="42" fontId="13" fillId="18" borderId="35" xfId="1" applyNumberFormat="1" applyFont="1" applyFill="1" applyBorder="1" applyAlignment="1">
      <alignment horizontal="right" indent="1"/>
    </xf>
    <xf numFmtId="42" fontId="27" fillId="18" borderId="36" xfId="1" applyNumberFormat="1" applyFont="1" applyFill="1" applyBorder="1" applyAlignment="1">
      <alignment horizontal="right" indent="1"/>
    </xf>
    <xf numFmtId="42" fontId="13" fillId="18" borderId="35" xfId="1" applyNumberFormat="1" applyFont="1" applyFill="1" applyBorder="1"/>
    <xf numFmtId="42" fontId="13" fillId="18" borderId="39" xfId="1" applyNumberFormat="1" applyFont="1" applyFill="1" applyBorder="1"/>
    <xf numFmtId="42" fontId="33" fillId="19" borderId="36" xfId="1" applyNumberFormat="1" applyFont="1" applyFill="1" applyBorder="1" applyAlignment="1">
      <alignment horizontal="right" indent="1"/>
    </xf>
    <xf numFmtId="42" fontId="33" fillId="20" borderId="36" xfId="1" applyNumberFormat="1" applyFont="1" applyFill="1" applyBorder="1"/>
    <xf numFmtId="42" fontId="17" fillId="20" borderId="36" xfId="1" applyNumberFormat="1" applyFont="1" applyFill="1" applyBorder="1"/>
    <xf numFmtId="42" fontId="17" fillId="21" borderId="36" xfId="1" applyNumberFormat="1" applyFont="1" applyFill="1" applyBorder="1"/>
    <xf numFmtId="42" fontId="33" fillId="21" borderId="36" xfId="1" applyNumberFormat="1" applyFont="1" applyFill="1" applyBorder="1"/>
    <xf numFmtId="42" fontId="33" fillId="23" borderId="36" xfId="1" applyNumberFormat="1" applyFont="1" applyFill="1" applyBorder="1"/>
    <xf numFmtId="42" fontId="17" fillId="24" borderId="36" xfId="1" applyNumberFormat="1" applyFont="1" applyFill="1" applyBorder="1"/>
    <xf numFmtId="42" fontId="17" fillId="19" borderId="36" xfId="1" applyNumberFormat="1" applyFont="1" applyFill="1" applyBorder="1" applyAlignment="1">
      <alignment horizontal="right" indent="1"/>
    </xf>
    <xf numFmtId="42" fontId="17" fillId="22" borderId="36" xfId="1" applyNumberFormat="1" applyFont="1" applyFill="1" applyBorder="1"/>
    <xf numFmtId="42" fontId="17" fillId="24" borderId="38" xfId="1" applyNumberFormat="1" applyFont="1" applyFill="1" applyBorder="1"/>
    <xf numFmtId="42" fontId="17" fillId="18" borderId="36" xfId="1" applyNumberFormat="1" applyFont="1" applyFill="1" applyBorder="1"/>
    <xf numFmtId="42" fontId="0" fillId="0" borderId="0" xfId="0" applyNumberFormat="1"/>
    <xf numFmtId="42" fontId="29" fillId="17" borderId="33" xfId="1" applyNumberFormat="1" applyFont="1" applyFill="1" applyBorder="1" applyAlignment="1">
      <alignment horizontal="right"/>
    </xf>
    <xf numFmtId="42" fontId="29" fillId="18" borderId="43" xfId="1" applyNumberFormat="1" applyFont="1" applyFill="1" applyBorder="1" applyAlignment="1">
      <alignment horizontal="right" indent="1"/>
    </xf>
    <xf numFmtId="42" fontId="29" fillId="18" borderId="44" xfId="1" applyNumberFormat="1" applyFont="1" applyFill="1" applyBorder="1" applyAlignment="1">
      <alignment horizontal="right" indent="1"/>
    </xf>
    <xf numFmtId="42" fontId="29" fillId="26" borderId="12" xfId="1" applyNumberFormat="1" applyFont="1" applyFill="1" applyBorder="1" applyAlignment="1">
      <alignment horizontal="right"/>
    </xf>
    <xf numFmtId="42" fontId="29" fillId="26" borderId="21" xfId="1" applyNumberFormat="1" applyFont="1" applyFill="1" applyBorder="1" applyAlignment="1">
      <alignment horizontal="right" indent="1"/>
    </xf>
    <xf numFmtId="42" fontId="29" fillId="26" borderId="19" xfId="1" applyNumberFormat="1" applyFont="1" applyFill="1" applyBorder="1" applyAlignment="1">
      <alignment horizontal="right" indent="1"/>
    </xf>
    <xf numFmtId="42" fontId="0" fillId="18" borderId="45" xfId="1" applyNumberFormat="1" applyFont="1" applyFill="1" applyBorder="1"/>
    <xf numFmtId="42" fontId="17" fillId="18" borderId="46" xfId="1" applyNumberFormat="1" applyFont="1" applyFill="1" applyBorder="1"/>
    <xf numFmtId="41" fontId="17" fillId="8" borderId="1" xfId="0" applyNumberFormat="1" applyFont="1" applyFill="1" applyBorder="1"/>
    <xf numFmtId="42" fontId="29" fillId="24" borderId="18" xfId="1" applyNumberFormat="1" applyFont="1" applyFill="1" applyBorder="1" applyAlignment="1">
      <alignment horizontal="right" indent="1"/>
    </xf>
    <xf numFmtId="164" fontId="8" fillId="0" borderId="1" xfId="15" applyNumberFormat="1" applyBorder="1"/>
    <xf numFmtId="3" fontId="0" fillId="0" borderId="9" xfId="0" applyNumberFormat="1" applyBorder="1" applyAlignment="1">
      <alignment horizontal="right" indent="1"/>
    </xf>
    <xf numFmtId="165" fontId="0" fillId="0" borderId="11" xfId="1" applyNumberFormat="1" applyFont="1" applyBorder="1" applyAlignment="1">
      <alignment horizontal="right" indent="1"/>
    </xf>
    <xf numFmtId="0" fontId="0" fillId="0" borderId="26" xfId="0" applyBorder="1"/>
    <xf numFmtId="0" fontId="0" fillId="0" borderId="21" xfId="0" applyBorder="1"/>
    <xf numFmtId="165" fontId="0" fillId="0" borderId="50" xfId="1" applyNumberFormat="1" applyFont="1" applyBorder="1" applyAlignment="1">
      <alignment horizontal="right" indent="1"/>
    </xf>
    <xf numFmtId="165" fontId="33" fillId="8" borderId="46" xfId="1" applyNumberFormat="1" applyFont="1" applyFill="1" applyBorder="1" applyAlignment="1">
      <alignment horizontal="right" indent="1"/>
    </xf>
    <xf numFmtId="165" fontId="0" fillId="0" borderId="36" xfId="1" applyNumberFormat="1" applyFont="1" applyBorder="1" applyAlignment="1">
      <alignment horizontal="right" indent="1"/>
    </xf>
    <xf numFmtId="165" fontId="33" fillId="8" borderId="36" xfId="1" applyNumberFormat="1" applyFont="1" applyFill="1" applyBorder="1" applyAlignment="1">
      <alignment horizontal="right" indent="1"/>
    </xf>
    <xf numFmtId="165" fontId="33" fillId="11" borderId="36" xfId="1" applyNumberFormat="1" applyFont="1" applyFill="1" applyBorder="1" applyAlignment="1">
      <alignment horizontal="right" indent="1"/>
    </xf>
    <xf numFmtId="165" fontId="0" fillId="0" borderId="36" xfId="1" applyNumberFormat="1" applyFont="1" applyFill="1" applyBorder="1" applyAlignment="1">
      <alignment horizontal="right" indent="1"/>
    </xf>
    <xf numFmtId="0" fontId="0" fillId="0" borderId="49" xfId="0" applyBorder="1"/>
    <xf numFmtId="0" fontId="0" fillId="0" borderId="24" xfId="0" applyBorder="1"/>
    <xf numFmtId="165" fontId="0" fillId="0" borderId="23" xfId="1" applyNumberFormat="1" applyFont="1" applyBorder="1" applyAlignment="1">
      <alignment horizontal="right" indent="1"/>
    </xf>
    <xf numFmtId="165" fontId="0" fillId="0" borderId="40" xfId="1" applyNumberFormat="1" applyFont="1" applyBorder="1" applyAlignment="1">
      <alignment horizontal="right" indent="1"/>
    </xf>
    <xf numFmtId="165" fontId="17" fillId="8" borderId="36" xfId="1" applyNumberFormat="1" applyFont="1" applyFill="1" applyBorder="1" applyAlignment="1">
      <alignment horizontal="right" indent="1"/>
    </xf>
    <xf numFmtId="165" fontId="17" fillId="8" borderId="40" xfId="1" applyNumberFormat="1" applyFont="1" applyFill="1" applyBorder="1" applyAlignment="1">
      <alignment horizontal="right" indent="1"/>
    </xf>
    <xf numFmtId="42" fontId="0" fillId="13" borderId="0" xfId="0" applyNumberFormat="1" applyFill="1"/>
    <xf numFmtId="42" fontId="0" fillId="19" borderId="22" xfId="1" applyNumberFormat="1" applyFont="1" applyFill="1" applyBorder="1"/>
    <xf numFmtId="42" fontId="0" fillId="19" borderId="20" xfId="1" applyNumberFormat="1" applyFont="1" applyFill="1" applyBorder="1"/>
    <xf numFmtId="42" fontId="0" fillId="20" borderId="22" xfId="1" applyNumberFormat="1" applyFont="1" applyFill="1" applyBorder="1"/>
    <xf numFmtId="42" fontId="0" fillId="20" borderId="20" xfId="1" applyNumberFormat="1" applyFont="1" applyFill="1" applyBorder="1"/>
    <xf numFmtId="42" fontId="0" fillId="21" borderId="22" xfId="1" applyNumberFormat="1" applyFont="1" applyFill="1" applyBorder="1"/>
    <xf numFmtId="42" fontId="0" fillId="21" borderId="20" xfId="1" applyNumberFormat="1" applyFont="1" applyFill="1" applyBorder="1"/>
    <xf numFmtId="42" fontId="0" fillId="22" borderId="22" xfId="1" applyNumberFormat="1" applyFont="1" applyFill="1" applyBorder="1"/>
    <xf numFmtId="42" fontId="0" fillId="22" borderId="20" xfId="1" applyNumberFormat="1" applyFont="1" applyFill="1" applyBorder="1"/>
    <xf numFmtId="42" fontId="0" fillId="23" borderId="22" xfId="1" applyNumberFormat="1" applyFont="1" applyFill="1" applyBorder="1"/>
    <xf numFmtId="42" fontId="0" fillId="23" borderId="20" xfId="1" applyNumberFormat="1" applyFont="1" applyFill="1" applyBorder="1"/>
    <xf numFmtId="42" fontId="0" fillId="24" borderId="22" xfId="1" applyNumberFormat="1" applyFont="1" applyFill="1" applyBorder="1"/>
    <xf numFmtId="42" fontId="0" fillId="24" borderId="20" xfId="1" applyNumberFormat="1" applyFont="1" applyFill="1" applyBorder="1"/>
    <xf numFmtId="42" fontId="0" fillId="13" borderId="47" xfId="1" applyNumberFormat="1" applyFont="1" applyFill="1" applyBorder="1"/>
    <xf numFmtId="42" fontId="0" fillId="13" borderId="7" xfId="1" applyNumberFormat="1" applyFont="1" applyFill="1" applyBorder="1"/>
    <xf numFmtId="42" fontId="0" fillId="18" borderId="9" xfId="1" applyNumberFormat="1" applyFont="1" applyFill="1" applyBorder="1"/>
    <xf numFmtId="42" fontId="0" fillId="0" borderId="1" xfId="1" applyNumberFormat="1" applyFont="1" applyBorder="1"/>
    <xf numFmtId="42" fontId="0" fillId="0" borderId="1" xfId="1" applyNumberFormat="1" applyFont="1" applyFill="1" applyBorder="1"/>
    <xf numFmtId="0" fontId="0" fillId="0" borderId="1" xfId="0" applyBorder="1"/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/>
    <xf numFmtId="42" fontId="13" fillId="0" borderId="7" xfId="1" applyNumberFormat="1" applyFont="1" applyFill="1" applyBorder="1"/>
    <xf numFmtId="42" fontId="0" fillId="0" borderId="51" xfId="1" applyNumberFormat="1" applyFont="1" applyBorder="1" applyAlignment="1">
      <alignment horizontal="left"/>
    </xf>
    <xf numFmtId="42" fontId="0" fillId="18" borderId="41" xfId="1" applyNumberFormat="1" applyFont="1" applyFill="1" applyBorder="1"/>
    <xf numFmtId="42" fontId="27" fillId="18" borderId="42" xfId="1" applyNumberFormat="1" applyFont="1" applyFill="1" applyBorder="1"/>
    <xf numFmtId="42" fontId="0" fillId="19" borderId="41" xfId="1" applyNumberFormat="1" applyFont="1" applyFill="1" applyBorder="1"/>
    <xf numFmtId="42" fontId="0" fillId="19" borderId="42" xfId="1" applyNumberFormat="1" applyFont="1" applyFill="1" applyBorder="1"/>
    <xf numFmtId="42" fontId="0" fillId="0" borderId="52" xfId="1" applyNumberFormat="1" applyFont="1" applyBorder="1"/>
    <xf numFmtId="42" fontId="17" fillId="18" borderId="40" xfId="1" applyNumberFormat="1" applyFont="1" applyFill="1" applyBorder="1"/>
    <xf numFmtId="42" fontId="0" fillId="19" borderId="39" xfId="1" applyNumberFormat="1" applyFont="1" applyFill="1" applyBorder="1"/>
    <xf numFmtId="42" fontId="0" fillId="19" borderId="40" xfId="1" applyNumberFormat="1" applyFont="1" applyFill="1" applyBorder="1"/>
    <xf numFmtId="42" fontId="0" fillId="20" borderId="39" xfId="1" applyNumberFormat="1" applyFont="1" applyFill="1" applyBorder="1"/>
    <xf numFmtId="42" fontId="0" fillId="20" borderId="40" xfId="1" applyNumberFormat="1" applyFont="1" applyFill="1" applyBorder="1"/>
    <xf numFmtId="42" fontId="0" fillId="21" borderId="39" xfId="1" applyNumberFormat="1" applyFont="1" applyFill="1" applyBorder="1"/>
    <xf numFmtId="42" fontId="0" fillId="21" borderId="40" xfId="1" applyNumberFormat="1" applyFont="1" applyFill="1" applyBorder="1"/>
    <xf numFmtId="42" fontId="0" fillId="22" borderId="39" xfId="1" applyNumberFormat="1" applyFont="1" applyFill="1" applyBorder="1"/>
    <xf numFmtId="42" fontId="0" fillId="22" borderId="40" xfId="1" applyNumberFormat="1" applyFont="1" applyFill="1" applyBorder="1"/>
    <xf numFmtId="42" fontId="0" fillId="23" borderId="39" xfId="1" applyNumberFormat="1" applyFont="1" applyFill="1" applyBorder="1"/>
    <xf numFmtId="42" fontId="0" fillId="23" borderId="40" xfId="1" applyNumberFormat="1" applyFont="1" applyFill="1" applyBorder="1"/>
    <xf numFmtId="42" fontId="0" fillId="24" borderId="39" xfId="1" applyNumberFormat="1" applyFont="1" applyFill="1" applyBorder="1"/>
    <xf numFmtId="42" fontId="0" fillId="24" borderId="40" xfId="1" applyNumberFormat="1" applyFont="1" applyFill="1" applyBorder="1"/>
    <xf numFmtId="1" fontId="0" fillId="0" borderId="0" xfId="1" applyNumberFormat="1" applyFont="1" applyBorder="1" applyAlignment="1"/>
    <xf numFmtId="42" fontId="0" fillId="13" borderId="1" xfId="1" applyNumberFormat="1" applyFont="1" applyFill="1" applyBorder="1"/>
    <xf numFmtId="42" fontId="0" fillId="8" borderId="1" xfId="1" applyNumberFormat="1" applyFont="1" applyFill="1" applyBorder="1"/>
    <xf numFmtId="0" fontId="0" fillId="21" borderId="1" xfId="0" applyFill="1" applyBorder="1"/>
    <xf numFmtId="42" fontId="16" fillId="27" borderId="47" xfId="1" applyNumberFormat="1" applyFont="1" applyFill="1" applyBorder="1"/>
    <xf numFmtId="42" fontId="16" fillId="27" borderId="0" xfId="1" applyNumberFormat="1" applyFont="1" applyFill="1" applyBorder="1"/>
    <xf numFmtId="42" fontId="16" fillId="27" borderId="0" xfId="1" applyNumberFormat="1" applyFont="1" applyFill="1" applyBorder="1" applyAlignment="1">
      <alignment horizontal="right" indent="1"/>
    </xf>
    <xf numFmtId="42" fontId="16" fillId="27" borderId="13" xfId="1" applyNumberFormat="1" applyFont="1" applyFill="1" applyBorder="1"/>
    <xf numFmtId="42" fontId="16" fillId="27" borderId="13" xfId="1" applyNumberFormat="1" applyFont="1" applyFill="1" applyBorder="1" applyAlignment="1">
      <alignment horizontal="right" indent="1"/>
    </xf>
    <xf numFmtId="42" fontId="16" fillId="27" borderId="16" xfId="1" applyNumberFormat="1" applyFont="1" applyFill="1" applyBorder="1"/>
    <xf numFmtId="42" fontId="15" fillId="0" borderId="0" xfId="1" applyNumberFormat="1" applyFont="1" applyBorder="1"/>
    <xf numFmtId="42" fontId="0" fillId="0" borderId="0" xfId="1" applyNumberFormat="1" applyFont="1" applyFill="1" applyBorder="1"/>
    <xf numFmtId="42" fontId="29" fillId="17" borderId="0" xfId="1" applyNumberFormat="1" applyFont="1" applyFill="1" applyBorder="1" applyAlignment="1">
      <alignment horizontal="right"/>
    </xf>
    <xf numFmtId="42" fontId="29" fillId="19" borderId="0" xfId="1" applyNumberFormat="1" applyFont="1" applyFill="1" applyBorder="1" applyAlignment="1">
      <alignment horizontal="right" indent="1"/>
    </xf>
    <xf numFmtId="42" fontId="29" fillId="20" borderId="0" xfId="1" applyNumberFormat="1" applyFont="1" applyFill="1" applyBorder="1" applyAlignment="1">
      <alignment horizontal="right" indent="1"/>
    </xf>
    <xf numFmtId="42" fontId="29" fillId="21" borderId="0" xfId="1" applyNumberFormat="1" applyFont="1" applyFill="1" applyBorder="1" applyAlignment="1">
      <alignment horizontal="right" indent="1"/>
    </xf>
    <xf numFmtId="42" fontId="29" fillId="22" borderId="0" xfId="1" applyNumberFormat="1" applyFont="1" applyFill="1" applyBorder="1" applyAlignment="1">
      <alignment horizontal="right" indent="1"/>
    </xf>
    <xf numFmtId="42" fontId="29" fillId="23" borderId="0" xfId="1" applyNumberFormat="1" applyFont="1" applyFill="1" applyBorder="1" applyAlignment="1">
      <alignment horizontal="right" indent="1"/>
    </xf>
    <xf numFmtId="42" fontId="29" fillId="24" borderId="0" xfId="1" applyNumberFormat="1" applyFont="1" applyFill="1" applyBorder="1" applyAlignment="1">
      <alignment horizontal="right" indent="1"/>
    </xf>
    <xf numFmtId="42" fontId="39" fillId="0" borderId="0" xfId="1" applyNumberFormat="1" applyFont="1" applyBorder="1"/>
    <xf numFmtId="42" fontId="29" fillId="26" borderId="0" xfId="1" applyNumberFormat="1" applyFont="1" applyFill="1" applyBorder="1" applyAlignment="1">
      <alignment horizontal="right"/>
    </xf>
    <xf numFmtId="42" fontId="29" fillId="26" borderId="0" xfId="1" applyNumberFormat="1" applyFont="1" applyFill="1" applyBorder="1" applyAlignment="1">
      <alignment horizontal="right" indent="1"/>
    </xf>
    <xf numFmtId="42" fontId="13" fillId="0" borderId="0" xfId="1" applyNumberFormat="1" applyFont="1" applyFill="1" applyBorder="1"/>
    <xf numFmtId="42" fontId="13" fillId="0" borderId="0" xfId="1" applyNumberFormat="1" applyFont="1" applyBorder="1"/>
    <xf numFmtId="42" fontId="29" fillId="17" borderId="0" xfId="1" applyNumberFormat="1" applyFont="1" applyFill="1" applyBorder="1" applyAlignment="1">
      <alignment horizontal="right" indent="1"/>
    </xf>
    <xf numFmtId="1" fontId="15" fillId="20" borderId="0" xfId="1" applyNumberFormat="1" applyFont="1" applyFill="1" applyBorder="1" applyAlignment="1"/>
    <xf numFmtId="1" fontId="16" fillId="20" borderId="0" xfId="1" applyNumberFormat="1" applyFont="1" applyFill="1" applyBorder="1" applyAlignment="1"/>
    <xf numFmtId="1" fontId="0" fillId="20" borderId="0" xfId="1" applyNumberFormat="1" applyFont="1" applyFill="1" applyBorder="1" applyAlignment="1"/>
    <xf numFmtId="1" fontId="13" fillId="20" borderId="0" xfId="1" applyNumberFormat="1" applyFont="1" applyFill="1" applyBorder="1" applyAlignment="1"/>
    <xf numFmtId="1" fontId="0" fillId="20" borderId="0" xfId="1" applyNumberFormat="1" applyFont="1" applyFill="1" applyBorder="1" applyAlignment="1">
      <alignment vertical="center"/>
    </xf>
    <xf numFmtId="1" fontId="13" fillId="20" borderId="0" xfId="1" applyNumberFormat="1" applyFont="1" applyFill="1" applyBorder="1" applyAlignment="1">
      <alignment vertical="center"/>
    </xf>
    <xf numFmtId="42" fontId="29" fillId="20" borderId="0" xfId="1" applyNumberFormat="1" applyFont="1" applyFill="1" applyBorder="1" applyAlignment="1">
      <alignment horizontal="right"/>
    </xf>
    <xf numFmtId="1" fontId="29" fillId="20" borderId="0" xfId="1" applyNumberFormat="1" applyFont="1" applyFill="1" applyBorder="1" applyAlignment="1"/>
    <xf numFmtId="42" fontId="39" fillId="20" borderId="0" xfId="1" applyNumberFormat="1" applyFont="1" applyFill="1" applyBorder="1"/>
    <xf numFmtId="42" fontId="29" fillId="20" borderId="0" xfId="1" applyNumberFormat="1" applyFont="1" applyFill="1" applyBorder="1" applyAlignment="1"/>
    <xf numFmtId="42" fontId="23" fillId="25" borderId="18" xfId="1" applyNumberFormat="1" applyFont="1" applyFill="1" applyBorder="1"/>
    <xf numFmtId="42" fontId="15" fillId="16" borderId="53" xfId="1" applyNumberFormat="1" applyFont="1" applyFill="1" applyBorder="1" applyAlignment="1">
      <alignment horizontal="left" wrapText="1"/>
    </xf>
    <xf numFmtId="42" fontId="16" fillId="19" borderId="13" xfId="1" applyNumberFormat="1" applyFont="1" applyFill="1" applyBorder="1" applyAlignment="1">
      <alignment horizontal="right" indent="1"/>
    </xf>
    <xf numFmtId="42" fontId="16" fillId="20" borderId="13" xfId="1" applyNumberFormat="1" applyFont="1" applyFill="1" applyBorder="1"/>
    <xf numFmtId="42" fontId="16" fillId="21" borderId="13" xfId="1" applyNumberFormat="1" applyFont="1" applyFill="1" applyBorder="1"/>
    <xf numFmtId="42" fontId="16" fillId="22" borderId="13" xfId="1" applyNumberFormat="1" applyFont="1" applyFill="1" applyBorder="1"/>
    <xf numFmtId="42" fontId="16" fillId="23" borderId="13" xfId="1" applyNumberFormat="1" applyFont="1" applyFill="1" applyBorder="1"/>
    <xf numFmtId="42" fontId="16" fillId="24" borderId="13" xfId="1" applyNumberFormat="1" applyFont="1" applyFill="1" applyBorder="1"/>
    <xf numFmtId="42" fontId="16" fillId="24" borderId="16" xfId="1" applyNumberFormat="1" applyFont="1" applyFill="1" applyBorder="1"/>
    <xf numFmtId="42" fontId="15" fillId="18" borderId="18" xfId="1" applyNumberFormat="1" applyFont="1" applyFill="1" applyBorder="1" applyAlignment="1">
      <alignment horizontal="center" wrapText="1"/>
    </xf>
    <xf numFmtId="42" fontId="38" fillId="18" borderId="18" xfId="1" applyNumberFormat="1" applyFont="1" applyFill="1" applyBorder="1" applyAlignment="1">
      <alignment horizontal="center" wrapText="1"/>
    </xf>
    <xf numFmtId="42" fontId="15" fillId="19" borderId="18" xfId="1" applyNumberFormat="1" applyFont="1" applyFill="1" applyBorder="1" applyAlignment="1">
      <alignment horizontal="center" wrapText="1"/>
    </xf>
    <xf numFmtId="42" fontId="15" fillId="20" borderId="18" xfId="1" applyNumberFormat="1" applyFont="1" applyFill="1" applyBorder="1" applyAlignment="1">
      <alignment horizontal="center" wrapText="1"/>
    </xf>
    <xf numFmtId="42" fontId="15" fillId="21" borderId="18" xfId="1" applyNumberFormat="1" applyFont="1" applyFill="1" applyBorder="1" applyAlignment="1">
      <alignment horizontal="center" wrapText="1"/>
    </xf>
    <xf numFmtId="42" fontId="15" fillId="22" borderId="18" xfId="1" applyNumberFormat="1" applyFont="1" applyFill="1" applyBorder="1" applyAlignment="1">
      <alignment horizontal="center" wrapText="1"/>
    </xf>
    <xf numFmtId="42" fontId="15" fillId="23" borderId="18" xfId="1" applyNumberFormat="1" applyFont="1" applyFill="1" applyBorder="1" applyAlignment="1">
      <alignment horizontal="center" wrapText="1"/>
    </xf>
    <xf numFmtId="42" fontId="15" fillId="24" borderId="18" xfId="1" applyNumberFormat="1" applyFont="1" applyFill="1" applyBorder="1" applyAlignment="1">
      <alignment horizontal="center" wrapText="1"/>
    </xf>
    <xf numFmtId="42" fontId="0" fillId="19" borderId="1" xfId="1" applyNumberFormat="1" applyFont="1" applyFill="1" applyBorder="1"/>
    <xf numFmtId="42" fontId="0" fillId="20" borderId="1" xfId="1" applyNumberFormat="1" applyFont="1" applyFill="1" applyBorder="1"/>
    <xf numFmtId="42" fontId="0" fillId="21" borderId="1" xfId="1" applyNumberFormat="1" applyFont="1" applyFill="1" applyBorder="1"/>
    <xf numFmtId="42" fontId="0" fillId="22" borderId="1" xfId="1" applyNumberFormat="1" applyFont="1" applyFill="1" applyBorder="1"/>
    <xf numFmtId="42" fontId="0" fillId="23" borderId="1" xfId="1" applyNumberFormat="1" applyFont="1" applyFill="1" applyBorder="1"/>
    <xf numFmtId="42" fontId="0" fillId="24" borderId="1" xfId="1" applyNumberFormat="1" applyFont="1" applyFill="1" applyBorder="1"/>
    <xf numFmtId="42" fontId="13" fillId="0" borderId="1" xfId="1" applyNumberFormat="1" applyFont="1" applyFill="1" applyBorder="1"/>
    <xf numFmtId="0" fontId="13" fillId="0" borderId="1" xfId="0" applyFont="1" applyBorder="1" applyAlignment="1">
      <alignment horizontal="left"/>
    </xf>
    <xf numFmtId="42" fontId="33" fillId="7" borderId="1" xfId="1" applyNumberFormat="1" applyFont="1" applyFill="1" applyBorder="1"/>
    <xf numFmtId="42" fontId="13" fillId="0" borderId="1" xfId="1" applyNumberFormat="1" applyFont="1" applyBorder="1"/>
    <xf numFmtId="42" fontId="0" fillId="19" borderId="1" xfId="1" applyNumberFormat="1" applyFont="1" applyFill="1" applyBorder="1" applyAlignment="1">
      <alignment horizontal="right" indent="1"/>
    </xf>
    <xf numFmtId="42" fontId="17" fillId="19" borderId="1" xfId="1" applyNumberFormat="1" applyFont="1" applyFill="1" applyBorder="1" applyAlignment="1">
      <alignment horizontal="right" indent="1"/>
    </xf>
    <xf numFmtId="42" fontId="17" fillId="20" borderId="1" xfId="1" applyNumberFormat="1" applyFont="1" applyFill="1" applyBorder="1"/>
    <xf numFmtId="42" fontId="13" fillId="0" borderId="1" xfId="1" applyNumberFormat="1" applyFont="1" applyFill="1" applyBorder="1" applyAlignment="1">
      <alignment horizontal="left"/>
    </xf>
    <xf numFmtId="42" fontId="17" fillId="21" borderId="1" xfId="1" applyNumberFormat="1" applyFont="1" applyFill="1" applyBorder="1"/>
    <xf numFmtId="42" fontId="17" fillId="22" borderId="1" xfId="1" applyNumberFormat="1" applyFont="1" applyFill="1" applyBorder="1"/>
    <xf numFmtId="42" fontId="13" fillId="0" borderId="1" xfId="1" applyNumberFormat="1" applyFont="1" applyBorder="1" applyAlignment="1">
      <alignment horizontal="left"/>
    </xf>
    <xf numFmtId="42" fontId="17" fillId="24" borderId="1" xfId="1" applyNumberFormat="1" applyFont="1" applyFill="1" applyBorder="1"/>
    <xf numFmtId="0" fontId="25" fillId="0" borderId="0" xfId="20" applyFont="1"/>
    <xf numFmtId="0" fontId="7" fillId="0" borderId="0" xfId="20"/>
    <xf numFmtId="44" fontId="7" fillId="0" borderId="0" xfId="20" applyNumberFormat="1"/>
    <xf numFmtId="15" fontId="25" fillId="0" borderId="0" xfId="20" applyNumberFormat="1" applyFont="1"/>
    <xf numFmtId="0" fontId="12" fillId="0" borderId="0" xfId="20" applyFont="1"/>
    <xf numFmtId="0" fontId="7" fillId="0" borderId="0" xfId="20" applyAlignment="1">
      <alignment horizontal="center"/>
    </xf>
    <xf numFmtId="0" fontId="12" fillId="28" borderId="0" xfId="20" applyFont="1" applyFill="1"/>
    <xf numFmtId="0" fontId="7" fillId="0" borderId="24" xfId="20" applyBorder="1" applyAlignment="1">
      <alignment horizontal="center"/>
    </xf>
    <xf numFmtId="0" fontId="7" fillId="28" borderId="24" xfId="20" applyFill="1" applyBorder="1" applyAlignment="1">
      <alignment horizontal="center"/>
    </xf>
    <xf numFmtId="0" fontId="12" fillId="28" borderId="24" xfId="20" applyFont="1" applyFill="1" applyBorder="1" applyAlignment="1">
      <alignment horizontal="center"/>
    </xf>
    <xf numFmtId="165" fontId="0" fillId="0" borderId="0" xfId="21" applyNumberFormat="1" applyFont="1"/>
    <xf numFmtId="165" fontId="0" fillId="28" borderId="0" xfId="21" applyNumberFormat="1" applyFont="1" applyFill="1"/>
    <xf numFmtId="165" fontId="12" fillId="28" borderId="0" xfId="21" applyNumberFormat="1" applyFont="1" applyFill="1"/>
    <xf numFmtId="165" fontId="0" fillId="29" borderId="0" xfId="21" applyNumberFormat="1" applyFont="1" applyFill="1"/>
    <xf numFmtId="165" fontId="0" fillId="0" borderId="24" xfId="21" applyNumberFormat="1" applyFont="1" applyBorder="1"/>
    <xf numFmtId="165" fontId="0" fillId="28" borderId="24" xfId="21" applyNumberFormat="1" applyFont="1" applyFill="1" applyBorder="1"/>
    <xf numFmtId="165" fontId="12" fillId="28" borderId="24" xfId="21" applyNumberFormat="1" applyFont="1" applyFill="1" applyBorder="1"/>
    <xf numFmtId="165" fontId="12" fillId="0" borderId="0" xfId="21" applyNumberFormat="1" applyFont="1"/>
    <xf numFmtId="0" fontId="12" fillId="0" borderId="24" xfId="20" applyFont="1" applyBorder="1" applyAlignment="1">
      <alignment horizontal="center"/>
    </xf>
    <xf numFmtId="44" fontId="0" fillId="0" borderId="0" xfId="21" applyFont="1"/>
    <xf numFmtId="15" fontId="7" fillId="0" borderId="0" xfId="20" applyNumberFormat="1"/>
    <xf numFmtId="15" fontId="12" fillId="28" borderId="0" xfId="20" applyNumberFormat="1" applyFont="1" applyFill="1"/>
    <xf numFmtId="165" fontId="0" fillId="29" borderId="24" xfId="21" applyNumberFormat="1" applyFont="1" applyFill="1" applyBorder="1"/>
    <xf numFmtId="165" fontId="0" fillId="3" borderId="0" xfId="21" applyNumberFormat="1" applyFont="1" applyFill="1"/>
    <xf numFmtId="44" fontId="0" fillId="0" borderId="24" xfId="21" applyFont="1" applyBorder="1"/>
    <xf numFmtId="165" fontId="7" fillId="0" borderId="0" xfId="20" applyNumberFormat="1"/>
    <xf numFmtId="42" fontId="15" fillId="0" borderId="1" xfId="1" applyNumberFormat="1" applyFont="1" applyFill="1" applyBorder="1" applyAlignment="1">
      <alignment horizontal="left"/>
    </xf>
    <xf numFmtId="42" fontId="15" fillId="19" borderId="1" xfId="1" applyNumberFormat="1" applyFont="1" applyFill="1" applyBorder="1" applyAlignment="1">
      <alignment horizontal="right" indent="1"/>
    </xf>
    <xf numFmtId="42" fontId="33" fillId="19" borderId="1" xfId="1" applyNumberFormat="1" applyFont="1" applyFill="1" applyBorder="1" applyAlignment="1">
      <alignment horizontal="right" indent="1"/>
    </xf>
    <xf numFmtId="42" fontId="15" fillId="20" borderId="1" xfId="1" applyNumberFormat="1" applyFont="1" applyFill="1" applyBorder="1"/>
    <xf numFmtId="42" fontId="33" fillId="20" borderId="1" xfId="1" applyNumberFormat="1" applyFont="1" applyFill="1" applyBorder="1"/>
    <xf numFmtId="42" fontId="15" fillId="21" borderId="1" xfId="1" applyNumberFormat="1" applyFont="1" applyFill="1" applyBorder="1"/>
    <xf numFmtId="42" fontId="33" fillId="21" borderId="1" xfId="1" applyNumberFormat="1" applyFont="1" applyFill="1" applyBorder="1"/>
    <xf numFmtId="42" fontId="15" fillId="22" borderId="1" xfId="1" applyNumberFormat="1" applyFont="1" applyFill="1" applyBorder="1"/>
    <xf numFmtId="42" fontId="15" fillId="23" borderId="1" xfId="1" applyNumberFormat="1" applyFont="1" applyFill="1" applyBorder="1"/>
    <xf numFmtId="42" fontId="33" fillId="23" borderId="1" xfId="1" applyNumberFormat="1" applyFont="1" applyFill="1" applyBorder="1"/>
    <xf numFmtId="42" fontId="15" fillId="24" borderId="1" xfId="1" applyNumberFormat="1" applyFont="1" applyFill="1" applyBorder="1"/>
    <xf numFmtId="42" fontId="0" fillId="0" borderId="4" xfId="1" applyNumberFormat="1" applyFont="1" applyFill="1" applyBorder="1"/>
    <xf numFmtId="42" fontId="0" fillId="19" borderId="4" xfId="1" applyNumberFormat="1" applyFont="1" applyFill="1" applyBorder="1" applyAlignment="1">
      <alignment horizontal="right" indent="1"/>
    </xf>
    <xf numFmtId="42" fontId="0" fillId="20" borderId="4" xfId="1" applyNumberFormat="1" applyFont="1" applyFill="1" applyBorder="1"/>
    <xf numFmtId="42" fontId="0" fillId="21" borderId="4" xfId="1" applyNumberFormat="1" applyFont="1" applyFill="1" applyBorder="1"/>
    <xf numFmtId="42" fontId="0" fillId="22" borderId="4" xfId="1" applyNumberFormat="1" applyFont="1" applyFill="1" applyBorder="1"/>
    <xf numFmtId="42" fontId="0" fillId="23" borderId="4" xfId="1" applyNumberFormat="1" applyFont="1" applyFill="1" applyBorder="1"/>
    <xf numFmtId="42" fontId="0" fillId="24" borderId="4" xfId="1" applyNumberFormat="1" applyFont="1" applyFill="1" applyBorder="1"/>
    <xf numFmtId="42" fontId="16" fillId="27" borderId="12" xfId="1" applyNumberFormat="1" applyFont="1" applyFill="1" applyBorder="1"/>
    <xf numFmtId="42" fontId="15" fillId="16" borderId="26" xfId="1" applyNumberFormat="1" applyFont="1" applyFill="1" applyBorder="1" applyAlignment="1">
      <alignment horizontal="left" wrapText="1"/>
    </xf>
    <xf numFmtId="42" fontId="0" fillId="0" borderId="29" xfId="1" applyNumberFormat="1" applyFont="1" applyFill="1" applyBorder="1"/>
    <xf numFmtId="42" fontId="15" fillId="0" borderId="7" xfId="1" applyNumberFormat="1" applyFont="1" applyFill="1" applyBorder="1" applyAlignment="1">
      <alignment horizontal="left"/>
    </xf>
    <xf numFmtId="42" fontId="13" fillId="0" borderId="7" xfId="1" applyNumberFormat="1" applyFont="1" applyFill="1" applyBorder="1" applyAlignment="1">
      <alignment horizontal="left"/>
    </xf>
    <xf numFmtId="42" fontId="13" fillId="0" borderId="7" xfId="1" applyNumberFormat="1" applyFont="1" applyBorder="1" applyAlignment="1">
      <alignment horizontal="left"/>
    </xf>
    <xf numFmtId="42" fontId="0" fillId="8" borderId="7" xfId="1" applyNumberFormat="1" applyFont="1" applyFill="1" applyBorder="1"/>
    <xf numFmtId="0" fontId="13" fillId="0" borderId="7" xfId="0" applyFont="1" applyBorder="1" applyAlignment="1">
      <alignment horizontal="left"/>
    </xf>
    <xf numFmtId="0" fontId="0" fillId="21" borderId="7" xfId="0" applyFill="1" applyBorder="1"/>
    <xf numFmtId="42" fontId="0" fillId="21" borderId="7" xfId="1" applyNumberFormat="1" applyFont="1" applyFill="1" applyBorder="1"/>
    <xf numFmtId="49" fontId="13" fillId="0" borderId="7" xfId="0" applyNumberFormat="1" applyFont="1" applyBorder="1" applyAlignment="1">
      <alignment horizontal="left"/>
    </xf>
    <xf numFmtId="42" fontId="0" fillId="20" borderId="7" xfId="1" applyNumberFormat="1" applyFont="1" applyFill="1" applyBorder="1"/>
    <xf numFmtId="42" fontId="0" fillId="23" borderId="7" xfId="1" applyNumberFormat="1" applyFont="1" applyFill="1" applyBorder="1"/>
    <xf numFmtId="42" fontId="16" fillId="18" borderId="18" xfId="1" applyNumberFormat="1" applyFont="1" applyFill="1" applyBorder="1"/>
    <xf numFmtId="42" fontId="16" fillId="27" borderId="18" xfId="1" applyNumberFormat="1" applyFont="1" applyFill="1" applyBorder="1"/>
    <xf numFmtId="42" fontId="13" fillId="18" borderId="54" xfId="1" applyNumberFormat="1" applyFont="1" applyFill="1" applyBorder="1" applyAlignment="1">
      <alignment horizontal="right" indent="1"/>
    </xf>
    <xf numFmtId="42" fontId="13" fillId="18" borderId="55" xfId="1" applyNumberFormat="1" applyFont="1" applyFill="1" applyBorder="1" applyAlignment="1">
      <alignment horizontal="right" indent="1"/>
    </xf>
    <xf numFmtId="42" fontId="13" fillId="18" borderId="55" xfId="1" applyNumberFormat="1" applyFont="1" applyFill="1" applyBorder="1"/>
    <xf numFmtId="42" fontId="29" fillId="18" borderId="47" xfId="1" applyNumberFormat="1" applyFont="1" applyFill="1" applyBorder="1" applyAlignment="1">
      <alignment horizontal="right" indent="1"/>
    </xf>
    <xf numFmtId="42" fontId="29" fillId="26" borderId="47" xfId="1" applyNumberFormat="1" applyFont="1" applyFill="1" applyBorder="1" applyAlignment="1">
      <alignment horizontal="right" indent="1"/>
    </xf>
    <xf numFmtId="42" fontId="0" fillId="18" borderId="55" xfId="1" applyNumberFormat="1" applyFont="1" applyFill="1" applyBorder="1"/>
    <xf numFmtId="42" fontId="29" fillId="18" borderId="48" xfId="1" applyNumberFormat="1" applyFont="1" applyFill="1" applyBorder="1" applyAlignment="1">
      <alignment horizontal="right" indent="1"/>
    </xf>
    <xf numFmtId="42" fontId="29" fillId="18" borderId="18" xfId="1" applyNumberFormat="1" applyFont="1" applyFill="1" applyBorder="1"/>
    <xf numFmtId="42" fontId="29" fillId="27" borderId="18" xfId="1" applyNumberFormat="1" applyFont="1" applyFill="1" applyBorder="1"/>
    <xf numFmtId="42" fontId="27" fillId="18" borderId="54" xfId="1" applyNumberFormat="1" applyFont="1" applyFill="1" applyBorder="1" applyAlignment="1">
      <alignment horizontal="right" indent="1"/>
    </xf>
    <xf numFmtId="42" fontId="27" fillId="18" borderId="55" xfId="1" applyNumberFormat="1" applyFont="1" applyFill="1" applyBorder="1" applyAlignment="1">
      <alignment horizontal="right" indent="1"/>
    </xf>
    <xf numFmtId="42" fontId="27" fillId="18" borderId="55" xfId="1" applyNumberFormat="1" applyFont="1" applyFill="1" applyBorder="1"/>
    <xf numFmtId="42" fontId="29" fillId="27" borderId="47" xfId="1" applyNumberFormat="1" applyFont="1" applyFill="1" applyBorder="1"/>
    <xf numFmtId="42" fontId="17" fillId="18" borderId="55" xfId="1" applyNumberFormat="1" applyFont="1" applyFill="1" applyBorder="1"/>
    <xf numFmtId="42" fontId="15" fillId="0" borderId="1" xfId="1" applyNumberFormat="1" applyFont="1" applyFill="1" applyBorder="1"/>
    <xf numFmtId="42" fontId="40" fillId="0" borderId="0" xfId="1" applyNumberFormat="1" applyFont="1" applyBorder="1"/>
    <xf numFmtId="42" fontId="13" fillId="19" borderId="36" xfId="1" applyNumberFormat="1" applyFont="1" applyFill="1" applyBorder="1" applyAlignment="1">
      <alignment horizontal="right" indent="1"/>
    </xf>
    <xf numFmtId="42" fontId="13" fillId="21" borderId="36" xfId="1" applyNumberFormat="1" applyFont="1" applyFill="1" applyBorder="1"/>
    <xf numFmtId="0" fontId="8" fillId="8" borderId="1" xfId="15" applyFill="1" applyBorder="1" applyAlignment="1">
      <alignment horizontal="center"/>
    </xf>
    <xf numFmtId="0" fontId="25" fillId="5" borderId="10" xfId="22" applyFont="1" applyFill="1" applyBorder="1" applyAlignment="1">
      <alignment horizontal="left" vertical="center" wrapText="1"/>
    </xf>
    <xf numFmtId="0" fontId="25" fillId="5" borderId="10" xfId="22" applyFont="1" applyFill="1" applyBorder="1" applyAlignment="1">
      <alignment horizontal="center" vertical="center"/>
    </xf>
    <xf numFmtId="0" fontId="25" fillId="5" borderId="10" xfId="22" applyFont="1" applyFill="1" applyBorder="1" applyAlignment="1">
      <alignment horizontal="center" vertical="center" wrapText="1"/>
    </xf>
    <xf numFmtId="0" fontId="6" fillId="0" borderId="0" xfId="22"/>
    <xf numFmtId="0" fontId="25" fillId="5" borderId="11" xfId="22" applyFont="1" applyFill="1" applyBorder="1" applyAlignment="1">
      <alignment horizontal="center" vertical="center"/>
    </xf>
    <xf numFmtId="0" fontId="25" fillId="5" borderId="11" xfId="22" applyFont="1" applyFill="1" applyBorder="1" applyAlignment="1">
      <alignment horizontal="center" vertical="center" wrapText="1"/>
    </xf>
    <xf numFmtId="0" fontId="12" fillId="0" borderId="1" xfId="22" applyFont="1" applyBorder="1" applyAlignment="1">
      <alignment vertical="center"/>
    </xf>
    <xf numFmtId="0" fontId="6" fillId="0" borderId="1" xfId="22" applyBorder="1" applyAlignment="1">
      <alignment horizontal="left" vertical="center" wrapText="1"/>
    </xf>
    <xf numFmtId="0" fontId="6" fillId="0" borderId="1" xfId="22" applyBorder="1" applyAlignment="1">
      <alignment horizontal="center" vertical="center"/>
    </xf>
    <xf numFmtId="0" fontId="12" fillId="0" borderId="1" xfId="22" applyFont="1" applyBorder="1" applyAlignment="1">
      <alignment horizontal="center" vertical="center"/>
    </xf>
    <xf numFmtId="0" fontId="12" fillId="0" borderId="1" xfId="22" applyFont="1" applyBorder="1" applyAlignment="1">
      <alignment horizontal="left" vertical="center"/>
    </xf>
    <xf numFmtId="167" fontId="12" fillId="0" borderId="1" xfId="22" applyNumberFormat="1" applyFont="1" applyBorder="1" applyAlignment="1">
      <alignment horizontal="center" vertical="center"/>
    </xf>
    <xf numFmtId="164" fontId="12" fillId="0" borderId="1" xfId="22" applyNumberFormat="1" applyFont="1" applyBorder="1" applyAlignment="1">
      <alignment horizontal="center" vertical="center"/>
    </xf>
    <xf numFmtId="0" fontId="6" fillId="0" borderId="1" xfId="22" applyBorder="1" applyAlignment="1">
      <alignment vertical="center"/>
    </xf>
    <xf numFmtId="0" fontId="6" fillId="25" borderId="1" xfId="22" applyFill="1" applyBorder="1" applyAlignment="1">
      <alignment horizontal="left" vertical="center" indent="1"/>
    </xf>
    <xf numFmtId="0" fontId="6" fillId="25" borderId="1" xfId="22" applyFill="1" applyBorder="1" applyAlignment="1">
      <alignment horizontal="left" vertical="center" wrapText="1"/>
    </xf>
    <xf numFmtId="0" fontId="6" fillId="25" borderId="1" xfId="22" applyFill="1" applyBorder="1" applyAlignment="1">
      <alignment horizontal="center" vertical="center"/>
    </xf>
    <xf numFmtId="0" fontId="6" fillId="25" borderId="1" xfId="22" applyFill="1" applyBorder="1" applyAlignment="1">
      <alignment horizontal="left" vertical="center"/>
    </xf>
    <xf numFmtId="167" fontId="6" fillId="25" borderId="1" xfId="22" applyNumberFormat="1" applyFill="1" applyBorder="1" applyAlignment="1">
      <alignment horizontal="center" vertical="center"/>
    </xf>
    <xf numFmtId="164" fontId="6" fillId="25" borderId="1" xfId="22" applyNumberFormat="1" applyFill="1" applyBorder="1" applyAlignment="1">
      <alignment horizontal="center" vertical="center"/>
    </xf>
    <xf numFmtId="164" fontId="41" fillId="4" borderId="1" xfId="22" applyNumberFormat="1" applyFont="1" applyFill="1" applyBorder="1" applyAlignment="1">
      <alignment horizontal="center" vertical="center"/>
    </xf>
    <xf numFmtId="168" fontId="41" fillId="4" borderId="1" xfId="22" applyNumberFormat="1" applyFont="1" applyFill="1" applyBorder="1" applyAlignment="1">
      <alignment horizontal="center" vertical="center"/>
    </xf>
    <xf numFmtId="169" fontId="41" fillId="4" borderId="1" xfId="23" applyNumberFormat="1" applyFont="1" applyFill="1" applyBorder="1" applyAlignment="1">
      <alignment vertical="center"/>
    </xf>
    <xf numFmtId="169" fontId="41" fillId="4" borderId="1" xfId="23" applyNumberFormat="1" applyFont="1" applyFill="1" applyBorder="1" applyAlignment="1">
      <alignment horizontal="center" vertical="center"/>
    </xf>
    <xf numFmtId="0" fontId="6" fillId="0" borderId="1" xfId="22" applyBorder="1" applyAlignment="1">
      <alignment vertical="center" wrapText="1"/>
    </xf>
    <xf numFmtId="0" fontId="12" fillId="0" borderId="1" xfId="22" applyFont="1" applyBorder="1" applyAlignment="1">
      <alignment horizontal="left" vertical="center" wrapText="1"/>
    </xf>
    <xf numFmtId="164" fontId="6" fillId="0" borderId="1" xfId="22" applyNumberFormat="1" applyBorder="1" applyAlignment="1">
      <alignment horizontal="center" vertical="center"/>
    </xf>
    <xf numFmtId="6" fontId="6" fillId="0" borderId="1" xfId="22" applyNumberFormat="1" applyBorder="1" applyAlignment="1">
      <alignment horizontal="center" vertical="center"/>
    </xf>
    <xf numFmtId="0" fontId="6" fillId="0" borderId="1" xfId="22" applyBorder="1" applyAlignment="1">
      <alignment horizontal="left" vertical="center"/>
    </xf>
    <xf numFmtId="167" fontId="6" fillId="0" borderId="1" xfId="22" applyNumberFormat="1" applyBorder="1" applyAlignment="1">
      <alignment horizontal="center" vertical="center"/>
    </xf>
    <xf numFmtId="0" fontId="6" fillId="0" borderId="0" xfId="22" applyAlignment="1">
      <alignment horizontal="left" wrapText="1"/>
    </xf>
    <xf numFmtId="0" fontId="6" fillId="0" borderId="0" xfId="22" applyAlignment="1">
      <alignment horizontal="center"/>
    </xf>
    <xf numFmtId="167" fontId="6" fillId="0" borderId="0" xfId="22" applyNumberFormat="1" applyAlignment="1">
      <alignment horizontal="center"/>
    </xf>
    <xf numFmtId="164" fontId="6" fillId="0" borderId="0" xfId="22" applyNumberFormat="1" applyAlignment="1">
      <alignment horizontal="center"/>
    </xf>
    <xf numFmtId="0" fontId="8" fillId="3" borderId="1" xfId="15" applyFill="1" applyBorder="1" applyAlignment="1">
      <alignment horizontal="center"/>
    </xf>
    <xf numFmtId="0" fontId="13" fillId="3" borderId="1" xfId="16" applyFill="1" applyBorder="1" applyAlignment="1">
      <alignment horizontal="center"/>
    </xf>
    <xf numFmtId="165" fontId="15" fillId="0" borderId="0" xfId="1" applyNumberFormat="1" applyFont="1"/>
    <xf numFmtId="0" fontId="16" fillId="0" borderId="0" xfId="0" applyFont="1"/>
    <xf numFmtId="165" fontId="16" fillId="0" borderId="0" xfId="1" applyNumberFormat="1" applyFont="1"/>
    <xf numFmtId="2" fontId="15" fillId="0" borderId="0" xfId="1" applyNumberFormat="1" applyFont="1"/>
    <xf numFmtId="0" fontId="15" fillId="0" borderId="0" xfId="0" applyFont="1" applyAlignment="1">
      <alignment horizontal="right"/>
    </xf>
    <xf numFmtId="1" fontId="0" fillId="0" borderId="0" xfId="1" applyNumberFormat="1" applyFont="1"/>
    <xf numFmtId="165" fontId="0" fillId="0" borderId="6" xfId="1" applyNumberFormat="1" applyFont="1" applyBorder="1"/>
    <xf numFmtId="165" fontId="13" fillId="0" borderId="6" xfId="1" applyNumberFormat="1" applyFont="1" applyBorder="1"/>
    <xf numFmtId="0" fontId="44" fillId="0" borderId="0" xfId="0" applyFont="1" applyAlignment="1">
      <alignment horizontal="right"/>
    </xf>
    <xf numFmtId="165" fontId="44" fillId="0" borderId="0" xfId="1" applyNumberFormat="1" applyFont="1"/>
    <xf numFmtId="0" fontId="44" fillId="0" borderId="0" xfId="0" applyFont="1"/>
    <xf numFmtId="9" fontId="0" fillId="0" borderId="0" xfId="11" applyFont="1"/>
    <xf numFmtId="42" fontId="13" fillId="13" borderId="36" xfId="1" applyNumberFormat="1" applyFont="1" applyFill="1" applyBorder="1"/>
    <xf numFmtId="44" fontId="0" fillId="0" borderId="24" xfId="1" applyFont="1" applyBorder="1"/>
    <xf numFmtId="0" fontId="0" fillId="0" borderId="19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1" fontId="0" fillId="0" borderId="0" xfId="0" applyNumberFormat="1"/>
    <xf numFmtId="1" fontId="0" fillId="0" borderId="34" xfId="0" applyNumberFormat="1" applyBorder="1"/>
    <xf numFmtId="0" fontId="0" fillId="3" borderId="49" xfId="0" applyFill="1" applyBorder="1"/>
    <xf numFmtId="9" fontId="0" fillId="3" borderId="24" xfId="0" applyNumberFormat="1" applyFill="1" applyBorder="1"/>
    <xf numFmtId="9" fontId="0" fillId="3" borderId="24" xfId="11" applyFont="1" applyFill="1" applyBorder="1"/>
    <xf numFmtId="9" fontId="0" fillId="3" borderId="56" xfId="11" applyFont="1" applyFill="1" applyBorder="1"/>
    <xf numFmtId="44" fontId="0" fillId="0" borderId="0" xfId="1" applyFont="1" applyBorder="1"/>
    <xf numFmtId="0" fontId="0" fillId="0" borderId="56" xfId="0" applyBorder="1"/>
    <xf numFmtId="42" fontId="13" fillId="19" borderId="1" xfId="1" applyNumberFormat="1" applyFont="1" applyFill="1" applyBorder="1"/>
    <xf numFmtId="42" fontId="15" fillId="0" borderId="0" xfId="1" applyNumberFormat="1" applyFont="1" applyFill="1" applyBorder="1"/>
    <xf numFmtId="0" fontId="8" fillId="31" borderId="1" xfId="15" applyFill="1" applyBorder="1"/>
    <xf numFmtId="42" fontId="13" fillId="21" borderId="1" xfId="1" applyNumberFormat="1" applyFont="1" applyFill="1" applyBorder="1"/>
    <xf numFmtId="42" fontId="13" fillId="4" borderId="0" xfId="1" applyNumberFormat="1" applyFont="1" applyFill="1" applyBorder="1"/>
    <xf numFmtId="42" fontId="47" fillId="0" borderId="0" xfId="1" applyNumberFormat="1" applyFont="1" applyBorder="1"/>
    <xf numFmtId="42" fontId="47" fillId="0" borderId="0" xfId="1" applyNumberFormat="1" applyFont="1" applyFill="1" applyBorder="1"/>
    <xf numFmtId="42" fontId="47" fillId="0" borderId="0" xfId="1" applyNumberFormat="1" applyFont="1" applyBorder="1" applyAlignment="1"/>
    <xf numFmtId="165" fontId="47" fillId="19" borderId="1" xfId="1" applyNumberFormat="1" applyFont="1" applyFill="1" applyBorder="1" applyAlignment="1">
      <alignment horizontal="center"/>
    </xf>
    <xf numFmtId="165" fontId="47" fillId="20" borderId="1" xfId="1" applyNumberFormat="1" applyFont="1" applyFill="1" applyBorder="1" applyAlignment="1">
      <alignment horizontal="center"/>
    </xf>
    <xf numFmtId="165" fontId="47" fillId="21" borderId="1" xfId="1" applyNumberFormat="1" applyFont="1" applyFill="1" applyBorder="1" applyAlignment="1">
      <alignment horizontal="center"/>
    </xf>
    <xf numFmtId="165" fontId="47" fillId="4" borderId="1" xfId="1" applyNumberFormat="1" applyFont="1" applyFill="1" applyBorder="1" applyAlignment="1">
      <alignment horizontal="center"/>
    </xf>
    <xf numFmtId="165" fontId="47" fillId="22" borderId="1" xfId="1" applyNumberFormat="1" applyFont="1" applyFill="1" applyBorder="1" applyAlignment="1">
      <alignment horizontal="center"/>
    </xf>
    <xf numFmtId="42" fontId="13" fillId="22" borderId="1" xfId="1" applyNumberFormat="1" applyFont="1" applyFill="1" applyBorder="1"/>
    <xf numFmtId="42" fontId="13" fillId="4" borderId="1" xfId="1" applyNumberFormat="1" applyFont="1" applyFill="1" applyBorder="1"/>
    <xf numFmtId="42" fontId="15" fillId="26" borderId="4" xfId="1" applyNumberFormat="1" applyFont="1" applyFill="1" applyBorder="1" applyAlignment="1">
      <alignment horizontal="right" indent="1"/>
    </xf>
    <xf numFmtId="42" fontId="15" fillId="21" borderId="1" xfId="1" applyNumberFormat="1" applyFont="1" applyFill="1" applyBorder="1" applyAlignment="1">
      <alignment horizontal="right" indent="1"/>
    </xf>
    <xf numFmtId="42" fontId="15" fillId="28" borderId="1" xfId="1" applyNumberFormat="1" applyFont="1" applyFill="1" applyBorder="1" applyAlignment="1">
      <alignment horizontal="right" indent="1"/>
    </xf>
    <xf numFmtId="1" fontId="47" fillId="19" borderId="1" xfId="1" applyNumberFormat="1" applyFont="1" applyFill="1" applyBorder="1" applyAlignment="1">
      <alignment horizontal="center"/>
    </xf>
    <xf numFmtId="1" fontId="47" fillId="20" borderId="1" xfId="1" applyNumberFormat="1" applyFont="1" applyFill="1" applyBorder="1" applyAlignment="1">
      <alignment horizontal="center"/>
    </xf>
    <xf numFmtId="1" fontId="47" fillId="21" borderId="1" xfId="1" applyNumberFormat="1" applyFont="1" applyFill="1" applyBorder="1" applyAlignment="1">
      <alignment horizontal="center"/>
    </xf>
    <xf numFmtId="169" fontId="48" fillId="4" borderId="1" xfId="3" applyNumberFormat="1" applyFont="1" applyFill="1" applyBorder="1" applyAlignment="1">
      <alignment horizontal="left" indent="2"/>
    </xf>
    <xf numFmtId="1" fontId="47" fillId="22" borderId="1" xfId="1" applyNumberFormat="1" applyFont="1" applyFill="1" applyBorder="1" applyAlignment="1">
      <alignment horizontal="center"/>
    </xf>
    <xf numFmtId="42" fontId="13" fillId="20" borderId="1" xfId="1" applyNumberFormat="1" applyFont="1" applyFill="1" applyBorder="1"/>
    <xf numFmtId="42" fontId="15" fillId="20" borderId="1" xfId="1" applyNumberFormat="1" applyFont="1" applyFill="1" applyBorder="1" applyAlignment="1">
      <alignment horizontal="right" indent="1"/>
    </xf>
    <xf numFmtId="42" fontId="15" fillId="22" borderId="1" xfId="1" applyNumberFormat="1" applyFont="1" applyFill="1" applyBorder="1" applyAlignment="1">
      <alignment horizontal="right" indent="1"/>
    </xf>
    <xf numFmtId="42" fontId="23" fillId="4" borderId="14" xfId="1" applyNumberFormat="1" applyFont="1" applyFill="1" applyBorder="1" applyAlignment="1">
      <alignment horizontal="center"/>
    </xf>
    <xf numFmtId="42" fontId="13" fillId="19" borderId="4" xfId="1" applyNumberFormat="1" applyFont="1" applyFill="1" applyBorder="1" applyAlignment="1">
      <alignment horizontal="right" indent="1"/>
    </xf>
    <xf numFmtId="42" fontId="13" fillId="20" borderId="4" xfId="1" applyNumberFormat="1" applyFont="1" applyFill="1" applyBorder="1"/>
    <xf numFmtId="42" fontId="13" fillId="21" borderId="4" xfId="1" applyNumberFormat="1" applyFont="1" applyFill="1" applyBorder="1"/>
    <xf numFmtId="42" fontId="13" fillId="4" borderId="4" xfId="1" applyNumberFormat="1" applyFont="1" applyFill="1" applyBorder="1"/>
    <xf numFmtId="42" fontId="13" fillId="22" borderId="4" xfId="1" applyNumberFormat="1" applyFont="1" applyFill="1" applyBorder="1"/>
    <xf numFmtId="42" fontId="15" fillId="19" borderId="23" xfId="1" applyNumberFormat="1" applyFont="1" applyFill="1" applyBorder="1" applyAlignment="1">
      <alignment horizontal="right" indent="1"/>
    </xf>
    <xf numFmtId="42" fontId="15" fillId="20" borderId="23" xfId="1" applyNumberFormat="1" applyFont="1" applyFill="1" applyBorder="1"/>
    <xf numFmtId="42" fontId="15" fillId="21" borderId="23" xfId="1" applyNumberFormat="1" applyFont="1" applyFill="1" applyBorder="1"/>
    <xf numFmtId="42" fontId="15" fillId="28" borderId="23" xfId="1" applyNumberFormat="1" applyFont="1" applyFill="1" applyBorder="1"/>
    <xf numFmtId="42" fontId="15" fillId="22" borderId="23" xfId="1" applyNumberFormat="1" applyFont="1" applyFill="1" applyBorder="1"/>
    <xf numFmtId="42" fontId="45" fillId="25" borderId="18" xfId="1" applyNumberFormat="1" applyFont="1" applyFill="1" applyBorder="1"/>
    <xf numFmtId="42" fontId="47" fillId="25" borderId="55" xfId="1" applyNumberFormat="1" applyFont="1" applyFill="1" applyBorder="1" applyAlignment="1">
      <alignment horizontal="right"/>
    </xf>
    <xf numFmtId="42" fontId="13" fillId="0" borderId="54" xfId="1" applyNumberFormat="1" applyFont="1" applyFill="1" applyBorder="1"/>
    <xf numFmtId="42" fontId="15" fillId="17" borderId="55" xfId="1" applyNumberFormat="1" applyFont="1" applyFill="1" applyBorder="1" applyAlignment="1">
      <alignment horizontal="right"/>
    </xf>
    <xf numFmtId="42" fontId="15" fillId="0" borderId="55" xfId="1" applyNumberFormat="1" applyFont="1" applyFill="1" applyBorder="1" applyAlignment="1">
      <alignment horizontal="right" indent="1"/>
    </xf>
    <xf numFmtId="42" fontId="15" fillId="0" borderId="57" xfId="1" applyNumberFormat="1" applyFont="1" applyFill="1" applyBorder="1" applyAlignment="1">
      <alignment horizontal="right" indent="1"/>
    </xf>
    <xf numFmtId="42" fontId="47" fillId="25" borderId="58" xfId="1" applyNumberFormat="1" applyFont="1" applyFill="1" applyBorder="1" applyAlignment="1">
      <alignment horizontal="right"/>
    </xf>
    <xf numFmtId="165" fontId="47" fillId="20" borderId="10" xfId="1" applyNumberFormat="1" applyFont="1" applyFill="1" applyBorder="1" applyAlignment="1">
      <alignment horizontal="center"/>
    </xf>
    <xf numFmtId="165" fontId="47" fillId="21" borderId="10" xfId="1" applyNumberFormat="1" applyFont="1" applyFill="1" applyBorder="1" applyAlignment="1">
      <alignment horizontal="center"/>
    </xf>
    <xf numFmtId="165" fontId="47" fillId="4" borderId="10" xfId="1" applyNumberFormat="1" applyFont="1" applyFill="1" applyBorder="1" applyAlignment="1">
      <alignment horizontal="center"/>
    </xf>
    <xf numFmtId="165" fontId="47" fillId="22" borderId="10" xfId="1" applyNumberFormat="1" applyFont="1" applyFill="1" applyBorder="1" applyAlignment="1">
      <alignment horizontal="center"/>
    </xf>
    <xf numFmtId="42" fontId="47" fillId="25" borderId="54" xfId="1" applyNumberFormat="1" applyFont="1" applyFill="1" applyBorder="1" applyAlignment="1">
      <alignment horizontal="right"/>
    </xf>
    <xf numFmtId="9" fontId="47" fillId="19" borderId="4" xfId="11" applyFont="1" applyFill="1" applyBorder="1" applyAlignment="1">
      <alignment horizontal="center"/>
    </xf>
    <xf numFmtId="9" fontId="47" fillId="20" borderId="4" xfId="11" applyFont="1" applyFill="1" applyBorder="1" applyAlignment="1">
      <alignment horizontal="center"/>
    </xf>
    <xf numFmtId="9" fontId="47" fillId="21" borderId="4" xfId="11" applyFont="1" applyFill="1" applyBorder="1" applyAlignment="1">
      <alignment horizontal="center"/>
    </xf>
    <xf numFmtId="42" fontId="48" fillId="4" borderId="4" xfId="1" applyNumberFormat="1" applyFont="1" applyFill="1" applyBorder="1"/>
    <xf numFmtId="9" fontId="47" fillId="22" borderId="4" xfId="11" applyFont="1" applyFill="1" applyBorder="1" applyAlignment="1">
      <alignment horizontal="center"/>
    </xf>
    <xf numFmtId="42" fontId="47" fillId="25" borderId="18" xfId="1" applyNumberFormat="1" applyFont="1" applyFill="1" applyBorder="1"/>
    <xf numFmtId="42" fontId="47" fillId="19" borderId="14" xfId="1" applyNumberFormat="1" applyFont="1" applyFill="1" applyBorder="1" applyAlignment="1">
      <alignment horizontal="center"/>
    </xf>
    <xf numFmtId="42" fontId="47" fillId="20" borderId="14" xfId="1" applyNumberFormat="1" applyFont="1" applyFill="1" applyBorder="1" applyAlignment="1">
      <alignment horizontal="center"/>
    </xf>
    <xf numFmtId="42" fontId="47" fillId="21" borderId="14" xfId="1" applyNumberFormat="1" applyFont="1" applyFill="1" applyBorder="1" applyAlignment="1">
      <alignment horizontal="center"/>
    </xf>
    <xf numFmtId="42" fontId="47" fillId="22" borderId="14" xfId="1" applyNumberFormat="1" applyFont="1" applyFill="1" applyBorder="1" applyAlignment="1">
      <alignment horizontal="center"/>
    </xf>
    <xf numFmtId="42" fontId="13" fillId="4" borderId="10" xfId="1" applyNumberFormat="1" applyFont="1" applyFill="1" applyBorder="1"/>
    <xf numFmtId="42" fontId="13" fillId="20" borderId="10" xfId="1" applyNumberFormat="1" applyFont="1" applyFill="1" applyBorder="1"/>
    <xf numFmtId="42" fontId="13" fillId="21" borderId="10" xfId="1" applyNumberFormat="1" applyFont="1" applyFill="1" applyBorder="1"/>
    <xf numFmtId="42" fontId="13" fillId="22" borderId="10" xfId="1" applyNumberFormat="1" applyFont="1" applyFill="1" applyBorder="1"/>
    <xf numFmtId="42" fontId="15" fillId="26" borderId="54" xfId="1" applyNumberFormat="1" applyFont="1" applyFill="1" applyBorder="1" applyAlignment="1">
      <alignment horizontal="right"/>
    </xf>
    <xf numFmtId="42" fontId="13" fillId="19" borderId="10" xfId="1" applyNumberFormat="1" applyFont="1" applyFill="1" applyBorder="1"/>
    <xf numFmtId="42" fontId="13" fillId="19" borderId="4" xfId="1" applyNumberFormat="1" applyFont="1" applyFill="1" applyBorder="1"/>
    <xf numFmtId="42" fontId="13" fillId="4" borderId="21" xfId="1" applyNumberFormat="1" applyFont="1" applyFill="1" applyBorder="1"/>
    <xf numFmtId="42" fontId="13" fillId="30" borderId="21" xfId="1" applyNumberFormat="1" applyFont="1" applyFill="1" applyBorder="1"/>
    <xf numFmtId="42" fontId="13" fillId="4" borderId="24" xfId="1" applyNumberFormat="1" applyFont="1" applyFill="1" applyBorder="1"/>
    <xf numFmtId="42" fontId="13" fillId="30" borderId="24" xfId="1" applyNumberFormat="1" applyFont="1" applyFill="1" applyBorder="1"/>
    <xf numFmtId="42" fontId="23" fillId="9" borderId="13" xfId="1" applyNumberFormat="1" applyFont="1" applyFill="1" applyBorder="1" applyAlignment="1">
      <alignment horizontal="right" indent="1"/>
    </xf>
    <xf numFmtId="42" fontId="13" fillId="32" borderId="54" xfId="1" applyNumberFormat="1" applyFont="1" applyFill="1" applyBorder="1"/>
    <xf numFmtId="42" fontId="13" fillId="32" borderId="4" xfId="1" applyNumberFormat="1" applyFont="1" applyFill="1" applyBorder="1"/>
    <xf numFmtId="42" fontId="13" fillId="32" borderId="0" xfId="1" applyNumberFormat="1" applyFont="1" applyFill="1" applyBorder="1"/>
    <xf numFmtId="42" fontId="13" fillId="32" borderId="55" xfId="1" applyNumberFormat="1" applyFont="1" applyFill="1" applyBorder="1"/>
    <xf numFmtId="42" fontId="13" fillId="32" borderId="1" xfId="1" applyNumberFormat="1" applyFont="1" applyFill="1" applyBorder="1"/>
    <xf numFmtId="42" fontId="13" fillId="32" borderId="55" xfId="1" applyNumberFormat="1" applyFont="1" applyFill="1" applyBorder="1" applyAlignment="1">
      <alignment horizontal="left"/>
    </xf>
    <xf numFmtId="0" fontId="13" fillId="32" borderId="55" xfId="0" applyFont="1" applyFill="1" applyBorder="1"/>
    <xf numFmtId="42" fontId="13" fillId="32" borderId="58" xfId="1" applyNumberFormat="1" applyFont="1" applyFill="1" applyBorder="1" applyAlignment="1">
      <alignment horizontal="left"/>
    </xf>
    <xf numFmtId="42" fontId="13" fillId="32" borderId="10" xfId="1" applyNumberFormat="1" applyFont="1" applyFill="1" applyBorder="1"/>
    <xf numFmtId="42" fontId="13" fillId="32" borderId="58" xfId="1" applyNumberFormat="1" applyFont="1" applyFill="1" applyBorder="1"/>
    <xf numFmtId="42" fontId="15" fillId="32" borderId="58" xfId="1" applyNumberFormat="1" applyFont="1" applyFill="1" applyBorder="1" applyAlignment="1">
      <alignment horizontal="left"/>
    </xf>
    <xf numFmtId="42" fontId="15" fillId="32" borderId="58" xfId="1" applyNumberFormat="1" applyFont="1" applyFill="1" applyBorder="1"/>
    <xf numFmtId="49" fontId="13" fillId="32" borderId="55" xfId="0" applyNumberFormat="1" applyFont="1" applyFill="1" applyBorder="1" applyAlignment="1">
      <alignment horizontal="left"/>
    </xf>
    <xf numFmtId="0" fontId="13" fillId="32" borderId="54" xfId="0" applyFont="1" applyFill="1" applyBorder="1" applyAlignment="1">
      <alignment horizontal="left"/>
    </xf>
    <xf numFmtId="42" fontId="13" fillId="19" borderId="1" xfId="1" applyNumberFormat="1" applyFont="1" applyFill="1" applyBorder="1" applyAlignment="1">
      <alignment horizontal="right" indent="1"/>
    </xf>
    <xf numFmtId="42" fontId="13" fillId="19" borderId="10" xfId="1" applyNumberFormat="1" applyFont="1" applyFill="1" applyBorder="1" applyAlignment="1">
      <alignment horizontal="right" indent="1"/>
    </xf>
    <xf numFmtId="42" fontId="13" fillId="19" borderId="21" xfId="1" applyNumberFormat="1" applyFont="1" applyFill="1" applyBorder="1"/>
    <xf numFmtId="42" fontId="13" fillId="20" borderId="21" xfId="1" applyNumberFormat="1" applyFont="1" applyFill="1" applyBorder="1"/>
    <xf numFmtId="42" fontId="13" fillId="20" borderId="24" xfId="1" applyNumberFormat="1" applyFont="1" applyFill="1" applyBorder="1"/>
    <xf numFmtId="42" fontId="13" fillId="21" borderId="21" xfId="1" applyNumberFormat="1" applyFont="1" applyFill="1" applyBorder="1"/>
    <xf numFmtId="42" fontId="13" fillId="21" borderId="24" xfId="1" applyNumberFormat="1" applyFont="1" applyFill="1" applyBorder="1"/>
    <xf numFmtId="42" fontId="45" fillId="26" borderId="13" xfId="1" applyNumberFormat="1" applyFont="1" applyFill="1" applyBorder="1"/>
    <xf numFmtId="42" fontId="15" fillId="26" borderId="13" xfId="1" applyNumberFormat="1" applyFont="1" applyFill="1" applyBorder="1"/>
    <xf numFmtId="44" fontId="13" fillId="26" borderId="21" xfId="1" applyFont="1" applyFill="1" applyBorder="1"/>
    <xf numFmtId="42" fontId="45" fillId="26" borderId="24" xfId="1" applyNumberFormat="1" applyFont="1" applyFill="1" applyBorder="1"/>
    <xf numFmtId="42" fontId="15" fillId="26" borderId="21" xfId="1" applyNumberFormat="1" applyFont="1" applyFill="1" applyBorder="1"/>
    <xf numFmtId="42" fontId="23" fillId="26" borderId="13" xfId="1" applyNumberFormat="1" applyFont="1" applyFill="1" applyBorder="1" applyAlignment="1">
      <alignment horizontal="right" indent="1"/>
    </xf>
    <xf numFmtId="42" fontId="13" fillId="26" borderId="21" xfId="1" applyNumberFormat="1" applyFont="1" applyFill="1" applyBorder="1"/>
    <xf numFmtId="42" fontId="13" fillId="26" borderId="0" xfId="1" applyNumberFormat="1" applyFont="1" applyFill="1" applyBorder="1"/>
    <xf numFmtId="42" fontId="13" fillId="26" borderId="24" xfId="1" applyNumberFormat="1" applyFont="1" applyFill="1" applyBorder="1"/>
    <xf numFmtId="42" fontId="45" fillId="26" borderId="13" xfId="1" applyNumberFormat="1" applyFont="1" applyFill="1" applyBorder="1" applyAlignment="1">
      <alignment horizontal="right" indent="1"/>
    </xf>
    <xf numFmtId="42" fontId="45" fillId="26" borderId="24" xfId="1" applyNumberFormat="1" applyFont="1" applyFill="1" applyBorder="1" applyAlignment="1">
      <alignment horizontal="right" indent="1"/>
    </xf>
    <xf numFmtId="42" fontId="45" fillId="26" borderId="12" xfId="1" applyNumberFormat="1" applyFont="1" applyFill="1" applyBorder="1"/>
    <xf numFmtId="42" fontId="40" fillId="26" borderId="0" xfId="1" applyNumberFormat="1" applyFont="1" applyFill="1" applyBorder="1"/>
    <xf numFmtId="42" fontId="40" fillId="9" borderId="0" xfId="1" applyNumberFormat="1" applyFont="1" applyFill="1" applyBorder="1"/>
    <xf numFmtId="42" fontId="47" fillId="0" borderId="0" xfId="1" applyNumberFormat="1" applyFont="1" applyFill="1" applyBorder="1" applyAlignment="1"/>
    <xf numFmtId="42" fontId="40" fillId="0" borderId="0" xfId="1" applyNumberFormat="1" applyFont="1" applyFill="1" applyBorder="1"/>
    <xf numFmtId="9" fontId="15" fillId="26" borderId="13" xfId="11" applyFont="1" applyFill="1" applyBorder="1"/>
    <xf numFmtId="42" fontId="15" fillId="26" borderId="6" xfId="1" applyNumberFormat="1" applyFont="1" applyFill="1" applyBorder="1" applyAlignment="1">
      <alignment horizontal="right" indent="1"/>
    </xf>
    <xf numFmtId="42" fontId="13" fillId="0" borderId="55" xfId="1" applyNumberFormat="1" applyFont="1" applyFill="1" applyBorder="1"/>
    <xf numFmtId="42" fontId="13" fillId="0" borderId="58" xfId="1" applyNumberFormat="1" applyFont="1" applyFill="1" applyBorder="1"/>
    <xf numFmtId="42" fontId="15" fillId="4" borderId="13" xfId="1" applyNumberFormat="1" applyFont="1" applyFill="1" applyBorder="1"/>
    <xf numFmtId="9" fontId="15" fillId="4" borderId="13" xfId="11" applyFont="1" applyFill="1" applyBorder="1"/>
    <xf numFmtId="42" fontId="15" fillId="4" borderId="0" xfId="1" applyNumberFormat="1" applyFont="1" applyFill="1" applyBorder="1"/>
    <xf numFmtId="42" fontId="15" fillId="4" borderId="21" xfId="1" applyNumberFormat="1" applyFont="1" applyFill="1" applyBorder="1"/>
    <xf numFmtId="44" fontId="13" fillId="4" borderId="21" xfId="1" applyFont="1" applyFill="1" applyBorder="1"/>
    <xf numFmtId="42" fontId="15" fillId="4" borderId="18" xfId="1" applyNumberFormat="1" applyFont="1" applyFill="1" applyBorder="1" applyAlignment="1">
      <alignment horizontal="right"/>
    </xf>
    <xf numFmtId="42" fontId="15" fillId="4" borderId="53" xfId="1" applyNumberFormat="1" applyFont="1" applyFill="1" applyBorder="1" applyAlignment="1">
      <alignment horizontal="right"/>
    </xf>
    <xf numFmtId="42" fontId="23" fillId="9" borderId="18" xfId="1" applyNumberFormat="1" applyFont="1" applyFill="1" applyBorder="1" applyAlignment="1">
      <alignment horizontal="right" indent="1"/>
    </xf>
    <xf numFmtId="42" fontId="15" fillId="0" borderId="53" xfId="1" applyNumberFormat="1" applyFont="1" applyBorder="1" applyAlignment="1">
      <alignment horizontal="right"/>
    </xf>
    <xf numFmtId="42" fontId="15" fillId="0" borderId="48" xfId="1" applyNumberFormat="1" applyFont="1" applyBorder="1" applyAlignment="1">
      <alignment horizontal="right"/>
    </xf>
    <xf numFmtId="42" fontId="23" fillId="26" borderId="16" xfId="1" applyNumberFormat="1" applyFont="1" applyFill="1" applyBorder="1" applyAlignment="1">
      <alignment horizontal="center"/>
    </xf>
    <xf numFmtId="42" fontId="47" fillId="26" borderId="16" xfId="1" applyNumberFormat="1" applyFont="1" applyFill="1" applyBorder="1" applyAlignment="1">
      <alignment horizontal="center"/>
    </xf>
    <xf numFmtId="42" fontId="13" fillId="26" borderId="60" xfId="1" applyNumberFormat="1" applyFont="1" applyFill="1" applyBorder="1"/>
    <xf numFmtId="42" fontId="13" fillId="26" borderId="61" xfId="1" applyNumberFormat="1" applyFont="1" applyFill="1" applyBorder="1"/>
    <xf numFmtId="42" fontId="13" fillId="26" borderId="62" xfId="1" applyNumberFormat="1" applyFont="1" applyFill="1" applyBorder="1"/>
    <xf numFmtId="42" fontId="15" fillId="26" borderId="60" xfId="1" applyNumberFormat="1" applyFont="1" applyFill="1" applyBorder="1" applyAlignment="1">
      <alignment horizontal="right" indent="1"/>
    </xf>
    <xf numFmtId="42" fontId="15" fillId="26" borderId="61" xfId="1" applyNumberFormat="1" applyFont="1" applyFill="1" applyBorder="1" applyAlignment="1">
      <alignment horizontal="right" indent="1"/>
    </xf>
    <xf numFmtId="42" fontId="15" fillId="26" borderId="63" xfId="1" applyNumberFormat="1" applyFont="1" applyFill="1" applyBorder="1"/>
    <xf numFmtId="42" fontId="23" fillId="26" borderId="13" xfId="1" applyNumberFormat="1" applyFont="1" applyFill="1" applyBorder="1" applyAlignment="1">
      <alignment horizontal="center"/>
    </xf>
    <xf numFmtId="42" fontId="47" fillId="26" borderId="13" xfId="1" applyNumberFormat="1" applyFont="1" applyFill="1" applyBorder="1" applyAlignment="1">
      <alignment horizontal="center"/>
    </xf>
    <xf numFmtId="42" fontId="47" fillId="26" borderId="6" xfId="1" applyNumberFormat="1" applyFont="1" applyFill="1" applyBorder="1" applyAlignment="1">
      <alignment horizontal="center"/>
    </xf>
    <xf numFmtId="42" fontId="47" fillId="26" borderId="3" xfId="1" applyNumberFormat="1" applyFont="1" applyFill="1" applyBorder="1" applyAlignment="1">
      <alignment horizontal="center"/>
    </xf>
    <xf numFmtId="42" fontId="47" fillId="26" borderId="5" xfId="1" applyNumberFormat="1" applyFont="1" applyFill="1" applyBorder="1" applyAlignment="1">
      <alignment horizontal="center"/>
    </xf>
    <xf numFmtId="42" fontId="13" fillId="26" borderId="6" xfId="1" applyNumberFormat="1" applyFont="1" applyFill="1" applyBorder="1" applyAlignment="1">
      <alignment horizontal="right" indent="1"/>
    </xf>
    <xf numFmtId="42" fontId="13" fillId="26" borderId="3" xfId="1" applyNumberFormat="1" applyFont="1" applyFill="1" applyBorder="1" applyAlignment="1">
      <alignment horizontal="right" indent="1"/>
    </xf>
    <xf numFmtId="42" fontId="13" fillId="26" borderId="5" xfId="1" applyNumberFormat="1" applyFont="1" applyFill="1" applyBorder="1" applyAlignment="1">
      <alignment horizontal="right" indent="1"/>
    </xf>
    <xf numFmtId="42" fontId="13" fillId="26" borderId="6" xfId="1" applyNumberFormat="1" applyFont="1" applyFill="1" applyBorder="1"/>
    <xf numFmtId="42" fontId="13" fillId="26" borderId="3" xfId="1" applyNumberFormat="1" applyFont="1" applyFill="1" applyBorder="1"/>
    <xf numFmtId="42" fontId="13" fillId="26" borderId="5" xfId="1" applyNumberFormat="1" applyFont="1" applyFill="1" applyBorder="1"/>
    <xf numFmtId="42" fontId="15" fillId="26" borderId="3" xfId="1" applyNumberFormat="1" applyFont="1" applyFill="1" applyBorder="1" applyAlignment="1">
      <alignment horizontal="right" indent="1"/>
    </xf>
    <xf numFmtId="42" fontId="15" fillId="26" borderId="3" xfId="1" applyNumberFormat="1" applyFont="1" applyFill="1" applyBorder="1"/>
    <xf numFmtId="42" fontId="15" fillId="26" borderId="2" xfId="1" applyNumberFormat="1" applyFont="1" applyFill="1" applyBorder="1"/>
    <xf numFmtId="165" fontId="47" fillId="26" borderId="61" xfId="1" applyNumberFormat="1" applyFont="1" applyFill="1" applyBorder="1" applyAlignment="1">
      <alignment horizontal="center"/>
    </xf>
    <xf numFmtId="165" fontId="47" fillId="26" borderId="62" xfId="1" applyNumberFormat="1" applyFont="1" applyFill="1" applyBorder="1" applyAlignment="1">
      <alignment horizontal="center"/>
    </xf>
    <xf numFmtId="165" fontId="47" fillId="19" borderId="37" xfId="1" applyNumberFormat="1" applyFont="1" applyFill="1" applyBorder="1" applyAlignment="1">
      <alignment horizontal="center"/>
    </xf>
    <xf numFmtId="42" fontId="13" fillId="19" borderId="61" xfId="1" applyNumberFormat="1" applyFont="1" applyFill="1" applyBorder="1"/>
    <xf numFmtId="42" fontId="13" fillId="19" borderId="37" xfId="1" applyNumberFormat="1" applyFont="1" applyFill="1" applyBorder="1"/>
    <xf numFmtId="42" fontId="13" fillId="19" borderId="24" xfId="1" applyNumberFormat="1" applyFont="1" applyFill="1" applyBorder="1"/>
    <xf numFmtId="9" fontId="47" fillId="26" borderId="6" xfId="11" applyFont="1" applyFill="1" applyBorder="1" applyAlignment="1">
      <alignment horizontal="center"/>
    </xf>
    <xf numFmtId="1" fontId="47" fillId="26" borderId="3" xfId="1" applyNumberFormat="1" applyFont="1" applyFill="1" applyBorder="1" applyAlignment="1">
      <alignment horizontal="center"/>
    </xf>
    <xf numFmtId="165" fontId="47" fillId="26" borderId="3" xfId="1" applyNumberFormat="1" applyFont="1" applyFill="1" applyBorder="1" applyAlignment="1">
      <alignment horizontal="center"/>
    </xf>
    <xf numFmtId="9" fontId="13" fillId="26" borderId="6" xfId="11" applyFont="1" applyFill="1" applyBorder="1" applyAlignment="1">
      <alignment horizontal="right" indent="1"/>
    </xf>
    <xf numFmtId="9" fontId="13" fillId="26" borderId="3" xfId="11" applyFont="1" applyFill="1" applyBorder="1" applyAlignment="1">
      <alignment horizontal="right" indent="1"/>
    </xf>
    <xf numFmtId="9" fontId="13" fillId="26" borderId="5" xfId="11" applyFont="1" applyFill="1" applyBorder="1" applyAlignment="1">
      <alignment horizontal="right" indent="1"/>
    </xf>
    <xf numFmtId="42" fontId="15" fillId="26" borderId="2" xfId="1" applyNumberFormat="1" applyFont="1" applyFill="1" applyBorder="1" applyAlignment="1">
      <alignment horizontal="right" indent="1"/>
    </xf>
    <xf numFmtId="42" fontId="13" fillId="20" borderId="35" xfId="1" applyNumberFormat="1" applyFont="1" applyFill="1" applyBorder="1"/>
    <xf numFmtId="42" fontId="13" fillId="20" borderId="61" xfId="1" applyNumberFormat="1" applyFont="1" applyFill="1" applyBorder="1"/>
    <xf numFmtId="9" fontId="15" fillId="26" borderId="3" xfId="11" applyFont="1" applyFill="1" applyBorder="1"/>
    <xf numFmtId="9" fontId="15" fillId="26" borderId="5" xfId="11" applyFont="1" applyFill="1" applyBorder="1"/>
    <xf numFmtId="9" fontId="15" fillId="26" borderId="6" xfId="11" applyFont="1" applyFill="1" applyBorder="1"/>
    <xf numFmtId="42" fontId="48" fillId="26" borderId="60" xfId="1" applyNumberFormat="1" applyFont="1" applyFill="1" applyBorder="1"/>
    <xf numFmtId="169" fontId="48" fillId="26" borderId="61" xfId="3" applyNumberFormat="1" applyFont="1" applyFill="1" applyBorder="1" applyAlignment="1">
      <alignment horizontal="left" indent="2"/>
    </xf>
    <xf numFmtId="169" fontId="13" fillId="26" borderId="60" xfId="3" applyNumberFormat="1" applyFont="1" applyFill="1" applyBorder="1" applyAlignment="1">
      <alignment horizontal="left" indent="2"/>
    </xf>
    <xf numFmtId="169" fontId="13" fillId="26" borderId="61" xfId="3" applyNumberFormat="1" applyFont="1" applyFill="1" applyBorder="1" applyAlignment="1">
      <alignment horizontal="left" indent="2"/>
    </xf>
    <xf numFmtId="169" fontId="13" fillId="26" borderId="62" xfId="3" applyNumberFormat="1" applyFont="1" applyFill="1" applyBorder="1" applyAlignment="1">
      <alignment horizontal="left" indent="2"/>
    </xf>
    <xf numFmtId="42" fontId="13" fillId="21" borderId="61" xfId="1" applyNumberFormat="1" applyFont="1" applyFill="1" applyBorder="1"/>
    <xf numFmtId="42" fontId="23" fillId="30" borderId="17" xfId="1" applyNumberFormat="1" applyFont="1" applyFill="1" applyBorder="1" applyAlignment="1">
      <alignment horizontal="center"/>
    </xf>
    <xf numFmtId="42" fontId="47" fillId="30" borderId="17" xfId="1" applyNumberFormat="1" applyFont="1" applyFill="1" applyBorder="1" applyAlignment="1">
      <alignment horizontal="center"/>
    </xf>
    <xf numFmtId="42" fontId="48" fillId="30" borderId="29" xfId="1" applyNumberFormat="1" applyFont="1" applyFill="1" applyBorder="1"/>
    <xf numFmtId="169" fontId="48" fillId="30" borderId="7" xfId="3" applyNumberFormat="1" applyFont="1" applyFill="1" applyBorder="1" applyAlignment="1">
      <alignment horizontal="left" indent="2"/>
    </xf>
    <xf numFmtId="165" fontId="47" fillId="30" borderId="7" xfId="1" applyNumberFormat="1" applyFont="1" applyFill="1" applyBorder="1" applyAlignment="1">
      <alignment horizontal="center"/>
    </xf>
    <xf numFmtId="165" fontId="47" fillId="30" borderId="25" xfId="1" applyNumberFormat="1" applyFont="1" applyFill="1" applyBorder="1" applyAlignment="1">
      <alignment horizontal="center"/>
    </xf>
    <xf numFmtId="42" fontId="13" fillId="30" borderId="29" xfId="1" applyNumberFormat="1" applyFont="1" applyFill="1" applyBorder="1"/>
    <xf numFmtId="42" fontId="13" fillId="30" borderId="7" xfId="1" applyNumberFormat="1" applyFont="1" applyFill="1" applyBorder="1"/>
    <xf numFmtId="42" fontId="13" fillId="32" borderId="29" xfId="1" applyNumberFormat="1" applyFont="1" applyFill="1" applyBorder="1"/>
    <xf numFmtId="42" fontId="13" fillId="32" borderId="7" xfId="1" applyNumberFormat="1" applyFont="1" applyFill="1" applyBorder="1"/>
    <xf numFmtId="42" fontId="13" fillId="32" borderId="25" xfId="1" applyNumberFormat="1" applyFont="1" applyFill="1" applyBorder="1"/>
    <xf numFmtId="44" fontId="13" fillId="32" borderId="25" xfId="1" applyFont="1" applyFill="1" applyBorder="1"/>
    <xf numFmtId="42" fontId="15" fillId="26" borderId="29" xfId="1" applyNumberFormat="1" applyFont="1" applyFill="1" applyBorder="1" applyAlignment="1">
      <alignment horizontal="right" indent="1"/>
    </xf>
    <xf numFmtId="42" fontId="13" fillId="30" borderId="25" xfId="1" applyNumberFormat="1" applyFont="1" applyFill="1" applyBorder="1"/>
    <xf numFmtId="169" fontId="13" fillId="30" borderId="29" xfId="3" applyNumberFormat="1" applyFont="1" applyFill="1" applyBorder="1" applyAlignment="1">
      <alignment horizontal="left" indent="2"/>
    </xf>
    <xf numFmtId="169" fontId="13" fillId="30" borderId="7" xfId="3" applyNumberFormat="1" applyFont="1" applyFill="1" applyBorder="1" applyAlignment="1">
      <alignment horizontal="left" indent="2"/>
    </xf>
    <xf numFmtId="169" fontId="13" fillId="30" borderId="25" xfId="3" applyNumberFormat="1" applyFont="1" applyFill="1" applyBorder="1" applyAlignment="1">
      <alignment horizontal="left" indent="2"/>
    </xf>
    <xf numFmtId="169" fontId="13" fillId="32" borderId="29" xfId="3" applyNumberFormat="1" applyFont="1" applyFill="1" applyBorder="1" applyAlignment="1">
      <alignment horizontal="left" indent="2"/>
    </xf>
    <xf numFmtId="169" fontId="13" fillId="32" borderId="7" xfId="3" applyNumberFormat="1" applyFont="1" applyFill="1" applyBorder="1" applyAlignment="1">
      <alignment horizontal="left" indent="2"/>
    </xf>
    <xf numFmtId="169" fontId="13" fillId="32" borderId="25" xfId="3" applyNumberFormat="1" applyFont="1" applyFill="1" applyBorder="1" applyAlignment="1">
      <alignment horizontal="left" indent="2"/>
    </xf>
    <xf numFmtId="42" fontId="15" fillId="30" borderId="7" xfId="1" applyNumberFormat="1" applyFont="1" applyFill="1" applyBorder="1" applyAlignment="1">
      <alignment horizontal="right" indent="1"/>
    </xf>
    <xf numFmtId="42" fontId="15" fillId="30" borderId="28" xfId="1" applyNumberFormat="1" applyFont="1" applyFill="1" applyBorder="1"/>
    <xf numFmtId="42" fontId="13" fillId="22" borderId="35" xfId="1" applyNumberFormat="1" applyFont="1" applyFill="1" applyBorder="1"/>
    <xf numFmtId="42" fontId="45" fillId="26" borderId="13" xfId="1" applyNumberFormat="1" applyFont="1" applyFill="1" applyBorder="1" applyAlignment="1">
      <alignment horizontal="center"/>
    </xf>
    <xf numFmtId="169" fontId="47" fillId="26" borderId="5" xfId="3" applyNumberFormat="1" applyFont="1" applyFill="1" applyBorder="1" applyAlignment="1">
      <alignment horizontal="center"/>
    </xf>
    <xf numFmtId="44" fontId="13" fillId="26" borderId="5" xfId="1" applyFont="1" applyFill="1" applyBorder="1"/>
    <xf numFmtId="44" fontId="13" fillId="26" borderId="6" xfId="1" applyFont="1" applyFill="1" applyBorder="1"/>
    <xf numFmtId="44" fontId="13" fillId="26" borderId="3" xfId="1" applyFont="1" applyFill="1" applyBorder="1"/>
    <xf numFmtId="42" fontId="21" fillId="9" borderId="59" xfId="1" applyNumberFormat="1" applyFont="1" applyFill="1" applyBorder="1" applyAlignment="1">
      <alignment horizontal="center" wrapText="1"/>
    </xf>
    <xf numFmtId="42" fontId="21" fillId="9" borderId="64" xfId="1" applyNumberFormat="1" applyFont="1" applyFill="1" applyBorder="1" applyAlignment="1">
      <alignment horizontal="center" wrapText="1"/>
    </xf>
    <xf numFmtId="42" fontId="21" fillId="9" borderId="0" xfId="1" applyNumberFormat="1" applyFont="1" applyFill="1" applyBorder="1"/>
    <xf numFmtId="42" fontId="21" fillId="9" borderId="53" xfId="1" applyNumberFormat="1" applyFont="1" applyFill="1" applyBorder="1" applyAlignment="1">
      <alignment horizontal="left" wrapText="1"/>
    </xf>
    <xf numFmtId="42" fontId="21" fillId="9" borderId="59" xfId="1" applyNumberFormat="1" applyFont="1" applyFill="1" applyBorder="1" applyAlignment="1">
      <alignment horizontal="center"/>
    </xf>
    <xf numFmtId="42" fontId="21" fillId="26" borderId="21" xfId="1" applyNumberFormat="1" applyFont="1" applyFill="1" applyBorder="1" applyAlignment="1">
      <alignment horizontal="center" wrapText="1"/>
    </xf>
    <xf numFmtId="42" fontId="21" fillId="26" borderId="19" xfId="1" applyNumberFormat="1" applyFont="1" applyFill="1" applyBorder="1" applyAlignment="1">
      <alignment horizontal="center" wrapText="1"/>
    </xf>
    <xf numFmtId="42" fontId="13" fillId="22" borderId="21" xfId="1" applyNumberFormat="1" applyFont="1" applyFill="1" applyBorder="1" applyAlignment="1">
      <alignment horizontal="right"/>
    </xf>
    <xf numFmtId="42" fontId="13" fillId="22" borderId="24" xfId="1" applyNumberFormat="1" applyFont="1" applyFill="1" applyBorder="1" applyAlignment="1">
      <alignment horizontal="right"/>
    </xf>
    <xf numFmtId="42" fontId="47" fillId="33" borderId="14" xfId="1" applyNumberFormat="1" applyFont="1" applyFill="1" applyBorder="1" applyAlignment="1">
      <alignment horizontal="center"/>
    </xf>
    <xf numFmtId="9" fontId="47" fillId="33" borderId="4" xfId="11" applyFont="1" applyFill="1" applyBorder="1" applyAlignment="1">
      <alignment horizontal="center"/>
    </xf>
    <xf numFmtId="1" fontId="47" fillId="33" borderId="1" xfId="1" applyNumberFormat="1" applyFont="1" applyFill="1" applyBorder="1" applyAlignment="1">
      <alignment horizontal="center"/>
    </xf>
    <xf numFmtId="165" fontId="47" fillId="33" borderId="1" xfId="1" applyNumberFormat="1" applyFont="1" applyFill="1" applyBorder="1" applyAlignment="1">
      <alignment horizontal="center"/>
    </xf>
    <xf numFmtId="165" fontId="47" fillId="33" borderId="10" xfId="1" applyNumberFormat="1" applyFont="1" applyFill="1" applyBorder="1" applyAlignment="1">
      <alignment horizontal="center"/>
    </xf>
    <xf numFmtId="42" fontId="13" fillId="33" borderId="4" xfId="1" applyNumberFormat="1" applyFont="1" applyFill="1" applyBorder="1"/>
    <xf numFmtId="42" fontId="13" fillId="33" borderId="1" xfId="1" applyNumberFormat="1" applyFont="1" applyFill="1" applyBorder="1"/>
    <xf numFmtId="42" fontId="13" fillId="33" borderId="61" xfId="1" applyNumberFormat="1" applyFont="1" applyFill="1" applyBorder="1"/>
    <xf numFmtId="42" fontId="13" fillId="33" borderId="10" xfId="1" applyNumberFormat="1" applyFont="1" applyFill="1" applyBorder="1"/>
    <xf numFmtId="42" fontId="15" fillId="33" borderId="1" xfId="1" applyNumberFormat="1" applyFont="1" applyFill="1" applyBorder="1" applyAlignment="1">
      <alignment horizontal="right" indent="1"/>
    </xf>
    <xf numFmtId="42" fontId="15" fillId="33" borderId="23" xfId="1" applyNumberFormat="1" applyFont="1" applyFill="1" applyBorder="1"/>
    <xf numFmtId="42" fontId="13" fillId="33" borderId="21" xfId="1" applyNumberFormat="1" applyFont="1" applyFill="1" applyBorder="1" applyAlignment="1">
      <alignment horizontal="right"/>
    </xf>
    <xf numFmtId="42" fontId="13" fillId="33" borderId="24" xfId="1" applyNumberFormat="1" applyFont="1" applyFill="1" applyBorder="1" applyAlignment="1">
      <alignment horizontal="right"/>
    </xf>
    <xf numFmtId="42" fontId="15" fillId="12" borderId="1" xfId="1" applyNumberFormat="1" applyFont="1" applyFill="1" applyBorder="1" applyAlignment="1">
      <alignment horizontal="right" indent="1"/>
    </xf>
    <xf numFmtId="42" fontId="15" fillId="12" borderId="1" xfId="1" applyNumberFormat="1" applyFont="1" applyFill="1" applyBorder="1"/>
    <xf numFmtId="42" fontId="15" fillId="12" borderId="23" xfId="1" applyNumberFormat="1" applyFont="1" applyFill="1" applyBorder="1"/>
    <xf numFmtId="42" fontId="13" fillId="12" borderId="21" xfId="1" applyNumberFormat="1" applyFont="1" applyFill="1" applyBorder="1" applyAlignment="1">
      <alignment horizontal="right"/>
    </xf>
    <xf numFmtId="42" fontId="13" fillId="12" borderId="24" xfId="1" applyNumberFormat="1" applyFont="1" applyFill="1" applyBorder="1" applyAlignment="1">
      <alignment horizontal="right"/>
    </xf>
    <xf numFmtId="42" fontId="13" fillId="12" borderId="4" xfId="1" applyNumberFormat="1" applyFont="1" applyFill="1" applyBorder="1"/>
    <xf numFmtId="42" fontId="13" fillId="12" borderId="35" xfId="1" applyNumberFormat="1" applyFont="1" applyFill="1" applyBorder="1"/>
    <xf numFmtId="42" fontId="13" fillId="12" borderId="1" xfId="1" applyNumberFormat="1" applyFont="1" applyFill="1" applyBorder="1"/>
    <xf numFmtId="42" fontId="13" fillId="12" borderId="10" xfId="1" applyNumberFormat="1" applyFont="1" applyFill="1" applyBorder="1"/>
    <xf numFmtId="1" fontId="47" fillId="12" borderId="1" xfId="1" applyNumberFormat="1" applyFont="1" applyFill="1" applyBorder="1" applyAlignment="1">
      <alignment horizontal="center"/>
    </xf>
    <xf numFmtId="165" fontId="47" fillId="12" borderId="1" xfId="1" applyNumberFormat="1" applyFont="1" applyFill="1" applyBorder="1" applyAlignment="1">
      <alignment horizontal="center"/>
    </xf>
    <xf numFmtId="165" fontId="47" fillId="12" borderId="10" xfId="1" applyNumberFormat="1" applyFont="1" applyFill="1" applyBorder="1" applyAlignment="1">
      <alignment horizontal="center"/>
    </xf>
    <xf numFmtId="165" fontId="15" fillId="4" borderId="21" xfId="1" applyNumberFormat="1" applyFont="1" applyFill="1" applyBorder="1"/>
    <xf numFmtId="42" fontId="13" fillId="26" borderId="0" xfId="1" applyNumberFormat="1" applyFont="1" applyFill="1" applyBorder="1" applyAlignment="1">
      <alignment horizontal="right" indent="1"/>
    </xf>
    <xf numFmtId="42" fontId="13" fillId="19" borderId="11" xfId="1" applyNumberFormat="1" applyFont="1" applyFill="1" applyBorder="1" applyAlignment="1">
      <alignment horizontal="right" indent="1"/>
    </xf>
    <xf numFmtId="9" fontId="13" fillId="26" borderId="0" xfId="11" applyFont="1" applyFill="1" applyBorder="1" applyAlignment="1">
      <alignment horizontal="right" indent="1"/>
    </xf>
    <xf numFmtId="42" fontId="13" fillId="20" borderId="11" xfId="1" applyNumberFormat="1" applyFont="1" applyFill="1" applyBorder="1"/>
    <xf numFmtId="42" fontId="13" fillId="21" borderId="11" xfId="1" applyNumberFormat="1" applyFont="1" applyFill="1" applyBorder="1"/>
    <xf numFmtId="42" fontId="13" fillId="26" borderId="34" xfId="1" applyNumberFormat="1" applyFont="1" applyFill="1" applyBorder="1"/>
    <xf numFmtId="42" fontId="13" fillId="4" borderId="11" xfId="1" applyNumberFormat="1" applyFont="1" applyFill="1" applyBorder="1"/>
    <xf numFmtId="42" fontId="13" fillId="30" borderId="30" xfId="1" applyNumberFormat="1" applyFont="1" applyFill="1" applyBorder="1"/>
    <xf numFmtId="42" fontId="13" fillId="22" borderId="11" xfId="1" applyNumberFormat="1" applyFont="1" applyFill="1" applyBorder="1"/>
    <xf numFmtId="42" fontId="13" fillId="33" borderId="11" xfId="1" applyNumberFormat="1" applyFont="1" applyFill="1" applyBorder="1"/>
    <xf numFmtId="42" fontId="13" fillId="12" borderId="11" xfId="1" applyNumberFormat="1" applyFont="1" applyFill="1" applyBorder="1"/>
    <xf numFmtId="42" fontId="15" fillId="0" borderId="65" xfId="1" applyNumberFormat="1" applyFont="1" applyFill="1" applyBorder="1" applyAlignment="1">
      <alignment horizontal="left"/>
    </xf>
    <xf numFmtId="42" fontId="13" fillId="26" borderId="67" xfId="1" applyNumberFormat="1" applyFont="1" applyFill="1" applyBorder="1" applyAlignment="1">
      <alignment horizontal="right" indent="1"/>
    </xf>
    <xf numFmtId="42" fontId="15" fillId="19" borderId="50" xfId="1" applyNumberFormat="1" applyFont="1" applyFill="1" applyBorder="1" applyAlignment="1">
      <alignment horizontal="right" indent="1"/>
    </xf>
    <xf numFmtId="9" fontId="13" fillId="26" borderId="67" xfId="11" applyFont="1" applyFill="1" applyBorder="1" applyAlignment="1">
      <alignment horizontal="right" indent="1"/>
    </xf>
    <xf numFmtId="42" fontId="15" fillId="20" borderId="50" xfId="1" applyNumberFormat="1" applyFont="1" applyFill="1" applyBorder="1"/>
    <xf numFmtId="9" fontId="15" fillId="26" borderId="67" xfId="11" applyFont="1" applyFill="1" applyBorder="1"/>
    <xf numFmtId="42" fontId="15" fillId="21" borderId="50" xfId="1" applyNumberFormat="1" applyFont="1" applyFill="1" applyBorder="1"/>
    <xf numFmtId="42" fontId="13" fillId="26" borderId="66" xfId="1" applyNumberFormat="1" applyFont="1" applyFill="1" applyBorder="1"/>
    <xf numFmtId="42" fontId="13" fillId="4" borderId="50" xfId="1" applyNumberFormat="1" applyFont="1" applyFill="1" applyBorder="1"/>
    <xf numFmtId="42" fontId="13" fillId="30" borderId="68" xfId="1" applyNumberFormat="1" applyFont="1" applyFill="1" applyBorder="1"/>
    <xf numFmtId="42" fontId="15" fillId="22" borderId="50" xfId="1" applyNumberFormat="1" applyFont="1" applyFill="1" applyBorder="1"/>
    <xf numFmtId="42" fontId="15" fillId="33" borderId="50" xfId="1" applyNumberFormat="1" applyFont="1" applyFill="1" applyBorder="1"/>
    <xf numFmtId="42" fontId="15" fillId="0" borderId="57" xfId="1" applyNumberFormat="1" applyFont="1" applyFill="1" applyBorder="1" applyAlignment="1">
      <alignment horizontal="left"/>
    </xf>
    <xf numFmtId="42" fontId="13" fillId="26" borderId="2" xfId="1" applyNumberFormat="1" applyFont="1" applyFill="1" applyBorder="1" applyAlignment="1">
      <alignment horizontal="right" indent="1"/>
    </xf>
    <xf numFmtId="9" fontId="13" fillId="26" borderId="2" xfId="11" applyFont="1" applyFill="1" applyBorder="1" applyAlignment="1">
      <alignment horizontal="right" indent="1"/>
    </xf>
    <xf numFmtId="9" fontId="15" fillId="26" borderId="2" xfId="11" applyFont="1" applyFill="1" applyBorder="1"/>
    <xf numFmtId="9" fontId="15" fillId="26" borderId="63" xfId="11" applyFont="1" applyFill="1" applyBorder="1"/>
    <xf numFmtId="42" fontId="13" fillId="4" borderId="23" xfId="1" applyNumberFormat="1" applyFont="1" applyFill="1" applyBorder="1"/>
    <xf numFmtId="9" fontId="15" fillId="30" borderId="28" xfId="11" applyFont="1" applyFill="1" applyBorder="1"/>
    <xf numFmtId="42" fontId="21" fillId="0" borderId="0" xfId="1" applyNumberFormat="1" applyFont="1" applyFill="1" applyBorder="1"/>
    <xf numFmtId="42" fontId="23" fillId="9" borderId="53" xfId="1" applyNumberFormat="1" applyFont="1" applyFill="1" applyBorder="1" applyAlignment="1">
      <alignment horizontal="right"/>
    </xf>
    <xf numFmtId="44" fontId="46" fillId="26" borderId="21" xfId="1" applyFont="1" applyFill="1" applyBorder="1"/>
    <xf numFmtId="42" fontId="23" fillId="9" borderId="21" xfId="1" applyNumberFormat="1" applyFont="1" applyFill="1" applyBorder="1" applyAlignment="1">
      <alignment horizontal="right" indent="1"/>
    </xf>
    <xf numFmtId="44" fontId="46" fillId="9" borderId="21" xfId="1" applyFont="1" applyFill="1" applyBorder="1"/>
    <xf numFmtId="44" fontId="49" fillId="26" borderId="13" xfId="1" applyFont="1" applyFill="1" applyBorder="1"/>
    <xf numFmtId="42" fontId="23" fillId="26" borderId="53" xfId="1" applyNumberFormat="1" applyFont="1" applyFill="1" applyBorder="1" applyAlignment="1">
      <alignment horizontal="center"/>
    </xf>
    <xf numFmtId="42" fontId="47" fillId="26" borderId="47" xfId="1" applyNumberFormat="1" applyFont="1" applyFill="1" applyBorder="1" applyAlignment="1">
      <alignment horizontal="center"/>
    </xf>
    <xf numFmtId="9" fontId="47" fillId="26" borderId="47" xfId="11" applyFont="1" applyFill="1" applyBorder="1" applyAlignment="1">
      <alignment horizontal="center"/>
    </xf>
    <xf numFmtId="1" fontId="47" fillId="26" borderId="47" xfId="1" applyNumberFormat="1" applyFont="1" applyFill="1" applyBorder="1" applyAlignment="1">
      <alignment horizontal="center"/>
    </xf>
    <xf numFmtId="165" fontId="47" fillId="26" borderId="47" xfId="1" applyNumberFormat="1" applyFont="1" applyFill="1" applyBorder="1" applyAlignment="1">
      <alignment horizontal="center"/>
    </xf>
    <xf numFmtId="42" fontId="21" fillId="26" borderId="48" xfId="1" applyNumberFormat="1" applyFont="1" applyFill="1" applyBorder="1" applyAlignment="1">
      <alignment horizontal="center" wrapText="1"/>
    </xf>
    <xf numFmtId="42" fontId="13" fillId="0" borderId="12" xfId="1" applyNumberFormat="1" applyFont="1" applyBorder="1" applyAlignment="1">
      <alignment horizontal="right"/>
    </xf>
    <xf numFmtId="42" fontId="13" fillId="26" borderId="13" xfId="1" applyNumberFormat="1" applyFont="1" applyFill="1" applyBorder="1"/>
    <xf numFmtId="42" fontId="13" fillId="19" borderId="13" xfId="1" applyNumberFormat="1" applyFont="1" applyFill="1" applyBorder="1"/>
    <xf numFmtId="42" fontId="13" fillId="20" borderId="13" xfId="1" applyNumberFormat="1" applyFont="1" applyFill="1" applyBorder="1"/>
    <xf numFmtId="42" fontId="13" fillId="21" borderId="13" xfId="1" applyNumberFormat="1" applyFont="1" applyFill="1" applyBorder="1"/>
    <xf numFmtId="42" fontId="13" fillId="4" borderId="13" xfId="1" applyNumberFormat="1" applyFont="1" applyFill="1" applyBorder="1"/>
    <xf numFmtId="42" fontId="13" fillId="30" borderId="13" xfId="1" applyNumberFormat="1" applyFont="1" applyFill="1" applyBorder="1"/>
    <xf numFmtId="42" fontId="13" fillId="22" borderId="13" xfId="1" applyNumberFormat="1" applyFont="1" applyFill="1" applyBorder="1"/>
    <xf numFmtId="42" fontId="13" fillId="33" borderId="13" xfId="1" applyNumberFormat="1" applyFont="1" applyFill="1" applyBorder="1"/>
    <xf numFmtId="42" fontId="13" fillId="12" borderId="13" xfId="1" applyNumberFormat="1" applyFont="1" applyFill="1" applyBorder="1"/>
    <xf numFmtId="42" fontId="13" fillId="13" borderId="1" xfId="1" applyNumberFormat="1" applyFont="1" applyFill="1" applyBorder="1"/>
    <xf numFmtId="49" fontId="13" fillId="32" borderId="69" xfId="0" applyNumberFormat="1" applyFont="1" applyFill="1" applyBorder="1" applyAlignment="1">
      <alignment horizontal="left"/>
    </xf>
    <xf numFmtId="42" fontId="45" fillId="33" borderId="13" xfId="1" applyNumberFormat="1" applyFont="1" applyFill="1" applyBorder="1" applyAlignment="1">
      <alignment horizontal="center"/>
    </xf>
    <xf numFmtId="42" fontId="45" fillId="12" borderId="13" xfId="1" applyNumberFormat="1" applyFont="1" applyFill="1" applyBorder="1" applyAlignment="1">
      <alignment horizontal="center"/>
    </xf>
    <xf numFmtId="42" fontId="23" fillId="19" borderId="13" xfId="1" applyNumberFormat="1" applyFont="1" applyFill="1" applyBorder="1" applyAlignment="1">
      <alignment horizontal="center"/>
    </xf>
    <xf numFmtId="42" fontId="23" fillId="20" borderId="13" xfId="1" applyNumberFormat="1" applyFont="1" applyFill="1" applyBorder="1" applyAlignment="1">
      <alignment horizontal="center"/>
    </xf>
    <xf numFmtId="42" fontId="23" fillId="21" borderId="13" xfId="1" applyNumberFormat="1" applyFont="1" applyFill="1" applyBorder="1" applyAlignment="1">
      <alignment horizontal="center"/>
    </xf>
    <xf numFmtId="42" fontId="45" fillId="22" borderId="13" xfId="1" applyNumberFormat="1" applyFont="1" applyFill="1" applyBorder="1" applyAlignment="1">
      <alignment horizontal="center"/>
    </xf>
    <xf numFmtId="42" fontId="21" fillId="9" borderId="59" xfId="1" applyNumberFormat="1" applyFont="1" applyFill="1" applyBorder="1" applyAlignment="1">
      <alignment horizontal="center" vertical="center" wrapText="1"/>
    </xf>
    <xf numFmtId="0" fontId="4" fillId="0" borderId="0" xfId="30"/>
    <xf numFmtId="0" fontId="25" fillId="3" borderId="1" xfId="30" applyFont="1" applyFill="1" applyBorder="1" applyAlignment="1">
      <alignment horizontal="center" vertical="center"/>
    </xf>
    <xf numFmtId="0" fontId="4" fillId="0" borderId="1" xfId="30" applyBorder="1"/>
    <xf numFmtId="1" fontId="4" fillId="0" borderId="1" xfId="30" applyNumberFormat="1" applyBorder="1" applyAlignment="1">
      <alignment horizontal="center" vertical="center"/>
    </xf>
    <xf numFmtId="164" fontId="4" fillId="0" borderId="1" xfId="30" applyNumberFormat="1" applyBorder="1" applyAlignment="1">
      <alignment horizontal="center" vertical="center"/>
    </xf>
    <xf numFmtId="164" fontId="12" fillId="0" borderId="4" xfId="30" applyNumberFormat="1" applyFont="1" applyBorder="1" applyAlignment="1">
      <alignment horizontal="center" vertical="center"/>
    </xf>
    <xf numFmtId="164" fontId="12" fillId="0" borderId="1" xfId="30" applyNumberFormat="1" applyFont="1" applyBorder="1" applyAlignment="1">
      <alignment horizontal="center"/>
    </xf>
    <xf numFmtId="0" fontId="4" fillId="0" borderId="1" xfId="30" applyBorder="1" applyAlignment="1">
      <alignment horizontal="center"/>
    </xf>
    <xf numFmtId="164" fontId="12" fillId="0" borderId="1" xfId="30" applyNumberFormat="1" applyFont="1" applyBorder="1" applyAlignment="1">
      <alignment horizontal="center" vertical="center"/>
    </xf>
    <xf numFmtId="1" fontId="4" fillId="5" borderId="1" xfId="30" applyNumberFormat="1" applyFill="1" applyBorder="1" applyAlignment="1">
      <alignment horizontal="center"/>
    </xf>
    <xf numFmtId="164" fontId="4" fillId="0" borderId="0" xfId="30" applyNumberFormat="1" applyAlignment="1">
      <alignment horizontal="center" vertical="center"/>
    </xf>
    <xf numFmtId="164" fontId="12" fillId="0" borderId="0" xfId="30" applyNumberFormat="1" applyFont="1" applyAlignment="1">
      <alignment horizontal="center" vertical="center"/>
    </xf>
    <xf numFmtId="164" fontId="25" fillId="6" borderId="1" xfId="30" applyNumberFormat="1" applyFont="1" applyFill="1" applyBorder="1" applyAlignment="1">
      <alignment horizontal="center"/>
    </xf>
    <xf numFmtId="0" fontId="4" fillId="0" borderId="0" xfId="30" applyAlignment="1">
      <alignment horizontal="center"/>
    </xf>
    <xf numFmtId="0" fontId="4" fillId="0" borderId="1" xfId="31" applyBorder="1"/>
    <xf numFmtId="164" fontId="4" fillId="0" borderId="1" xfId="31" applyNumberFormat="1" applyBorder="1" applyAlignment="1">
      <alignment horizontal="center" vertical="center"/>
    </xf>
    <xf numFmtId="164" fontId="12" fillId="0" borderId="1" xfId="31" applyNumberFormat="1" applyFont="1" applyBorder="1" applyAlignment="1">
      <alignment horizontal="center" vertical="center"/>
    </xf>
    <xf numFmtId="1" fontId="4" fillId="0" borderId="0" xfId="30" applyNumberFormat="1"/>
    <xf numFmtId="166" fontId="4" fillId="0" borderId="1" xfId="30" applyNumberFormat="1" applyBorder="1" applyAlignment="1">
      <alignment horizontal="center" vertical="center"/>
    </xf>
    <xf numFmtId="166" fontId="4" fillId="5" borderId="1" xfId="30" applyNumberFormat="1" applyFill="1" applyBorder="1" applyAlignment="1">
      <alignment horizontal="center" vertical="center"/>
    </xf>
    <xf numFmtId="1" fontId="4" fillId="0" borderId="0" xfId="30" applyNumberFormat="1" applyAlignment="1">
      <alignment horizontal="center"/>
    </xf>
    <xf numFmtId="1" fontId="25" fillId="5" borderId="1" xfId="30" applyNumberFormat="1" applyFont="1" applyFill="1" applyBorder="1" applyAlignment="1">
      <alignment horizontal="center" vertical="center"/>
    </xf>
    <xf numFmtId="164" fontId="25" fillId="8" borderId="1" xfId="30" applyNumberFormat="1" applyFont="1" applyFill="1" applyBorder="1" applyAlignment="1">
      <alignment horizontal="center"/>
    </xf>
    <xf numFmtId="42" fontId="13" fillId="22" borderId="0" xfId="1" applyNumberFormat="1" applyFont="1" applyFill="1" applyBorder="1"/>
    <xf numFmtId="42" fontId="33" fillId="22" borderId="10" xfId="1" applyNumberFormat="1" applyFont="1" applyFill="1" applyBorder="1"/>
    <xf numFmtId="0" fontId="0" fillId="26" borderId="0" xfId="0" applyFill="1"/>
    <xf numFmtId="42" fontId="47" fillId="12" borderId="13" xfId="1" applyNumberFormat="1" applyFont="1" applyFill="1" applyBorder="1" applyAlignment="1">
      <alignment horizontal="center"/>
    </xf>
    <xf numFmtId="9" fontId="47" fillId="12" borderId="4" xfId="11" applyFont="1" applyFill="1" applyBorder="1" applyAlignment="1">
      <alignment horizontal="center"/>
    </xf>
    <xf numFmtId="42" fontId="15" fillId="12" borderId="50" xfId="1" applyNumberFormat="1" applyFont="1" applyFill="1" applyBorder="1"/>
    <xf numFmtId="42" fontId="13" fillId="12" borderId="0" xfId="1" applyNumberFormat="1" applyFont="1" applyFill="1" applyBorder="1"/>
    <xf numFmtId="42" fontId="33" fillId="12" borderId="10" xfId="1" applyNumberFormat="1" applyFont="1" applyFill="1" applyBorder="1"/>
    <xf numFmtId="42" fontId="13" fillId="22" borderId="69" xfId="1" applyNumberFormat="1" applyFont="1" applyFill="1" applyBorder="1"/>
    <xf numFmtId="42" fontId="13" fillId="12" borderId="69" xfId="1" applyNumberFormat="1" applyFont="1" applyFill="1" applyBorder="1"/>
    <xf numFmtId="42" fontId="13" fillId="26" borderId="69" xfId="1" applyNumberFormat="1" applyFont="1" applyFill="1" applyBorder="1"/>
    <xf numFmtId="42" fontId="13" fillId="33" borderId="69" xfId="1" applyNumberFormat="1" applyFont="1" applyFill="1" applyBorder="1"/>
    <xf numFmtId="42" fontId="33" fillId="33" borderId="10" xfId="1" applyNumberFormat="1" applyFont="1" applyFill="1" applyBorder="1"/>
    <xf numFmtId="37" fontId="13" fillId="20" borderId="1" xfId="1" applyNumberFormat="1" applyFont="1" applyFill="1" applyBorder="1"/>
    <xf numFmtId="42" fontId="15" fillId="8" borderId="1" xfId="1" applyNumberFormat="1" applyFont="1" applyFill="1" applyBorder="1"/>
    <xf numFmtId="37" fontId="13" fillId="21" borderId="1" xfId="1" applyNumberFormat="1" applyFont="1" applyFill="1" applyBorder="1"/>
    <xf numFmtId="42" fontId="33" fillId="21" borderId="10" xfId="1" applyNumberFormat="1" applyFont="1" applyFill="1" applyBorder="1"/>
    <xf numFmtId="42" fontId="13" fillId="21" borderId="69" xfId="1" applyNumberFormat="1" applyFont="1" applyFill="1" applyBorder="1"/>
    <xf numFmtId="42" fontId="33" fillId="20" borderId="10" xfId="1" applyNumberFormat="1" applyFont="1" applyFill="1" applyBorder="1"/>
    <xf numFmtId="42" fontId="13" fillId="20" borderId="69" xfId="1" applyNumberFormat="1" applyFont="1" applyFill="1" applyBorder="1"/>
    <xf numFmtId="42" fontId="13" fillId="26" borderId="1" xfId="1" applyNumberFormat="1" applyFont="1" applyFill="1" applyBorder="1"/>
    <xf numFmtId="42" fontId="13" fillId="33" borderId="0" xfId="1" applyNumberFormat="1" applyFont="1" applyFill="1" applyBorder="1"/>
    <xf numFmtId="42" fontId="33" fillId="19" borderId="10" xfId="1" applyNumberFormat="1" applyFont="1" applyFill="1" applyBorder="1"/>
    <xf numFmtId="42" fontId="15" fillId="8" borderId="1" xfId="1" applyNumberFormat="1" applyFont="1" applyFill="1" applyBorder="1" applyAlignment="1">
      <alignment horizontal="right" indent="1"/>
    </xf>
    <xf numFmtId="42" fontId="13" fillId="19" borderId="69" xfId="1" applyNumberFormat="1" applyFont="1" applyFill="1" applyBorder="1"/>
    <xf numFmtId="42" fontId="0" fillId="32" borderId="55" xfId="1" applyNumberFormat="1" applyFont="1" applyFill="1" applyBorder="1" applyAlignment="1">
      <alignment horizontal="left"/>
    </xf>
    <xf numFmtId="42" fontId="0" fillId="32" borderId="55" xfId="1" applyNumberFormat="1" applyFont="1" applyFill="1" applyBorder="1"/>
    <xf numFmtId="42" fontId="0" fillId="0" borderId="55" xfId="1" applyNumberFormat="1" applyFont="1" applyFill="1" applyBorder="1"/>
    <xf numFmtId="164" fontId="25" fillId="0" borderId="0" xfId="30" applyNumberFormat="1" applyFont="1" applyAlignment="1">
      <alignment horizontal="center" vertical="center"/>
    </xf>
    <xf numFmtId="164" fontId="25" fillId="23" borderId="1" xfId="30" applyNumberFormat="1" applyFont="1" applyFill="1" applyBorder="1" applyAlignment="1">
      <alignment horizontal="center" vertical="center"/>
    </xf>
    <xf numFmtId="164" fontId="25" fillId="23" borderId="1" xfId="30" applyNumberFormat="1" applyFont="1" applyFill="1" applyBorder="1" applyAlignment="1">
      <alignment horizontal="center"/>
    </xf>
    <xf numFmtId="0" fontId="29" fillId="34" borderId="8" xfId="12" applyFont="1" applyFill="1" applyBorder="1" applyAlignment="1">
      <alignment horizontal="center" wrapText="1"/>
    </xf>
    <xf numFmtId="0" fontId="29" fillId="34" borderId="8" xfId="12" applyFont="1" applyFill="1" applyBorder="1" applyAlignment="1">
      <alignment horizontal="center"/>
    </xf>
    <xf numFmtId="0" fontId="8" fillId="33" borderId="0" xfId="15" applyFill="1"/>
    <xf numFmtId="0" fontId="29" fillId="34" borderId="72" xfId="12" applyFont="1" applyFill="1" applyBorder="1" applyAlignment="1">
      <alignment horizontal="center" wrapText="1"/>
    </xf>
    <xf numFmtId="10" fontId="29" fillId="34" borderId="72" xfId="13" applyNumberFormat="1" applyFont="1" applyFill="1" applyBorder="1" applyAlignment="1">
      <alignment horizontal="center"/>
    </xf>
    <xf numFmtId="0" fontId="8" fillId="33" borderId="1" xfId="15" applyFill="1" applyBorder="1"/>
    <xf numFmtId="0" fontId="12" fillId="33" borderId="1" xfId="15" applyFont="1" applyFill="1" applyBorder="1" applyAlignment="1">
      <alignment horizontal="center" wrapText="1"/>
    </xf>
    <xf numFmtId="0" fontId="12" fillId="33" borderId="1" xfId="15" applyFont="1" applyFill="1" applyBorder="1"/>
    <xf numFmtId="0" fontId="12" fillId="33" borderId="1" xfId="15" applyFont="1" applyFill="1" applyBorder="1" applyAlignment="1">
      <alignment horizontal="center"/>
    </xf>
    <xf numFmtId="0" fontId="8" fillId="33" borderId="1" xfId="15" applyFill="1" applyBorder="1" applyAlignment="1">
      <alignment horizontal="center"/>
    </xf>
    <xf numFmtId="164" fontId="8" fillId="33" borderId="1" xfId="15" applyNumberFormat="1" applyFill="1" applyBorder="1" applyAlignment="1">
      <alignment horizontal="center" vertical="center"/>
    </xf>
    <xf numFmtId="164" fontId="12" fillId="33" borderId="1" xfId="15" applyNumberFormat="1" applyFont="1" applyFill="1" applyBorder="1" applyAlignment="1">
      <alignment horizontal="center" vertical="center"/>
    </xf>
    <xf numFmtId="164" fontId="25" fillId="33" borderId="0" xfId="30" applyNumberFormat="1" applyFont="1" applyFill="1" applyAlignment="1">
      <alignment horizontal="center" vertical="center"/>
    </xf>
    <xf numFmtId="14" fontId="0" fillId="0" borderId="0" xfId="0" applyNumberFormat="1"/>
    <xf numFmtId="168" fontId="8" fillId="0" borderId="0" xfId="15" applyNumberFormat="1"/>
    <xf numFmtId="169" fontId="8" fillId="0" borderId="0" xfId="15" applyNumberFormat="1"/>
    <xf numFmtId="43" fontId="8" fillId="0" borderId="0" xfId="15" applyNumberFormat="1"/>
    <xf numFmtId="164" fontId="4" fillId="0" borderId="0" xfId="30" applyNumberFormat="1"/>
    <xf numFmtId="168" fontId="4" fillId="0" borderId="0" xfId="30" applyNumberFormat="1"/>
    <xf numFmtId="0" fontId="8" fillId="23" borderId="1" xfId="15" applyFill="1" applyBorder="1"/>
    <xf numFmtId="0" fontId="29" fillId="35" borderId="73" xfId="12" applyFont="1" applyFill="1" applyBorder="1" applyAlignment="1">
      <alignment horizontal="center" wrapText="1"/>
    </xf>
    <xf numFmtId="0" fontId="29" fillId="35" borderId="73" xfId="12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70" fontId="0" fillId="0" borderId="1" xfId="0" applyNumberFormat="1" applyBorder="1" applyAlignment="1">
      <alignment horizontal="center"/>
    </xf>
    <xf numFmtId="168" fontId="0" fillId="0" borderId="1" xfId="0" applyNumberFormat="1" applyBorder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70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23" borderId="1" xfId="0" applyFill="1" applyBorder="1"/>
    <xf numFmtId="0" fontId="0" fillId="23" borderId="1" xfId="0" applyFill="1" applyBorder="1" applyAlignment="1">
      <alignment horizontal="center"/>
    </xf>
    <xf numFmtId="164" fontId="0" fillId="23" borderId="1" xfId="0" applyNumberFormat="1" applyFill="1" applyBorder="1"/>
    <xf numFmtId="0" fontId="0" fillId="23" borderId="0" xfId="0" applyFill="1"/>
    <xf numFmtId="42" fontId="13" fillId="23" borderId="21" xfId="1" applyNumberFormat="1" applyFont="1" applyFill="1" applyBorder="1" applyAlignment="1">
      <alignment horizontal="right" indent="1"/>
    </xf>
    <xf numFmtId="170" fontId="0" fillId="23" borderId="1" xfId="0" applyNumberFormat="1" applyFill="1" applyBorder="1" applyAlignment="1">
      <alignment horizontal="center"/>
    </xf>
    <xf numFmtId="168" fontId="0" fillId="23" borderId="1" xfId="0" applyNumberFormat="1" applyFill="1" applyBorder="1"/>
    <xf numFmtId="42" fontId="15" fillId="4" borderId="48" xfId="1" applyNumberFormat="1" applyFont="1" applyFill="1" applyBorder="1" applyAlignment="1">
      <alignment horizontal="right"/>
    </xf>
    <xf numFmtId="165" fontId="15" fillId="4" borderId="24" xfId="1" applyNumberFormat="1" applyFont="1" applyFill="1" applyBorder="1" applyAlignment="1">
      <alignment horizontal="right" indent="1"/>
    </xf>
    <xf numFmtId="42" fontId="15" fillId="26" borderId="24" xfId="1" applyNumberFormat="1" applyFont="1" applyFill="1" applyBorder="1" applyAlignment="1">
      <alignment horizontal="right" indent="1"/>
    </xf>
    <xf numFmtId="42" fontId="15" fillId="4" borderId="24" xfId="1" applyNumberFormat="1" applyFont="1" applyFill="1" applyBorder="1" applyAlignment="1">
      <alignment horizontal="right" indent="1"/>
    </xf>
    <xf numFmtId="44" fontId="13" fillId="26" borderId="24" xfId="1" applyFont="1" applyFill="1" applyBorder="1"/>
    <xf numFmtId="44" fontId="13" fillId="4" borderId="24" xfId="1" applyFont="1" applyFill="1" applyBorder="1"/>
    <xf numFmtId="42" fontId="13" fillId="32" borderId="1" xfId="1" applyNumberFormat="1" applyFont="1" applyFill="1" applyBorder="1" applyAlignment="1">
      <alignment horizontal="left"/>
    </xf>
    <xf numFmtId="42" fontId="13" fillId="26" borderId="1" xfId="1" applyNumberFormat="1" applyFont="1" applyFill="1" applyBorder="1" applyAlignment="1">
      <alignment horizontal="right" indent="1"/>
    </xf>
    <xf numFmtId="0" fontId="0" fillId="26" borderId="1" xfId="0" applyFill="1" applyBorder="1"/>
    <xf numFmtId="44" fontId="13" fillId="26" borderId="1" xfId="1" applyFont="1" applyFill="1" applyBorder="1"/>
    <xf numFmtId="42" fontId="13" fillId="36" borderId="1" xfId="1" applyNumberFormat="1" applyFont="1" applyFill="1" applyBorder="1"/>
    <xf numFmtId="0" fontId="2" fillId="0" borderId="0" xfId="30" applyFont="1"/>
    <xf numFmtId="165" fontId="2" fillId="0" borderId="1" xfId="14" applyNumberFormat="1" applyFont="1" applyBorder="1"/>
    <xf numFmtId="165" fontId="2" fillId="0" borderId="1" xfId="1" applyNumberFormat="1" applyFont="1" applyBorder="1" applyAlignment="1"/>
    <xf numFmtId="165" fontId="2" fillId="13" borderId="1" xfId="1" applyNumberFormat="1" applyFont="1" applyFill="1" applyBorder="1" applyAlignment="1"/>
    <xf numFmtId="0" fontId="2" fillId="33" borderId="1" xfId="15" applyFont="1" applyFill="1" applyBorder="1" applyAlignment="1">
      <alignment horizontal="center" wrapText="1"/>
    </xf>
    <xf numFmtId="169" fontId="2" fillId="33" borderId="1" xfId="3" applyNumberFormat="1" applyFont="1" applyFill="1" applyBorder="1"/>
    <xf numFmtId="169" fontId="2" fillId="0" borderId="0" xfId="3" applyNumberFormat="1" applyFont="1"/>
    <xf numFmtId="0" fontId="2" fillId="0" borderId="1" xfId="15" applyFont="1" applyBorder="1"/>
    <xf numFmtId="0" fontId="2" fillId="33" borderId="1" xfId="15" applyFont="1" applyFill="1" applyBorder="1"/>
    <xf numFmtId="169" fontId="2" fillId="33" borderId="0" xfId="3" applyNumberFormat="1" applyFont="1" applyFill="1"/>
    <xf numFmtId="0" fontId="2" fillId="3" borderId="1" xfId="15" applyFont="1" applyFill="1" applyBorder="1"/>
    <xf numFmtId="43" fontId="2" fillId="0" borderId="0" xfId="3" applyFont="1"/>
    <xf numFmtId="165" fontId="2" fillId="0" borderId="10" xfId="14" applyNumberFormat="1" applyFont="1" applyBorder="1"/>
    <xf numFmtId="0" fontId="2" fillId="3" borderId="1" xfId="15" applyFont="1" applyFill="1" applyBorder="1" applyAlignment="1">
      <alignment wrapText="1"/>
    </xf>
    <xf numFmtId="0" fontId="2" fillId="3" borderId="11" xfId="15" applyFont="1" applyFill="1" applyBorder="1"/>
    <xf numFmtId="0" fontId="2" fillId="14" borderId="1" xfId="15" applyFont="1" applyFill="1" applyBorder="1"/>
    <xf numFmtId="0" fontId="2" fillId="0" borderId="1" xfId="15" applyFont="1" applyBorder="1" applyAlignment="1">
      <alignment wrapText="1"/>
    </xf>
    <xf numFmtId="0" fontId="2" fillId="7" borderId="11" xfId="15" applyFont="1" applyFill="1" applyBorder="1"/>
    <xf numFmtId="0" fontId="2" fillId="23" borderId="1" xfId="15" applyFont="1" applyFill="1" applyBorder="1" applyAlignment="1">
      <alignment horizontal="center" wrapText="1"/>
    </xf>
    <xf numFmtId="169" fontId="2" fillId="23" borderId="1" xfId="3" applyNumberFormat="1" applyFont="1" applyFill="1" applyBorder="1"/>
    <xf numFmtId="0" fontId="2" fillId="20" borderId="1" xfId="30" applyFont="1" applyFill="1" applyBorder="1"/>
    <xf numFmtId="0" fontId="2" fillId="0" borderId="0" xfId="7" applyFont="1"/>
    <xf numFmtId="0" fontId="2" fillId="13" borderId="0" xfId="7" applyFont="1" applyFill="1"/>
    <xf numFmtId="3" fontId="2" fillId="0" borderId="1" xfId="9" applyNumberFormat="1" applyFont="1" applyBorder="1" applyAlignment="1">
      <alignment horizontal="right" indent="1"/>
    </xf>
    <xf numFmtId="165" fontId="2" fillId="0" borderId="0" xfId="1" applyNumberFormat="1" applyFont="1" applyAlignment="1"/>
    <xf numFmtId="165" fontId="2" fillId="0" borderId="0" xfId="1" applyNumberFormat="1" applyFont="1" applyAlignment="1">
      <alignment horizontal="right"/>
    </xf>
    <xf numFmtId="42" fontId="13" fillId="13" borderId="10" xfId="1" applyNumberFormat="1" applyFont="1" applyFill="1" applyBorder="1"/>
    <xf numFmtId="9" fontId="13" fillId="13" borderId="5" xfId="11" applyFont="1" applyFill="1" applyBorder="1" applyAlignment="1">
      <alignment horizontal="right" indent="1"/>
    </xf>
    <xf numFmtId="9" fontId="15" fillId="13" borderId="5" xfId="11" applyFont="1" applyFill="1" applyBorder="1"/>
    <xf numFmtId="169" fontId="13" fillId="13" borderId="61" xfId="3" applyNumberFormat="1" applyFont="1" applyFill="1" applyBorder="1" applyAlignment="1">
      <alignment horizontal="left" indent="2"/>
    </xf>
    <xf numFmtId="42" fontId="13" fillId="13" borderId="69" xfId="1" applyNumberFormat="1" applyFont="1" applyFill="1" applyBorder="1"/>
    <xf numFmtId="42" fontId="13" fillId="13" borderId="4" xfId="1" applyNumberFormat="1" applyFont="1" applyFill="1" applyBorder="1"/>
    <xf numFmtId="42" fontId="13" fillId="19" borderId="0" xfId="1" applyNumberFormat="1" applyFont="1" applyFill="1" applyBorder="1"/>
    <xf numFmtId="42" fontId="13" fillId="20" borderId="0" xfId="1" applyNumberFormat="1" applyFont="1" applyFill="1" applyBorder="1"/>
    <xf numFmtId="42" fontId="13" fillId="8" borderId="0" xfId="1" applyNumberFormat="1" applyFont="1" applyFill="1" applyBorder="1"/>
    <xf numFmtId="44" fontId="13" fillId="32" borderId="0" xfId="1" applyFont="1" applyFill="1" applyBorder="1"/>
    <xf numFmtId="44" fontId="13" fillId="26" borderId="0" xfId="1" applyFont="1" applyFill="1" applyBorder="1"/>
    <xf numFmtId="42" fontId="13" fillId="8" borderId="1" xfId="1" applyNumberFormat="1" applyFont="1" applyFill="1" applyBorder="1"/>
    <xf numFmtId="44" fontId="13" fillId="32" borderId="7" xfId="1" applyFont="1" applyFill="1" applyBorder="1"/>
    <xf numFmtId="0" fontId="0" fillId="26" borderId="6" xfId="0" applyFill="1" applyBorder="1"/>
    <xf numFmtId="169" fontId="13" fillId="0" borderId="7" xfId="3" applyNumberFormat="1" applyFont="1" applyFill="1" applyBorder="1" applyAlignment="1">
      <alignment horizontal="left" indent="2"/>
    </xf>
    <xf numFmtId="42" fontId="13" fillId="0" borderId="13" xfId="1" applyNumberFormat="1" applyFont="1" applyFill="1" applyBorder="1"/>
    <xf numFmtId="42" fontId="15" fillId="4" borderId="47" xfId="1" applyNumberFormat="1" applyFont="1" applyFill="1" applyBorder="1" applyAlignment="1">
      <alignment horizontal="right"/>
    </xf>
    <xf numFmtId="42" fontId="15" fillId="32" borderId="1" xfId="1" applyNumberFormat="1" applyFont="1" applyFill="1" applyBorder="1" applyAlignment="1">
      <alignment horizontal="left"/>
    </xf>
    <xf numFmtId="49" fontId="45" fillId="25" borderId="12" xfId="1" applyNumberFormat="1" applyFont="1" applyFill="1" applyBorder="1"/>
    <xf numFmtId="49" fontId="47" fillId="25" borderId="12" xfId="1" applyNumberFormat="1" applyFont="1" applyFill="1" applyBorder="1"/>
    <xf numFmtId="49" fontId="47" fillId="25" borderId="51" xfId="1" applyNumberFormat="1" applyFont="1" applyFill="1" applyBorder="1" applyAlignment="1">
      <alignment horizontal="right"/>
    </xf>
    <xf numFmtId="49" fontId="47" fillId="25" borderId="69" xfId="1" applyNumberFormat="1" applyFont="1" applyFill="1" applyBorder="1" applyAlignment="1">
      <alignment horizontal="right"/>
    </xf>
    <xf numFmtId="49" fontId="47" fillId="25" borderId="70" xfId="1" applyNumberFormat="1" applyFont="1" applyFill="1" applyBorder="1" applyAlignment="1">
      <alignment horizontal="right"/>
    </xf>
    <xf numFmtId="49" fontId="21" fillId="9" borderId="26" xfId="1" applyNumberFormat="1" applyFont="1" applyFill="1" applyBorder="1" applyAlignment="1">
      <alignment horizontal="left" wrapText="1"/>
    </xf>
    <xf numFmtId="49" fontId="45" fillId="26" borderId="13" xfId="1" applyNumberFormat="1" applyFont="1" applyFill="1" applyBorder="1"/>
    <xf numFmtId="49" fontId="13" fillId="0" borderId="33" xfId="1" applyNumberFormat="1" applyFont="1" applyFill="1" applyBorder="1"/>
    <xf numFmtId="49" fontId="15" fillId="0" borderId="52" xfId="1" applyNumberFormat="1" applyFont="1" applyFill="1" applyBorder="1" applyAlignment="1">
      <alignment horizontal="left"/>
    </xf>
    <xf numFmtId="49" fontId="15" fillId="0" borderId="71" xfId="1" applyNumberFormat="1" applyFont="1" applyFill="1" applyBorder="1" applyAlignment="1">
      <alignment horizontal="left"/>
    </xf>
    <xf numFmtId="49" fontId="15" fillId="4" borderId="12" xfId="1" applyNumberFormat="1" applyFont="1" applyFill="1" applyBorder="1" applyAlignment="1">
      <alignment horizontal="right"/>
    </xf>
    <xf numFmtId="49" fontId="13" fillId="32" borderId="51" xfId="1" applyNumberFormat="1" applyFont="1" applyFill="1" applyBorder="1"/>
    <xf numFmtId="49" fontId="13" fillId="32" borderId="69" xfId="1" applyNumberFormat="1" applyFont="1" applyFill="1" applyBorder="1"/>
    <xf numFmtId="49" fontId="13" fillId="32" borderId="69" xfId="1" applyNumberFormat="1" applyFont="1" applyFill="1" applyBorder="1" applyAlignment="1">
      <alignment horizontal="left"/>
    </xf>
    <xf numFmtId="49" fontId="13" fillId="32" borderId="69" xfId="0" applyNumberFormat="1" applyFont="1" applyFill="1" applyBorder="1"/>
    <xf numFmtId="49" fontId="13" fillId="32" borderId="70" xfId="1" applyNumberFormat="1" applyFont="1" applyFill="1" applyBorder="1" applyAlignment="1">
      <alignment horizontal="left"/>
    </xf>
    <xf numFmtId="49" fontId="13" fillId="32" borderId="1" xfId="1" applyNumberFormat="1" applyFont="1" applyFill="1" applyBorder="1" applyAlignment="1">
      <alignment horizontal="left"/>
    </xf>
    <xf numFmtId="49" fontId="15" fillId="4" borderId="49" xfId="1" applyNumberFormat="1" applyFont="1" applyFill="1" applyBorder="1" applyAlignment="1">
      <alignment horizontal="right"/>
    </xf>
    <xf numFmtId="49" fontId="15" fillId="32" borderId="70" xfId="1" applyNumberFormat="1" applyFont="1" applyFill="1" applyBorder="1" applyAlignment="1">
      <alignment horizontal="left"/>
    </xf>
    <xf numFmtId="49" fontId="15" fillId="32" borderId="3" xfId="1" applyNumberFormat="1" applyFont="1" applyFill="1" applyBorder="1" applyAlignment="1">
      <alignment horizontal="left"/>
    </xf>
    <xf numFmtId="49" fontId="15" fillId="32" borderId="0" xfId="1" applyNumberFormat="1" applyFont="1" applyFill="1" applyBorder="1" applyAlignment="1">
      <alignment horizontal="left"/>
    </xf>
    <xf numFmtId="49" fontId="15" fillId="4" borderId="26" xfId="1" applyNumberFormat="1" applyFont="1" applyFill="1" applyBorder="1" applyAlignment="1">
      <alignment horizontal="right"/>
    </xf>
    <xf numFmtId="49" fontId="23" fillId="9" borderId="26" xfId="1" applyNumberFormat="1" applyFont="1" applyFill="1" applyBorder="1" applyAlignment="1">
      <alignment horizontal="right"/>
    </xf>
    <xf numFmtId="49" fontId="13" fillId="0" borderId="51" xfId="1" applyNumberFormat="1" applyFont="1" applyFill="1" applyBorder="1"/>
    <xf numFmtId="49" fontId="13" fillId="0" borderId="69" xfId="1" applyNumberFormat="1" applyFont="1" applyFill="1" applyBorder="1"/>
    <xf numFmtId="49" fontId="13" fillId="0" borderId="70" xfId="1" applyNumberFormat="1" applyFont="1" applyFill="1" applyBorder="1"/>
    <xf numFmtId="49" fontId="15" fillId="32" borderId="70" xfId="1" applyNumberFormat="1" applyFont="1" applyFill="1" applyBorder="1"/>
    <xf numFmtId="49" fontId="2" fillId="0" borderId="0" xfId="15" applyNumberFormat="1" applyFont="1"/>
    <xf numFmtId="49" fontId="13" fillId="32" borderId="70" xfId="1" applyNumberFormat="1" applyFont="1" applyFill="1" applyBorder="1"/>
    <xf numFmtId="49" fontId="13" fillId="32" borderId="51" xfId="0" applyNumberFormat="1" applyFont="1" applyFill="1" applyBorder="1" applyAlignment="1">
      <alignment horizontal="left"/>
    </xf>
    <xf numFmtId="49" fontId="23" fillId="9" borderId="12" xfId="1" applyNumberFormat="1" applyFont="1" applyFill="1" applyBorder="1" applyAlignment="1">
      <alignment horizontal="right" indent="1"/>
    </xf>
    <xf numFmtId="49" fontId="15" fillId="26" borderId="51" xfId="1" applyNumberFormat="1" applyFont="1" applyFill="1" applyBorder="1" applyAlignment="1">
      <alignment horizontal="right"/>
    </xf>
    <xf numFmtId="49" fontId="15" fillId="17" borderId="69" xfId="1" applyNumberFormat="1" applyFont="1" applyFill="1" applyBorder="1" applyAlignment="1">
      <alignment horizontal="right"/>
    </xf>
    <xf numFmtId="49" fontId="15" fillId="0" borderId="69" xfId="1" applyNumberFormat="1" applyFont="1" applyFill="1" applyBorder="1" applyAlignment="1">
      <alignment horizontal="right" indent="1"/>
    </xf>
    <xf numFmtId="49" fontId="15" fillId="0" borderId="71" xfId="1" applyNumberFormat="1" applyFont="1" applyFill="1" applyBorder="1" applyAlignment="1">
      <alignment horizontal="right" indent="1"/>
    </xf>
    <xf numFmtId="49" fontId="15" fillId="0" borderId="21" xfId="1" applyNumberFormat="1" applyFont="1" applyBorder="1" applyAlignment="1">
      <alignment horizontal="right"/>
    </xf>
    <xf numFmtId="49" fontId="15" fillId="0" borderId="24" xfId="1" applyNumberFormat="1" applyFont="1" applyBorder="1" applyAlignment="1">
      <alignment horizontal="right"/>
    </xf>
    <xf numFmtId="49" fontId="13" fillId="0" borderId="13" xfId="1" applyNumberFormat="1" applyFont="1" applyBorder="1" applyAlignment="1">
      <alignment horizontal="right"/>
    </xf>
    <xf numFmtId="49" fontId="13" fillId="0" borderId="0" xfId="1" applyNumberFormat="1" applyFont="1" applyFill="1" applyBorder="1"/>
    <xf numFmtId="0" fontId="52" fillId="37" borderId="0" xfId="0" applyFont="1" applyFill="1" applyAlignment="1">
      <alignment horizontal="left"/>
    </xf>
    <xf numFmtId="0" fontId="52" fillId="38" borderId="0" xfId="0" applyFont="1" applyFill="1" applyAlignment="1">
      <alignment horizontal="left"/>
    </xf>
    <xf numFmtId="49" fontId="1" fillId="0" borderId="0" xfId="15" applyNumberFormat="1" applyFont="1"/>
    <xf numFmtId="3" fontId="52" fillId="37" borderId="0" xfId="0" applyNumberFormat="1" applyFont="1" applyFill="1" applyAlignment="1">
      <alignment horizontal="left"/>
    </xf>
    <xf numFmtId="42" fontId="23" fillId="22" borderId="12" xfId="1" applyNumberFormat="1" applyFont="1" applyFill="1" applyBorder="1" applyAlignment="1">
      <alignment horizontal="center"/>
    </xf>
    <xf numFmtId="42" fontId="23" fillId="22" borderId="16" xfId="1" applyNumberFormat="1" applyFont="1" applyFill="1" applyBorder="1" applyAlignment="1">
      <alignment horizontal="center"/>
    </xf>
    <xf numFmtId="42" fontId="23" fillId="23" borderId="12" xfId="1" applyNumberFormat="1" applyFont="1" applyFill="1" applyBorder="1" applyAlignment="1">
      <alignment horizontal="center"/>
    </xf>
    <xf numFmtId="42" fontId="23" fillId="23" borderId="16" xfId="1" applyNumberFormat="1" applyFont="1" applyFill="1" applyBorder="1" applyAlignment="1">
      <alignment horizontal="center"/>
    </xf>
    <xf numFmtId="42" fontId="23" fillId="24" borderId="12" xfId="1" applyNumberFormat="1" applyFont="1" applyFill="1" applyBorder="1" applyAlignment="1">
      <alignment horizontal="center"/>
    </xf>
    <xf numFmtId="42" fontId="23" fillId="24" borderId="16" xfId="1" applyNumberFormat="1" applyFont="1" applyFill="1" applyBorder="1" applyAlignment="1">
      <alignment horizontal="center"/>
    </xf>
    <xf numFmtId="42" fontId="29" fillId="17" borderId="12" xfId="1" applyNumberFormat="1" applyFont="1" applyFill="1" applyBorder="1" applyAlignment="1">
      <alignment horizontal="right"/>
    </xf>
    <xf numFmtId="42" fontId="29" fillId="17" borderId="16" xfId="1" applyNumberFormat="1" applyFont="1" applyFill="1" applyBorder="1" applyAlignment="1">
      <alignment horizontal="right"/>
    </xf>
    <xf numFmtId="42" fontId="29" fillId="17" borderId="19" xfId="1" applyNumberFormat="1" applyFont="1" applyFill="1" applyBorder="1" applyAlignment="1">
      <alignment horizontal="right"/>
    </xf>
    <xf numFmtId="42" fontId="23" fillId="18" borderId="12" xfId="1" applyNumberFormat="1" applyFont="1" applyFill="1" applyBorder="1" applyAlignment="1">
      <alignment horizontal="center"/>
    </xf>
    <xf numFmtId="42" fontId="23" fillId="18" borderId="16" xfId="1" applyNumberFormat="1" applyFont="1" applyFill="1" applyBorder="1" applyAlignment="1">
      <alignment horizontal="center"/>
    </xf>
    <xf numFmtId="42" fontId="23" fillId="19" borderId="12" xfId="1" applyNumberFormat="1" applyFont="1" applyFill="1" applyBorder="1" applyAlignment="1">
      <alignment horizontal="center"/>
    </xf>
    <xf numFmtId="42" fontId="23" fillId="19" borderId="16" xfId="1" applyNumberFormat="1" applyFont="1" applyFill="1" applyBorder="1" applyAlignment="1">
      <alignment horizontal="center"/>
    </xf>
    <xf numFmtId="42" fontId="23" fillId="20" borderId="12" xfId="1" applyNumberFormat="1" applyFont="1" applyFill="1" applyBorder="1" applyAlignment="1">
      <alignment horizontal="center"/>
    </xf>
    <xf numFmtId="42" fontId="23" fillId="20" borderId="16" xfId="1" applyNumberFormat="1" applyFont="1" applyFill="1" applyBorder="1" applyAlignment="1">
      <alignment horizontal="center"/>
    </xf>
    <xf numFmtId="42" fontId="23" fillId="21" borderId="12" xfId="1" applyNumberFormat="1" applyFont="1" applyFill="1" applyBorder="1" applyAlignment="1">
      <alignment horizontal="center"/>
    </xf>
    <xf numFmtId="42" fontId="23" fillId="21" borderId="16" xfId="1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23" borderId="1" xfId="32" applyFont="1" applyFill="1" applyBorder="1" applyAlignment="1">
      <alignment horizontal="center" vertical="center" wrapText="1"/>
    </xf>
    <xf numFmtId="0" fontId="30" fillId="0" borderId="6" xfId="15" applyFont="1" applyBorder="1" applyAlignment="1">
      <alignment horizontal="center" vertical="center"/>
    </xf>
    <xf numFmtId="0" fontId="25" fillId="3" borderId="1" xfId="15" applyFont="1" applyFill="1" applyBorder="1" applyAlignment="1">
      <alignment horizontal="center" vertical="center"/>
    </xf>
    <xf numFmtId="0" fontId="25" fillId="3" borderId="10" xfId="15" applyFont="1" applyFill="1" applyBorder="1" applyAlignment="1">
      <alignment horizontal="center" vertical="center"/>
    </xf>
    <xf numFmtId="0" fontId="25" fillId="3" borderId="4" xfId="15" applyFont="1" applyFill="1" applyBorder="1" applyAlignment="1">
      <alignment horizontal="center" vertical="center"/>
    </xf>
    <xf numFmtId="0" fontId="14" fillId="3" borderId="1" xfId="15" applyFont="1" applyFill="1" applyBorder="1" applyAlignment="1">
      <alignment horizontal="center" vertical="center"/>
    </xf>
    <xf numFmtId="0" fontId="25" fillId="6" borderId="10" xfId="15" applyFont="1" applyFill="1" applyBorder="1" applyAlignment="1">
      <alignment horizontal="center" vertical="center" wrapText="1"/>
    </xf>
    <xf numFmtId="0" fontId="25" fillId="6" borderId="4" xfId="15" applyFont="1" applyFill="1" applyBorder="1" applyAlignment="1">
      <alignment horizontal="center" vertical="center" wrapText="1"/>
    </xf>
    <xf numFmtId="0" fontId="25" fillId="6" borderId="1" xfId="15" applyFont="1" applyFill="1" applyBorder="1" applyAlignment="1">
      <alignment horizontal="center" vertical="center" wrapText="1"/>
    </xf>
    <xf numFmtId="0" fontId="30" fillId="0" borderId="0" xfId="15" applyFont="1" applyAlignment="1">
      <alignment horizontal="center" vertical="center"/>
    </xf>
    <xf numFmtId="0" fontId="14" fillId="5" borderId="1" xfId="15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0" borderId="6" xfId="30" applyFont="1" applyBorder="1" applyAlignment="1">
      <alignment horizontal="center" vertical="center"/>
    </xf>
    <xf numFmtId="0" fontId="25" fillId="3" borderId="1" xfId="30" applyFont="1" applyFill="1" applyBorder="1" applyAlignment="1">
      <alignment horizontal="center" vertical="center"/>
    </xf>
    <xf numFmtId="0" fontId="25" fillId="3" borderId="10" xfId="30" applyFont="1" applyFill="1" applyBorder="1" applyAlignment="1">
      <alignment horizontal="center" vertical="center"/>
    </xf>
    <xf numFmtId="0" fontId="25" fillId="3" borderId="4" xfId="30" applyFont="1" applyFill="1" applyBorder="1" applyAlignment="1">
      <alignment horizontal="center" vertical="center"/>
    </xf>
    <xf numFmtId="0" fontId="14" fillId="3" borderId="1" xfId="30" applyFont="1" applyFill="1" applyBorder="1" applyAlignment="1">
      <alignment horizontal="center" vertical="center"/>
    </xf>
    <xf numFmtId="0" fontId="25" fillId="6" borderId="10" xfId="30" applyFont="1" applyFill="1" applyBorder="1" applyAlignment="1">
      <alignment horizontal="center" vertical="center" wrapText="1"/>
    </xf>
    <xf numFmtId="0" fontId="25" fillId="6" borderId="4" xfId="30" applyFont="1" applyFill="1" applyBorder="1" applyAlignment="1">
      <alignment horizontal="center" vertical="center" wrapText="1"/>
    </xf>
    <xf numFmtId="0" fontId="25" fillId="6" borderId="1" xfId="31" applyFont="1" applyFill="1" applyBorder="1" applyAlignment="1">
      <alignment horizontal="center" vertical="center" wrapText="1"/>
    </xf>
    <xf numFmtId="0" fontId="25" fillId="3" borderId="10" xfId="15" applyFont="1" applyFill="1" applyBorder="1" applyAlignment="1">
      <alignment horizontal="center" vertical="center" wrapText="1"/>
    </xf>
    <xf numFmtId="0" fontId="25" fillId="3" borderId="4" xfId="15" applyFont="1" applyFill="1" applyBorder="1" applyAlignment="1">
      <alignment horizontal="center" vertical="center" wrapText="1"/>
    </xf>
    <xf numFmtId="0" fontId="14" fillId="3" borderId="7" xfId="15" applyFont="1" applyFill="1" applyBorder="1" applyAlignment="1">
      <alignment horizontal="center" vertical="center"/>
    </xf>
    <xf numFmtId="0" fontId="14" fillId="3" borderId="9" xfId="15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 wrapText="1"/>
    </xf>
    <xf numFmtId="164" fontId="12" fillId="0" borderId="7" xfId="22" applyNumberFormat="1" applyFont="1" applyBorder="1" applyAlignment="1">
      <alignment horizontal="center" vertical="center"/>
    </xf>
    <xf numFmtId="164" fontId="12" fillId="0" borderId="9" xfId="22" applyNumberFormat="1" applyFont="1" applyBorder="1" applyAlignment="1">
      <alignment horizontal="center" vertical="center"/>
    </xf>
    <xf numFmtId="164" fontId="6" fillId="25" borderId="7" xfId="22" applyNumberFormat="1" applyFill="1" applyBorder="1" applyAlignment="1">
      <alignment horizontal="center" vertical="center"/>
    </xf>
    <xf numFmtId="164" fontId="6" fillId="25" borderId="9" xfId="22" applyNumberFormat="1" applyFill="1" applyBorder="1" applyAlignment="1">
      <alignment horizontal="center" vertical="center"/>
    </xf>
    <xf numFmtId="0" fontId="6" fillId="0" borderId="0" xfId="22" applyAlignment="1">
      <alignment horizontal="center"/>
    </xf>
    <xf numFmtId="167" fontId="12" fillId="0" borderId="10" xfId="22" applyNumberFormat="1" applyFont="1" applyBorder="1" applyAlignment="1">
      <alignment horizontal="center" vertical="center"/>
    </xf>
    <xf numFmtId="167" fontId="12" fillId="0" borderId="11" xfId="22" applyNumberFormat="1" applyFont="1" applyBorder="1" applyAlignment="1">
      <alignment horizontal="center" vertical="center"/>
    </xf>
    <xf numFmtId="167" fontId="12" fillId="0" borderId="4" xfId="22" applyNumberFormat="1" applyFont="1" applyBorder="1" applyAlignment="1">
      <alignment horizontal="center" vertical="center"/>
    </xf>
    <xf numFmtId="164" fontId="12" fillId="0" borderId="10" xfId="22" applyNumberFormat="1" applyFont="1" applyBorder="1" applyAlignment="1">
      <alignment horizontal="center" vertical="center"/>
    </xf>
    <xf numFmtId="164" fontId="12" fillId="0" borderId="11" xfId="22" applyNumberFormat="1" applyFont="1" applyBorder="1" applyAlignment="1">
      <alignment horizontal="center" vertical="center"/>
    </xf>
    <xf numFmtId="164" fontId="12" fillId="0" borderId="4" xfId="22" applyNumberFormat="1" applyFont="1" applyBorder="1" applyAlignment="1">
      <alignment horizontal="center" vertical="center"/>
    </xf>
    <xf numFmtId="164" fontId="6" fillId="0" borderId="1" xfId="22" applyNumberFormat="1" applyBorder="1" applyAlignment="1">
      <alignment horizontal="center" vertical="center"/>
    </xf>
    <xf numFmtId="0" fontId="12" fillId="0" borderId="10" xfId="22" applyFont="1" applyBorder="1" applyAlignment="1">
      <alignment horizontal="left" vertical="center"/>
    </xf>
    <xf numFmtId="0" fontId="12" fillId="0" borderId="11" xfId="22" applyFont="1" applyBorder="1" applyAlignment="1">
      <alignment horizontal="left" vertical="center"/>
    </xf>
    <xf numFmtId="0" fontId="12" fillId="0" borderId="4" xfId="22" applyFont="1" applyBorder="1" applyAlignment="1">
      <alignment horizontal="left" vertical="center"/>
    </xf>
    <xf numFmtId="0" fontId="12" fillId="0" borderId="10" xfId="22" applyFont="1" applyBorder="1" applyAlignment="1">
      <alignment horizontal="left" vertical="center" wrapText="1"/>
    </xf>
    <xf numFmtId="0" fontId="12" fillId="0" borderId="11" xfId="22" applyFont="1" applyBorder="1" applyAlignment="1">
      <alignment horizontal="left" vertical="center" wrapText="1"/>
    </xf>
    <xf numFmtId="0" fontId="12" fillId="0" borderId="4" xfId="22" applyFont="1" applyBorder="1" applyAlignment="1">
      <alignment horizontal="left" vertical="center" wrapText="1"/>
    </xf>
    <xf numFmtId="0" fontId="12" fillId="0" borderId="10" xfId="22" applyFont="1" applyBorder="1" applyAlignment="1">
      <alignment horizontal="center" vertical="center"/>
    </xf>
    <xf numFmtId="0" fontId="12" fillId="0" borderId="11" xfId="22" applyFont="1" applyBorder="1" applyAlignment="1">
      <alignment horizontal="center" vertical="center"/>
    </xf>
    <xf numFmtId="0" fontId="12" fillId="0" borderId="4" xfId="22" applyFont="1" applyBorder="1" applyAlignment="1">
      <alignment horizontal="center" vertical="center"/>
    </xf>
    <xf numFmtId="0" fontId="12" fillId="0" borderId="10" xfId="22" quotePrefix="1" applyFont="1" applyBorder="1" applyAlignment="1">
      <alignment horizontal="center" vertical="center"/>
    </xf>
    <xf numFmtId="0" fontId="12" fillId="0" borderId="11" xfId="22" quotePrefix="1" applyFont="1" applyBorder="1" applyAlignment="1">
      <alignment horizontal="center" vertical="center"/>
    </xf>
    <xf numFmtId="0" fontId="12" fillId="0" borderId="4" xfId="22" quotePrefix="1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 wrapText="1"/>
    </xf>
    <xf numFmtId="0" fontId="12" fillId="0" borderId="11" xfId="22" applyFont="1" applyBorder="1" applyAlignment="1">
      <alignment horizontal="center" vertical="center" wrapText="1"/>
    </xf>
    <xf numFmtId="0" fontId="12" fillId="0" borderId="4" xfId="22" applyFont="1" applyBorder="1" applyAlignment="1">
      <alignment horizontal="center" vertical="center" wrapText="1"/>
    </xf>
    <xf numFmtId="0" fontId="25" fillId="5" borderId="1" xfId="22" applyFont="1" applyFill="1" applyBorder="1" applyAlignment="1">
      <alignment horizontal="center" vertical="center"/>
    </xf>
    <xf numFmtId="0" fontId="25" fillId="5" borderId="10" xfId="22" applyFont="1" applyFill="1" applyBorder="1" applyAlignment="1">
      <alignment horizontal="center" vertical="center"/>
    </xf>
    <xf numFmtId="0" fontId="25" fillId="5" borderId="10" xfId="22" applyFont="1" applyFill="1" applyBorder="1" applyAlignment="1">
      <alignment horizontal="center" vertical="center" wrapText="1"/>
    </xf>
    <xf numFmtId="0" fontId="25" fillId="5" borderId="11" xfId="22" applyFont="1" applyFill="1" applyBorder="1" applyAlignment="1">
      <alignment horizontal="center" vertical="center" wrapText="1"/>
    </xf>
    <xf numFmtId="0" fontId="25" fillId="5" borderId="11" xfId="22" applyFont="1" applyFill="1" applyBorder="1" applyAlignment="1">
      <alignment horizontal="center" vertical="center"/>
    </xf>
    <xf numFmtId="0" fontId="25" fillId="5" borderId="25" xfId="22" applyFont="1" applyFill="1" applyBorder="1" applyAlignment="1">
      <alignment horizontal="center" vertical="center"/>
    </xf>
    <xf numFmtId="0" fontId="25" fillId="5" borderId="5" xfId="22" applyFont="1" applyFill="1" applyBorder="1" applyAlignment="1">
      <alignment horizontal="center" vertical="center"/>
    </xf>
    <xf numFmtId="0" fontId="25" fillId="5" borderId="32" xfId="22" applyFont="1" applyFill="1" applyBorder="1" applyAlignment="1">
      <alignment horizontal="center" vertical="center"/>
    </xf>
    <xf numFmtId="0" fontId="25" fillId="5" borderId="29" xfId="22" applyFont="1" applyFill="1" applyBorder="1" applyAlignment="1">
      <alignment horizontal="center" vertical="center"/>
    </xf>
    <xf numFmtId="0" fontId="25" fillId="5" borderId="31" xfId="22" applyFont="1" applyFill="1" applyBorder="1" applyAlignment="1">
      <alignment horizontal="center" vertical="center"/>
    </xf>
    <xf numFmtId="0" fontId="25" fillId="5" borderId="7" xfId="22" applyFont="1" applyFill="1" applyBorder="1" applyAlignment="1">
      <alignment horizontal="center" vertical="center"/>
    </xf>
    <xf numFmtId="0" fontId="25" fillId="5" borderId="9" xfId="22" applyFont="1" applyFill="1" applyBorder="1" applyAlignment="1">
      <alignment horizontal="center" vertical="center"/>
    </xf>
    <xf numFmtId="0" fontId="25" fillId="5" borderId="1" xfId="2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3">
    <cellStyle name="Comma" xfId="3" builtinId="3"/>
    <cellStyle name="Comma 2" xfId="6" xr:uid="{A0623E96-B81F-4DB4-8B87-A86D1F8393E5}"/>
    <cellStyle name="Comma 2 2" xfId="9" xr:uid="{8DE7D45F-4C5A-4895-A5BB-930510DC075A}"/>
    <cellStyle name="Comma 3" xfId="18" xr:uid="{90E9DE1B-2F99-4985-93D9-02E05A298CED}"/>
    <cellStyle name="Comma 4" xfId="23" xr:uid="{F2344D6D-B07E-4B15-AE2C-09869D4B1347}"/>
    <cellStyle name="Currency" xfId="1" builtinId="4"/>
    <cellStyle name="Currency 2" xfId="5" xr:uid="{3109DE70-A54C-49EB-A21E-2B608184551F}"/>
    <cellStyle name="Currency 2 2" xfId="8" xr:uid="{5904B303-7C85-4B5D-B550-9552DB1F6BA8}"/>
    <cellStyle name="Currency 3" xfId="14" xr:uid="{2FE740B9-ADDC-4BDB-961A-01F2E9E26E6B}"/>
    <cellStyle name="Currency 3 2" xfId="29" xr:uid="{F35D1B15-58E2-4730-8FB7-4518F52F0AE5}"/>
    <cellStyle name="Currency 4" xfId="21" xr:uid="{48216CD9-875B-4474-901B-E2B6DBC1581B}"/>
    <cellStyle name="Currency 5" xfId="25" xr:uid="{EAB8F066-6706-4390-A681-B7DDF4C2A72B}"/>
    <cellStyle name="Normal" xfId="0" builtinId="0"/>
    <cellStyle name="Normal 2" xfId="4" xr:uid="{EA69C7B5-0704-4F74-96C6-F09410BDFF4C}"/>
    <cellStyle name="Normal 2 2" xfId="7" xr:uid="{E79AFDFE-84D7-4D60-9F8D-04033A296B06}"/>
    <cellStyle name="Normal 2 2 2" xfId="17" xr:uid="{E43AE94A-114C-4A45-9DE8-6C56F9F52AE3}"/>
    <cellStyle name="Normal 2 3" xfId="19" xr:uid="{ECCC0D39-5CA0-4B13-A19A-F0CB222463E3}"/>
    <cellStyle name="Normal 2 4" xfId="16" xr:uid="{0840165F-780E-4666-B5DE-D0F9FA4B2BC7}"/>
    <cellStyle name="Normal 3" xfId="2" xr:uid="{3BCB742C-D9D2-49BF-A059-CEF5196A223D}"/>
    <cellStyle name="Normal 3 2" xfId="15" xr:uid="{63CBB37B-817D-413A-8E54-00094FBE1774}"/>
    <cellStyle name="Normal 3 2 2" xfId="30" xr:uid="{86B79ECA-0A3A-450B-A9DE-3FC4E27D84C5}"/>
    <cellStyle name="Normal 3 2 3" xfId="31" xr:uid="{4D4554E0-AEC0-4677-8AA7-D710ED723458}"/>
    <cellStyle name="Normal 3 2 4" xfId="32" xr:uid="{6DCC29B7-B184-446E-B946-925C9B10E421}"/>
    <cellStyle name="Normal 4" xfId="10" xr:uid="{FF83614F-644F-49D0-AE63-6C0D189A629E}"/>
    <cellStyle name="Normal 5" xfId="12" xr:uid="{720F49F8-6D5C-46AB-A161-BD67E0F97FCC}"/>
    <cellStyle name="Normal 5 2" xfId="27" xr:uid="{85E77381-97EC-4BA7-AD56-C0081CB10FA7}"/>
    <cellStyle name="Normal 6" xfId="20" xr:uid="{9630C257-29C9-40DF-8EBD-ED0E117F7D13}"/>
    <cellStyle name="Normal 7" xfId="22" xr:uid="{B20F040E-2178-4E7B-93F8-0655F77A8A3E}"/>
    <cellStyle name="Normal 8" xfId="24" xr:uid="{97E4BB86-8550-4A78-80B7-96B60432DE94}"/>
    <cellStyle name="Percent" xfId="11" builtinId="5"/>
    <cellStyle name="Percent 2" xfId="13" xr:uid="{8D8DE3DD-A847-4FCD-B161-27AC760B0CEE}"/>
    <cellStyle name="Percent 2 2" xfId="28" xr:uid="{7E68FDDB-9931-4244-96E0-83A4B9A0F00F}"/>
    <cellStyle name="Percent 3" xfId="26" xr:uid="{450E7055-0470-432A-BF7F-22A1D89225BA}"/>
  </cellStyles>
  <dxfs count="2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CC99FF"/>
      <color rgb="FF0099FF"/>
      <color rgb="FFFFCCFF"/>
      <color rgb="FFCCFFFF"/>
      <color rgb="FF66FFFF"/>
      <color rgb="FFCCECFF"/>
      <color rgb="FFCCFFCC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microsoft.com/office/2017/10/relationships/person" Target="persons/person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90825</xdr:rowOff>
    </xdr:from>
    <xdr:to>
      <xdr:col>17</xdr:col>
      <xdr:colOff>29160</xdr:colOff>
      <xdr:row>8</xdr:row>
      <xdr:rowOff>108105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D0B5FF93-67EA-4C2C-86C7-3892403CB9F7}"/>
                </a:ext>
              </a:extLst>
            </xdr14:cNvPr>
            <xdr14:cNvContentPartPr/>
          </xdr14:nvContentPartPr>
          <xdr14:nvPr macro=""/>
          <xdr14:xfrm>
            <a:off x="7785000" y="957600"/>
            <a:ext cx="29160" cy="1728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35ADF7C2-96DD-4EDF-B53F-670D4849C5C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76000" y="948960"/>
              <a:ext cx="46800" cy="3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0</xdr:colOff>
      <xdr:row>8</xdr:row>
      <xdr:rowOff>118905</xdr:rowOff>
    </xdr:from>
    <xdr:to>
      <xdr:col>17</xdr:col>
      <xdr:colOff>11880</xdr:colOff>
      <xdr:row>8</xdr:row>
      <xdr:rowOff>127905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ED4F0996-EDDA-429B-A263-E4359B412328}"/>
                </a:ext>
              </a:extLst>
            </xdr14:cNvPr>
            <xdr14:cNvContentPartPr/>
          </xdr14:nvContentPartPr>
          <xdr14:nvPr macro=""/>
          <xdr14:xfrm>
            <a:off x="8429400" y="985680"/>
            <a:ext cx="11880" cy="900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BBD332E6-1523-4A29-8E61-95EB95B45B6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420760" y="977040"/>
              <a:ext cx="29520" cy="266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hart%20Examples%20w%20new%20color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roe.sharepoint.com/C/H/Data/EXCEL/9th%20Floor%20Current%209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%20Gold.Master.Bank.5.19.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2084881.sharepoint.com/Users/paugello/Google%20Drive/Finance/Paul's%20Files/Budgeting/FY15/SLA/Real%20Estate%20Scenarios/Bond%20Amortization%20Schedu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csi$\Federal%20Programs\2015-16\Allocation%20Files%20FY16\Post%20Award%201%20Final%20Allocations%20ConApp%20FY16%2011302015%20FINAL%20w%20Summ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csi$_franklin$\PSFU\PSFARUNS\FY18%20Projections\All18Projec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dart_m/Desktop/Copy%20of%20Post%20Award%201%20Final%20Allocations%20ConApp%20FY16%2011302015%20FINAL%20w%20Summary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eaOstermiller\AppData\Local\Microsoft\Windows\INetCache\Content.Outlook\W37YM34E\Budgets%20TFS%20CO%20Schools%20FY23%20February%202023_.xlsx" TargetMode="External"/><Relationship Id="rId1" Type="http://schemas.openxmlformats.org/officeDocument/2006/relationships/externalLinkPath" Target="file:///C:\Users\ReneaOstermiller\AppData\Local\Microsoft\Windows\INetCache\Content.Outlook\W37YM34E\Budgets%20TFS%20CO%20Schools%20FY23%20February%202023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r Palette Sequence"/>
      <sheetName val="Table"/>
      <sheetName val="Pie Chart-Currency"/>
      <sheetName val="Pie Chart-Percentage"/>
      <sheetName val="Column Chart-Currency"/>
      <sheetName val="Column Chart-NonCurrency"/>
      <sheetName val="Cluster Chart-Currency"/>
      <sheetName val="Cluster Chart-NonCurrency"/>
      <sheetName val="Scatter"/>
      <sheetName val="Bubble"/>
      <sheetName val="Bridge"/>
      <sheetName val="Stacked Column Chart"/>
      <sheetName val="Two Axis Stacked Column &amp; Line"/>
      <sheetName val="Two Axis- Column &amp; Line"/>
      <sheetName val="Two Axis- Line &amp; Line"/>
      <sheetName val="Harvey Balls"/>
      <sheetName val="Dual Pies"/>
      <sheetName val="Deal Timeline"/>
      <sheetName val="Deal Timeline Horizontal"/>
      <sheetName val="Tiny Calendars 2006"/>
      <sheetName val="Tiny Calendars 2007"/>
      <sheetName val="Tiny Calendars 2008"/>
      <sheetName val="Tiny Calendars 2009"/>
      <sheetName val="Students"/>
      <sheetName val="Enrollment"/>
      <sheetName val="Enrollment (2)"/>
      <sheetName val="Staffing"/>
      <sheetName val="Finance - Legacy"/>
      <sheetName val="Finance - Port SA"/>
      <sheetName val="Finance - Consolidated"/>
      <sheetName val="Philanthropy"/>
      <sheetName val="Sheet1"/>
    </sheetNames>
    <sheetDataSet>
      <sheetData sheetId="0">
        <row r="1">
          <cell r="A1" t="str">
            <v xml:space="preserve">Data </v>
          </cell>
        </row>
      </sheetData>
      <sheetData sheetId="1"/>
      <sheetData sheetId="2">
        <row r="1">
          <cell r="A1" t="str">
            <v xml:space="preserve">Data </v>
          </cell>
          <cell r="B1">
            <v>10.5</v>
          </cell>
        </row>
        <row r="2">
          <cell r="A2" t="str">
            <v xml:space="preserve">Data </v>
          </cell>
          <cell r="B2">
            <v>10.5</v>
          </cell>
        </row>
        <row r="3">
          <cell r="A3" t="str">
            <v xml:space="preserve">Data </v>
          </cell>
          <cell r="B3">
            <v>10.5</v>
          </cell>
        </row>
        <row r="4">
          <cell r="A4" t="str">
            <v xml:space="preserve">Data </v>
          </cell>
          <cell r="B4">
            <v>10.5</v>
          </cell>
        </row>
        <row r="5">
          <cell r="A5" t="str">
            <v xml:space="preserve">Data </v>
          </cell>
          <cell r="B5">
            <v>10.5</v>
          </cell>
        </row>
        <row r="6">
          <cell r="A6" t="str">
            <v xml:space="preserve">Data </v>
          </cell>
          <cell r="B6">
            <v>10.5</v>
          </cell>
        </row>
        <row r="7">
          <cell r="A7" t="str">
            <v xml:space="preserve">Data </v>
          </cell>
          <cell r="B7">
            <v>10.5</v>
          </cell>
        </row>
        <row r="8">
          <cell r="A8" t="str">
            <v xml:space="preserve">Data </v>
          </cell>
          <cell r="B8">
            <v>10.5</v>
          </cell>
        </row>
        <row r="9">
          <cell r="A9" t="str">
            <v xml:space="preserve">Data </v>
          </cell>
          <cell r="B9">
            <v>10.5</v>
          </cell>
        </row>
        <row r="10">
          <cell r="A10" t="str">
            <v xml:space="preserve">Data </v>
          </cell>
          <cell r="B10">
            <v>10.5</v>
          </cell>
        </row>
        <row r="11">
          <cell r="A11" t="str">
            <v xml:space="preserve">Data </v>
          </cell>
          <cell r="B11">
            <v>10.5</v>
          </cell>
        </row>
        <row r="12">
          <cell r="A12" t="str">
            <v xml:space="preserve">Data </v>
          </cell>
          <cell r="B12">
            <v>10.5</v>
          </cell>
        </row>
        <row r="13">
          <cell r="A13" t="str">
            <v xml:space="preserve">Data </v>
          </cell>
          <cell r="B13">
            <v>10.5</v>
          </cell>
        </row>
        <row r="14">
          <cell r="A14" t="str">
            <v xml:space="preserve">Data </v>
          </cell>
          <cell r="B14">
            <v>10.5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2007</v>
          </cell>
        </row>
      </sheetData>
      <sheetData sheetId="20">
        <row r="2">
          <cell r="B2">
            <v>2007</v>
          </cell>
        </row>
        <row r="4">
          <cell r="B4" t="str">
            <v>January</v>
          </cell>
          <cell r="M4">
            <v>2007</v>
          </cell>
          <cell r="R4" t="str">
            <v>February</v>
          </cell>
          <cell r="AC4">
            <v>2007</v>
          </cell>
          <cell r="AH4" t="str">
            <v xml:space="preserve">March </v>
          </cell>
          <cell r="AS4">
            <v>2007</v>
          </cell>
        </row>
        <row r="6">
          <cell r="B6" t="str">
            <v>S</v>
          </cell>
          <cell r="D6" t="str">
            <v>M</v>
          </cell>
          <cell r="F6" t="str">
            <v>T</v>
          </cell>
          <cell r="H6" t="str">
            <v>W</v>
          </cell>
          <cell r="J6" t="str">
            <v>T</v>
          </cell>
          <cell r="L6" t="str">
            <v>F</v>
          </cell>
          <cell r="N6" t="str">
            <v>S</v>
          </cell>
          <cell r="R6" t="str">
            <v>S</v>
          </cell>
          <cell r="T6" t="str">
            <v>M</v>
          </cell>
          <cell r="V6" t="str">
            <v>T</v>
          </cell>
          <cell r="X6" t="str">
            <v>W</v>
          </cell>
          <cell r="Z6" t="str">
            <v>T</v>
          </cell>
          <cell r="AB6" t="str">
            <v>F</v>
          </cell>
          <cell r="AD6" t="str">
            <v>S</v>
          </cell>
          <cell r="AH6" t="str">
            <v>S</v>
          </cell>
          <cell r="AJ6" t="str">
            <v>M</v>
          </cell>
          <cell r="AL6" t="str">
            <v>T</v>
          </cell>
          <cell r="AN6" t="str">
            <v>W</v>
          </cell>
          <cell r="AP6" t="str">
            <v>T</v>
          </cell>
          <cell r="AR6" t="str">
            <v>F</v>
          </cell>
          <cell r="AT6" t="str">
            <v>S</v>
          </cell>
        </row>
        <row r="7">
          <cell r="D7">
            <v>1</v>
          </cell>
          <cell r="F7">
            <v>2</v>
          </cell>
          <cell r="H7">
            <v>3</v>
          </cell>
          <cell r="J7">
            <v>4</v>
          </cell>
          <cell r="L7">
            <v>5</v>
          </cell>
          <cell r="N7">
            <v>6</v>
          </cell>
          <cell r="Z7">
            <v>1</v>
          </cell>
          <cell r="AB7">
            <v>2</v>
          </cell>
          <cell r="AD7">
            <v>3</v>
          </cell>
          <cell r="AP7">
            <v>1</v>
          </cell>
          <cell r="AR7">
            <v>2</v>
          </cell>
          <cell r="AT7">
            <v>3</v>
          </cell>
        </row>
        <row r="8">
          <cell r="B8">
            <v>7</v>
          </cell>
          <cell r="D8">
            <v>8</v>
          </cell>
          <cell r="F8">
            <v>9</v>
          </cell>
          <cell r="H8">
            <v>10</v>
          </cell>
          <cell r="J8">
            <v>11</v>
          </cell>
          <cell r="L8">
            <v>12</v>
          </cell>
          <cell r="N8">
            <v>13</v>
          </cell>
          <cell r="R8">
            <v>4</v>
          </cell>
          <cell r="T8">
            <v>5</v>
          </cell>
          <cell r="V8">
            <v>6</v>
          </cell>
          <cell r="X8">
            <v>7</v>
          </cell>
          <cell r="Z8">
            <v>8</v>
          </cell>
          <cell r="AB8">
            <v>9</v>
          </cell>
          <cell r="AD8">
            <v>10</v>
          </cell>
          <cell r="AH8">
            <v>4</v>
          </cell>
          <cell r="AJ8">
            <v>5</v>
          </cell>
          <cell r="AL8">
            <v>6</v>
          </cell>
          <cell r="AN8">
            <v>7</v>
          </cell>
          <cell r="AP8">
            <v>8</v>
          </cell>
          <cell r="AR8">
            <v>9</v>
          </cell>
          <cell r="AT8">
            <v>10</v>
          </cell>
        </row>
        <row r="9">
          <cell r="B9">
            <v>14</v>
          </cell>
          <cell r="D9">
            <v>15</v>
          </cell>
          <cell r="F9">
            <v>16</v>
          </cell>
          <cell r="H9">
            <v>17</v>
          </cell>
          <cell r="J9">
            <v>18</v>
          </cell>
          <cell r="L9">
            <v>19</v>
          </cell>
          <cell r="N9">
            <v>20</v>
          </cell>
          <cell r="R9">
            <v>11</v>
          </cell>
          <cell r="T9">
            <v>12</v>
          </cell>
          <cell r="V9">
            <v>13</v>
          </cell>
          <cell r="X9">
            <v>14</v>
          </cell>
          <cell r="Z9">
            <v>15</v>
          </cell>
          <cell r="AB9">
            <v>16</v>
          </cell>
          <cell r="AD9">
            <v>17</v>
          </cell>
          <cell r="AH9">
            <v>11</v>
          </cell>
          <cell r="AJ9">
            <v>12</v>
          </cell>
          <cell r="AL9">
            <v>13</v>
          </cell>
          <cell r="AN9">
            <v>14</v>
          </cell>
          <cell r="AP9">
            <v>15</v>
          </cell>
          <cell r="AR9">
            <v>16</v>
          </cell>
          <cell r="AT9">
            <v>17</v>
          </cell>
        </row>
        <row r="10">
          <cell r="B10">
            <v>21</v>
          </cell>
          <cell r="D10">
            <v>22</v>
          </cell>
          <cell r="F10">
            <v>23</v>
          </cell>
          <cell r="H10">
            <v>24</v>
          </cell>
          <cell r="J10">
            <v>25</v>
          </cell>
          <cell r="L10">
            <v>26</v>
          </cell>
          <cell r="N10">
            <v>27</v>
          </cell>
          <cell r="R10">
            <v>18</v>
          </cell>
          <cell r="T10">
            <v>19</v>
          </cell>
          <cell r="V10">
            <v>20</v>
          </cell>
          <cell r="X10">
            <v>21</v>
          </cell>
          <cell r="Z10">
            <v>22</v>
          </cell>
          <cell r="AB10">
            <v>23</v>
          </cell>
          <cell r="AD10">
            <v>24</v>
          </cell>
          <cell r="AH10">
            <v>18</v>
          </cell>
          <cell r="AJ10">
            <v>19</v>
          </cell>
          <cell r="AL10">
            <v>20</v>
          </cell>
          <cell r="AN10">
            <v>21</v>
          </cell>
          <cell r="AP10">
            <v>22</v>
          </cell>
          <cell r="AR10">
            <v>23</v>
          </cell>
          <cell r="AT10">
            <v>24</v>
          </cell>
        </row>
        <row r="11">
          <cell r="B11">
            <v>28</v>
          </cell>
          <cell r="D11">
            <v>29</v>
          </cell>
          <cell r="F11">
            <v>30</v>
          </cell>
          <cell r="H11">
            <v>31</v>
          </cell>
          <cell r="R11">
            <v>25</v>
          </cell>
          <cell r="T11">
            <v>26</v>
          </cell>
          <cell r="V11">
            <v>27</v>
          </cell>
          <cell r="X11">
            <v>28</v>
          </cell>
          <cell r="AH11">
            <v>25</v>
          </cell>
          <cell r="AJ11">
            <v>26</v>
          </cell>
          <cell r="AL11">
            <v>27</v>
          </cell>
          <cell r="AN11">
            <v>28</v>
          </cell>
          <cell r="AP11">
            <v>29</v>
          </cell>
          <cell r="AR11">
            <v>30</v>
          </cell>
          <cell r="AT11">
            <v>31</v>
          </cell>
        </row>
        <row r="15">
          <cell r="B15" t="str">
            <v>April</v>
          </cell>
          <cell r="M15">
            <v>2007</v>
          </cell>
          <cell r="R15" t="str">
            <v>May</v>
          </cell>
          <cell r="AC15">
            <v>2007</v>
          </cell>
          <cell r="AH15" t="str">
            <v>June</v>
          </cell>
          <cell r="AS15">
            <v>2007</v>
          </cell>
        </row>
        <row r="17">
          <cell r="B17" t="str">
            <v>S</v>
          </cell>
          <cell r="D17" t="str">
            <v>M</v>
          </cell>
          <cell r="F17" t="str">
            <v>T</v>
          </cell>
          <cell r="H17" t="str">
            <v>W</v>
          </cell>
          <cell r="J17" t="str">
            <v>T</v>
          </cell>
          <cell r="L17" t="str">
            <v>F</v>
          </cell>
          <cell r="N17" t="str">
            <v>S</v>
          </cell>
          <cell r="R17" t="str">
            <v>S</v>
          </cell>
          <cell r="T17" t="str">
            <v>M</v>
          </cell>
          <cell r="V17" t="str">
            <v>T</v>
          </cell>
          <cell r="X17" t="str">
            <v>W</v>
          </cell>
          <cell r="Z17" t="str">
            <v>T</v>
          </cell>
          <cell r="AB17" t="str">
            <v>F</v>
          </cell>
          <cell r="AD17" t="str">
            <v>S</v>
          </cell>
          <cell r="AH17" t="str">
            <v>S</v>
          </cell>
          <cell r="AJ17" t="str">
            <v>M</v>
          </cell>
          <cell r="AL17" t="str">
            <v>T</v>
          </cell>
          <cell r="AN17" t="str">
            <v>W</v>
          </cell>
          <cell r="AP17" t="str">
            <v>T</v>
          </cell>
          <cell r="AR17" t="str">
            <v>F</v>
          </cell>
          <cell r="AT17" t="str">
            <v>S</v>
          </cell>
        </row>
        <row r="18">
          <cell r="B18">
            <v>1</v>
          </cell>
          <cell r="D18">
            <v>2</v>
          </cell>
          <cell r="F18">
            <v>3</v>
          </cell>
          <cell r="H18">
            <v>4</v>
          </cell>
          <cell r="J18">
            <v>5</v>
          </cell>
          <cell r="L18">
            <v>6</v>
          </cell>
          <cell r="N18">
            <v>7</v>
          </cell>
          <cell r="V18">
            <v>1</v>
          </cell>
          <cell r="X18">
            <v>2</v>
          </cell>
          <cell r="Z18">
            <v>3</v>
          </cell>
          <cell r="AB18">
            <v>4</v>
          </cell>
          <cell r="AD18">
            <v>5</v>
          </cell>
          <cell r="AR18">
            <v>1</v>
          </cell>
          <cell r="AT18">
            <v>2</v>
          </cell>
        </row>
        <row r="19">
          <cell r="B19">
            <v>8</v>
          </cell>
          <cell r="D19">
            <v>9</v>
          </cell>
          <cell r="F19">
            <v>10</v>
          </cell>
          <cell r="H19">
            <v>11</v>
          </cell>
          <cell r="J19">
            <v>12</v>
          </cell>
          <cell r="L19">
            <v>13</v>
          </cell>
          <cell r="N19">
            <v>14</v>
          </cell>
          <cell r="R19">
            <v>6</v>
          </cell>
          <cell r="T19">
            <v>7</v>
          </cell>
          <cell r="V19">
            <v>8</v>
          </cell>
          <cell r="X19">
            <v>9</v>
          </cell>
          <cell r="Z19">
            <v>10</v>
          </cell>
          <cell r="AB19">
            <v>11</v>
          </cell>
          <cell r="AD19">
            <v>12</v>
          </cell>
          <cell r="AH19">
            <v>3</v>
          </cell>
          <cell r="AJ19">
            <v>4</v>
          </cell>
          <cell r="AL19">
            <v>5</v>
          </cell>
          <cell r="AN19">
            <v>6</v>
          </cell>
          <cell r="AP19">
            <v>7</v>
          </cell>
          <cell r="AR19">
            <v>8</v>
          </cell>
          <cell r="AT19">
            <v>9</v>
          </cell>
        </row>
        <row r="20">
          <cell r="B20">
            <v>15</v>
          </cell>
          <cell r="D20">
            <v>16</v>
          </cell>
          <cell r="F20">
            <v>17</v>
          </cell>
          <cell r="H20">
            <v>18</v>
          </cell>
          <cell r="J20">
            <v>19</v>
          </cell>
          <cell r="L20">
            <v>20</v>
          </cell>
          <cell r="N20">
            <v>21</v>
          </cell>
          <cell r="R20">
            <v>13</v>
          </cell>
          <cell r="T20">
            <v>14</v>
          </cell>
          <cell r="V20">
            <v>15</v>
          </cell>
          <cell r="X20">
            <v>16</v>
          </cell>
          <cell r="Z20">
            <v>17</v>
          </cell>
          <cell r="AB20">
            <v>18</v>
          </cell>
          <cell r="AD20">
            <v>19</v>
          </cell>
          <cell r="AH20">
            <v>10</v>
          </cell>
          <cell r="AJ20">
            <v>11</v>
          </cell>
          <cell r="AL20">
            <v>12</v>
          </cell>
          <cell r="AN20">
            <v>13</v>
          </cell>
          <cell r="AP20">
            <v>14</v>
          </cell>
          <cell r="AR20">
            <v>15</v>
          </cell>
          <cell r="AT20">
            <v>16</v>
          </cell>
        </row>
        <row r="21">
          <cell r="B21">
            <v>22</v>
          </cell>
          <cell r="D21">
            <v>23</v>
          </cell>
          <cell r="F21">
            <v>24</v>
          </cell>
          <cell r="H21">
            <v>25</v>
          </cell>
          <cell r="J21">
            <v>26</v>
          </cell>
          <cell r="L21">
            <v>27</v>
          </cell>
          <cell r="N21">
            <v>28</v>
          </cell>
          <cell r="R21">
            <v>20</v>
          </cell>
          <cell r="T21">
            <v>21</v>
          </cell>
          <cell r="V21">
            <v>22</v>
          </cell>
          <cell r="X21">
            <v>23</v>
          </cell>
          <cell r="Z21">
            <v>24</v>
          </cell>
          <cell r="AB21">
            <v>25</v>
          </cell>
          <cell r="AD21">
            <v>26</v>
          </cell>
          <cell r="AH21">
            <v>17</v>
          </cell>
          <cell r="AJ21">
            <v>18</v>
          </cell>
          <cell r="AL21">
            <v>19</v>
          </cell>
          <cell r="AN21">
            <v>20</v>
          </cell>
          <cell r="AP21">
            <v>21</v>
          </cell>
          <cell r="AR21">
            <v>22</v>
          </cell>
          <cell r="AT21">
            <v>23</v>
          </cell>
        </row>
        <row r="22">
          <cell r="B22">
            <v>29</v>
          </cell>
          <cell r="D22">
            <v>30</v>
          </cell>
          <cell r="O22">
            <v>1</v>
          </cell>
          <cell r="R22">
            <v>27</v>
          </cell>
          <cell r="T22">
            <v>28</v>
          </cell>
          <cell r="V22">
            <v>29</v>
          </cell>
          <cell r="X22">
            <v>30</v>
          </cell>
          <cell r="Z22">
            <v>31</v>
          </cell>
          <cell r="AH22">
            <v>24</v>
          </cell>
          <cell r="AJ22">
            <v>25</v>
          </cell>
          <cell r="AL22">
            <v>26</v>
          </cell>
          <cell r="AN22">
            <v>27</v>
          </cell>
          <cell r="AP22">
            <v>28</v>
          </cell>
          <cell r="AR22">
            <v>29</v>
          </cell>
          <cell r="AT22">
            <v>30</v>
          </cell>
        </row>
        <row r="26">
          <cell r="B26" t="str">
            <v>July</v>
          </cell>
          <cell r="M26">
            <v>2007</v>
          </cell>
          <cell r="R26" t="str">
            <v>August</v>
          </cell>
          <cell r="AC26">
            <v>2007</v>
          </cell>
          <cell r="AH26" t="str">
            <v>September</v>
          </cell>
          <cell r="AS26">
            <v>2007</v>
          </cell>
        </row>
        <row r="28">
          <cell r="B28" t="str">
            <v>S</v>
          </cell>
          <cell r="D28" t="str">
            <v>M</v>
          </cell>
          <cell r="F28" t="str">
            <v>T</v>
          </cell>
          <cell r="H28" t="str">
            <v>W</v>
          </cell>
          <cell r="J28" t="str">
            <v>T</v>
          </cell>
          <cell r="L28" t="str">
            <v>F</v>
          </cell>
          <cell r="N28" t="str">
            <v>S</v>
          </cell>
          <cell r="R28" t="str">
            <v>S</v>
          </cell>
          <cell r="T28" t="str">
            <v>M</v>
          </cell>
          <cell r="V28" t="str">
            <v>T</v>
          </cell>
          <cell r="X28" t="str">
            <v>W</v>
          </cell>
          <cell r="Z28" t="str">
            <v>T</v>
          </cell>
          <cell r="AB28" t="str">
            <v>F</v>
          </cell>
          <cell r="AD28" t="str">
            <v>S</v>
          </cell>
          <cell r="AH28" t="str">
            <v>S</v>
          </cell>
          <cell r="AJ28" t="str">
            <v>M</v>
          </cell>
          <cell r="AL28" t="str">
            <v>T</v>
          </cell>
          <cell r="AN28" t="str">
            <v>W</v>
          </cell>
          <cell r="AP28" t="str">
            <v>T</v>
          </cell>
          <cell r="AR28" t="str">
            <v>F</v>
          </cell>
          <cell r="AT28" t="str">
            <v>S</v>
          </cell>
        </row>
        <row r="29">
          <cell r="B29">
            <v>1</v>
          </cell>
          <cell r="D29">
            <v>2</v>
          </cell>
          <cell r="F29">
            <v>3</v>
          </cell>
          <cell r="H29">
            <v>4</v>
          </cell>
          <cell r="J29">
            <v>5</v>
          </cell>
          <cell r="L29">
            <v>6</v>
          </cell>
          <cell r="N29">
            <v>7</v>
          </cell>
          <cell r="X29">
            <v>1</v>
          </cell>
          <cell r="Z29">
            <v>2</v>
          </cell>
          <cell r="AB29">
            <v>3</v>
          </cell>
          <cell r="AD29">
            <v>4</v>
          </cell>
          <cell r="AT29">
            <v>1</v>
          </cell>
        </row>
        <row r="30">
          <cell r="B30">
            <v>8</v>
          </cell>
          <cell r="D30">
            <v>9</v>
          </cell>
          <cell r="F30">
            <v>10</v>
          </cell>
          <cell r="H30">
            <v>11</v>
          </cell>
          <cell r="J30">
            <v>12</v>
          </cell>
          <cell r="L30">
            <v>13</v>
          </cell>
          <cell r="N30">
            <v>14</v>
          </cell>
          <cell r="R30">
            <v>5</v>
          </cell>
          <cell r="T30">
            <v>6</v>
          </cell>
          <cell r="V30">
            <v>7</v>
          </cell>
          <cell r="X30">
            <v>8</v>
          </cell>
          <cell r="Z30">
            <v>9</v>
          </cell>
          <cell r="AB30">
            <v>10</v>
          </cell>
          <cell r="AD30">
            <v>11</v>
          </cell>
          <cell r="AH30">
            <v>2</v>
          </cell>
          <cell r="AJ30">
            <v>3</v>
          </cell>
          <cell r="AL30">
            <v>4</v>
          </cell>
          <cell r="AN30">
            <v>5</v>
          </cell>
          <cell r="AP30">
            <v>6</v>
          </cell>
          <cell r="AR30">
            <v>7</v>
          </cell>
          <cell r="AT30">
            <v>8</v>
          </cell>
        </row>
        <row r="31">
          <cell r="B31">
            <v>15</v>
          </cell>
          <cell r="D31">
            <v>16</v>
          </cell>
          <cell r="F31">
            <v>17</v>
          </cell>
          <cell r="H31">
            <v>18</v>
          </cell>
          <cell r="J31">
            <v>19</v>
          </cell>
          <cell r="L31">
            <v>20</v>
          </cell>
          <cell r="N31">
            <v>21</v>
          </cell>
          <cell r="R31">
            <v>12</v>
          </cell>
          <cell r="T31">
            <v>13</v>
          </cell>
          <cell r="V31">
            <v>14</v>
          </cell>
          <cell r="X31">
            <v>15</v>
          </cell>
          <cell r="Z31">
            <v>16</v>
          </cell>
          <cell r="AB31">
            <v>17</v>
          </cell>
          <cell r="AD31">
            <v>18</v>
          </cell>
          <cell r="AH31">
            <v>9</v>
          </cell>
          <cell r="AJ31">
            <v>10</v>
          </cell>
          <cell r="AL31">
            <v>11</v>
          </cell>
          <cell r="AN31">
            <v>12</v>
          </cell>
          <cell r="AP31">
            <v>13</v>
          </cell>
          <cell r="AR31">
            <v>14</v>
          </cell>
          <cell r="AT31">
            <v>15</v>
          </cell>
        </row>
        <row r="32">
          <cell r="B32">
            <v>22</v>
          </cell>
          <cell r="D32">
            <v>23</v>
          </cell>
          <cell r="F32">
            <v>24</v>
          </cell>
          <cell r="H32">
            <v>25</v>
          </cell>
          <cell r="J32">
            <v>26</v>
          </cell>
          <cell r="L32">
            <v>27</v>
          </cell>
          <cell r="N32">
            <v>28</v>
          </cell>
          <cell r="R32">
            <v>19</v>
          </cell>
          <cell r="T32">
            <v>20</v>
          </cell>
          <cell r="V32">
            <v>21</v>
          </cell>
          <cell r="X32">
            <v>22</v>
          </cell>
          <cell r="Z32">
            <v>23</v>
          </cell>
          <cell r="AB32">
            <v>24</v>
          </cell>
          <cell r="AD32">
            <v>25</v>
          </cell>
          <cell r="AH32">
            <v>16</v>
          </cell>
          <cell r="AJ32">
            <v>17</v>
          </cell>
          <cell r="AL32">
            <v>18</v>
          </cell>
          <cell r="AN32">
            <v>19</v>
          </cell>
          <cell r="AP32">
            <v>20</v>
          </cell>
          <cell r="AR32">
            <v>21</v>
          </cell>
          <cell r="AT32">
            <v>22</v>
          </cell>
        </row>
        <row r="33">
          <cell r="B33">
            <v>29</v>
          </cell>
          <cell r="D33">
            <v>30</v>
          </cell>
          <cell r="F33">
            <v>31</v>
          </cell>
          <cell r="R33">
            <v>26</v>
          </cell>
          <cell r="T33">
            <v>27</v>
          </cell>
          <cell r="V33">
            <v>28</v>
          </cell>
          <cell r="X33">
            <v>29</v>
          </cell>
          <cell r="Z33">
            <v>30</v>
          </cell>
          <cell r="AB33">
            <v>31</v>
          </cell>
          <cell r="AH33" t="str">
            <v>23/30</v>
          </cell>
          <cell r="AJ33">
            <v>24</v>
          </cell>
          <cell r="AL33">
            <v>25</v>
          </cell>
          <cell r="AN33">
            <v>26</v>
          </cell>
          <cell r="AP33">
            <v>27</v>
          </cell>
          <cell r="AR33">
            <v>28</v>
          </cell>
          <cell r="AT33">
            <v>29</v>
          </cell>
        </row>
        <row r="37">
          <cell r="B37" t="str">
            <v>October</v>
          </cell>
          <cell r="M37">
            <v>2007</v>
          </cell>
          <cell r="R37" t="str">
            <v>November</v>
          </cell>
          <cell r="AC37">
            <v>2007</v>
          </cell>
          <cell r="AH37" t="str">
            <v>December</v>
          </cell>
          <cell r="AS37">
            <v>2007</v>
          </cell>
        </row>
        <row r="39">
          <cell r="B39" t="str">
            <v>S</v>
          </cell>
          <cell r="D39" t="str">
            <v>M</v>
          </cell>
          <cell r="F39" t="str">
            <v>T</v>
          </cell>
          <cell r="H39" t="str">
            <v>W</v>
          </cell>
          <cell r="J39" t="str">
            <v>T</v>
          </cell>
          <cell r="L39" t="str">
            <v>F</v>
          </cell>
          <cell r="N39" t="str">
            <v>S</v>
          </cell>
          <cell r="R39" t="str">
            <v>S</v>
          </cell>
          <cell r="T39" t="str">
            <v>M</v>
          </cell>
          <cell r="V39" t="str">
            <v>T</v>
          </cell>
          <cell r="X39" t="str">
            <v>W</v>
          </cell>
          <cell r="Z39" t="str">
            <v>T</v>
          </cell>
          <cell r="AB39" t="str">
            <v>F</v>
          </cell>
          <cell r="AD39" t="str">
            <v>S</v>
          </cell>
          <cell r="AH39" t="str">
            <v>S</v>
          </cell>
          <cell r="AJ39" t="str">
            <v>M</v>
          </cell>
          <cell r="AL39" t="str">
            <v>T</v>
          </cell>
          <cell r="AN39" t="str">
            <v>W</v>
          </cell>
          <cell r="AP39" t="str">
            <v>T</v>
          </cell>
          <cell r="AR39" t="str">
            <v>F</v>
          </cell>
          <cell r="AT39" t="str">
            <v>S</v>
          </cell>
        </row>
        <row r="40">
          <cell r="D40">
            <v>1</v>
          </cell>
          <cell r="F40">
            <v>2</v>
          </cell>
          <cell r="H40">
            <v>3</v>
          </cell>
          <cell r="J40">
            <v>4</v>
          </cell>
          <cell r="L40">
            <v>5</v>
          </cell>
          <cell r="N40">
            <v>6</v>
          </cell>
          <cell r="Z40">
            <v>1</v>
          </cell>
          <cell r="AB40">
            <v>2</v>
          </cell>
          <cell r="AD40">
            <v>3</v>
          </cell>
          <cell r="AT40">
            <v>1</v>
          </cell>
        </row>
        <row r="41">
          <cell r="B41">
            <v>7</v>
          </cell>
          <cell r="D41">
            <v>8</v>
          </cell>
          <cell r="F41">
            <v>9</v>
          </cell>
          <cell r="H41">
            <v>10</v>
          </cell>
          <cell r="J41">
            <v>11</v>
          </cell>
          <cell r="L41">
            <v>12</v>
          </cell>
          <cell r="N41">
            <v>13</v>
          </cell>
          <cell r="R41">
            <v>4</v>
          </cell>
          <cell r="T41">
            <v>5</v>
          </cell>
          <cell r="V41">
            <v>6</v>
          </cell>
          <cell r="X41">
            <v>7</v>
          </cell>
          <cell r="Z41">
            <v>8</v>
          </cell>
          <cell r="AB41">
            <v>9</v>
          </cell>
          <cell r="AD41">
            <v>10</v>
          </cell>
          <cell r="AH41">
            <v>2</v>
          </cell>
          <cell r="AJ41">
            <v>3</v>
          </cell>
          <cell r="AL41">
            <v>4</v>
          </cell>
          <cell r="AN41">
            <v>5</v>
          </cell>
          <cell r="AP41">
            <v>6</v>
          </cell>
          <cell r="AR41">
            <v>7</v>
          </cell>
          <cell r="AT41">
            <v>8</v>
          </cell>
        </row>
        <row r="42">
          <cell r="B42">
            <v>14</v>
          </cell>
          <cell r="D42">
            <v>15</v>
          </cell>
          <cell r="F42">
            <v>16</v>
          </cell>
          <cell r="H42">
            <v>17</v>
          </cell>
          <cell r="J42">
            <v>18</v>
          </cell>
          <cell r="L42">
            <v>19</v>
          </cell>
          <cell r="N42">
            <v>20</v>
          </cell>
          <cell r="R42">
            <v>11</v>
          </cell>
          <cell r="T42">
            <v>12</v>
          </cell>
          <cell r="V42">
            <v>13</v>
          </cell>
          <cell r="X42">
            <v>14</v>
          </cell>
          <cell r="Z42">
            <v>15</v>
          </cell>
          <cell r="AB42">
            <v>16</v>
          </cell>
          <cell r="AD42">
            <v>17</v>
          </cell>
          <cell r="AH42">
            <v>9</v>
          </cell>
          <cell r="AJ42">
            <v>10</v>
          </cell>
          <cell r="AL42">
            <v>11</v>
          </cell>
          <cell r="AN42">
            <v>12</v>
          </cell>
          <cell r="AP42">
            <v>13</v>
          </cell>
          <cell r="AR42">
            <v>14</v>
          </cell>
          <cell r="AT42">
            <v>15</v>
          </cell>
        </row>
        <row r="43">
          <cell r="B43">
            <v>21</v>
          </cell>
          <cell r="D43">
            <v>22</v>
          </cell>
          <cell r="F43">
            <v>23</v>
          </cell>
          <cell r="H43">
            <v>24</v>
          </cell>
          <cell r="J43">
            <v>25</v>
          </cell>
          <cell r="L43">
            <v>26</v>
          </cell>
          <cell r="N43">
            <v>27</v>
          </cell>
          <cell r="R43">
            <v>18</v>
          </cell>
          <cell r="T43">
            <v>19</v>
          </cell>
          <cell r="V43">
            <v>20</v>
          </cell>
          <cell r="X43">
            <v>21</v>
          </cell>
          <cell r="Z43">
            <v>22</v>
          </cell>
          <cell r="AB43">
            <v>23</v>
          </cell>
          <cell r="AD43">
            <v>24</v>
          </cell>
          <cell r="AH43">
            <v>16</v>
          </cell>
          <cell r="AJ43">
            <v>17</v>
          </cell>
          <cell r="AL43">
            <v>18</v>
          </cell>
          <cell r="AN43">
            <v>19</v>
          </cell>
          <cell r="AP43">
            <v>20</v>
          </cell>
          <cell r="AR43">
            <v>21</v>
          </cell>
          <cell r="AT43">
            <v>22</v>
          </cell>
        </row>
        <row r="44">
          <cell r="B44">
            <v>28</v>
          </cell>
          <cell r="D44">
            <v>29</v>
          </cell>
          <cell r="F44">
            <v>30</v>
          </cell>
          <cell r="H44">
            <v>31</v>
          </cell>
          <cell r="R44">
            <v>25</v>
          </cell>
          <cell r="T44">
            <v>26</v>
          </cell>
          <cell r="V44">
            <v>27</v>
          </cell>
          <cell r="X44">
            <v>28</v>
          </cell>
          <cell r="Z44">
            <v>29</v>
          </cell>
          <cell r="AB44">
            <v>30</v>
          </cell>
          <cell r="AH44" t="str">
            <v>23/30</v>
          </cell>
          <cell r="AJ44" t="str">
            <v>24/31</v>
          </cell>
          <cell r="AL44">
            <v>25</v>
          </cell>
          <cell r="AN44">
            <v>26</v>
          </cell>
          <cell r="AP44">
            <v>27</v>
          </cell>
          <cell r="AR44">
            <v>28</v>
          </cell>
          <cell r="AT44">
            <v>29</v>
          </cell>
        </row>
      </sheetData>
      <sheetData sheetId="21"/>
      <sheetData sheetId="22"/>
      <sheetData sheetId="23">
        <row r="1">
          <cell r="A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9-02"/>
      <sheetName val="9th Floor Current 9-02"/>
      <sheetName val="Assumptions"/>
      <sheetName val="Amort Schedule"/>
      <sheetName val="Input"/>
      <sheetName val="Model"/>
      <sheetName val="Database - Tenant"/>
      <sheetName val="Input (Real Estate)"/>
      <sheetName val="Cash Flow Proforma"/>
      <sheetName val="#REF"/>
      <sheetName val="Pivots"/>
      <sheetName val="Help"/>
      <sheetName val="RR Import"/>
      <sheetName val="Controls"/>
      <sheetName val="Sheet2"/>
      <sheetName val="Summary"/>
      <sheetName val="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"/>
      <sheetName val="pldt"/>
      <sheetName val="Summary"/>
      <sheetName val="Assumptions"/>
      <sheetName val="SQFT Summary"/>
      <sheetName val="Lease Up"/>
      <sheetName val="Sale and IRR"/>
      <sheetName val="PROJECT COSTS"/>
      <sheetName val="Financing"/>
      <sheetName val="Const Loan Int. Calc"/>
      <sheetName val="Draw Schedule"/>
      <sheetName val="Oper Pro Forma"/>
      <sheetName val="RE TAX - 421a"/>
      <sheetName val="Opex Comparison"/>
      <sheetName val="Timeline"/>
      <sheetName val="JV Assumpt."/>
      <sheetName val="Bank Assumpt."/>
      <sheetName val="Project Budget"/>
      <sheetName val="Qualified Costs"/>
      <sheetName val="JV CF"/>
      <sheetName val="JV RE Tax"/>
      <sheetName val="JV Terms"/>
      <sheetName val="Equity Analysis - 10% return"/>
      <sheetName val="JV Returns"/>
      <sheetName val="After-Tax JV Returns"/>
      <sheetName val="Neg Arb NO AFFORDABILIT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 Amortization"/>
      <sheetName val="Variables"/>
      <sheetName val="Loan Amortization Schedule"/>
      <sheetName val="Worksheet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itle I Overall"/>
      <sheetName val="Title I School"/>
      <sheetName val="Parent Involvement"/>
      <sheetName val="SES"/>
      <sheetName val="Homeless"/>
      <sheetName val="Title III"/>
      <sheetName val="Title III Set-Aside"/>
      <sheetName val="Title III Set-Aside IMI"/>
      <sheetName val="Sheet1"/>
    </sheetNames>
    <sheetDataSet>
      <sheetData sheetId="0"/>
      <sheetData sheetId="1">
        <row r="9">
          <cell r="C9">
            <v>19812.53</v>
          </cell>
        </row>
      </sheetData>
      <sheetData sheetId="2">
        <row r="11">
          <cell r="A11" t="str">
            <v>YAFA - Middle</v>
          </cell>
        </row>
      </sheetData>
      <sheetData sheetId="3">
        <row r="11">
          <cell r="A11" t="str">
            <v>CLA Elementary</v>
          </cell>
          <cell r="F11">
            <v>1793.8551912568305</v>
          </cell>
        </row>
        <row r="12">
          <cell r="A12" t="str">
            <v>Crown Pointe - Elementary</v>
          </cell>
          <cell r="F12">
            <v>498.2931086824529</v>
          </cell>
        </row>
        <row r="13">
          <cell r="A13" t="str">
            <v>Crown Pointe - Middle</v>
          </cell>
          <cell r="F13">
            <v>390.66179720704309</v>
          </cell>
        </row>
        <row r="14">
          <cell r="A14" t="str">
            <v>ECA - High</v>
          </cell>
          <cell r="F14">
            <v>318.90758955676984</v>
          </cell>
        </row>
        <row r="15">
          <cell r="A15" t="str">
            <v>ECA - Middle</v>
          </cell>
          <cell r="F15">
            <v>267.08510625379478</v>
          </cell>
        </row>
        <row r="16">
          <cell r="A16" t="str">
            <v>Frontier - Elementary</v>
          </cell>
          <cell r="F16">
            <v>99.658621736490588</v>
          </cell>
        </row>
        <row r="17">
          <cell r="A17" t="str">
            <v>Frontier - Middle</v>
          </cell>
          <cell r="F17">
            <v>27.904414086217365</v>
          </cell>
        </row>
        <row r="18">
          <cell r="A18" t="str">
            <v>GVA CS - Elementary</v>
          </cell>
          <cell r="F18">
            <v>681.66497267759553</v>
          </cell>
        </row>
        <row r="19">
          <cell r="A19" t="str">
            <v>GVA CS Middle</v>
          </cell>
          <cell r="F19">
            <v>51.822483302975101</v>
          </cell>
        </row>
        <row r="20">
          <cell r="A20" t="str">
            <v>GVA FC - Elementary</v>
          </cell>
          <cell r="F20">
            <v>582.00635094110498</v>
          </cell>
        </row>
        <row r="21">
          <cell r="A21" t="str">
            <v>GVA FC - Middle</v>
          </cell>
          <cell r="F21">
            <v>35.877103825136608</v>
          </cell>
        </row>
        <row r="22">
          <cell r="A22" t="str">
            <v>High Point Academy - Elementary</v>
          </cell>
          <cell r="F22">
            <v>964.69545840922888</v>
          </cell>
        </row>
        <row r="23">
          <cell r="A23" t="str">
            <v>High Point Academy - Middle</v>
          </cell>
          <cell r="F23">
            <v>398.63448694596235</v>
          </cell>
        </row>
        <row r="24">
          <cell r="A24" t="str">
            <v>JICA</v>
          </cell>
          <cell r="F24">
            <v>593.96538554948393</v>
          </cell>
        </row>
        <row r="25">
          <cell r="A25" t="str">
            <v>Magon - Elementary</v>
          </cell>
          <cell r="F25">
            <v>876.99587128111716</v>
          </cell>
        </row>
        <row r="26">
          <cell r="A26" t="str">
            <v>Magon - Middle</v>
          </cell>
          <cell r="F26">
            <v>342.82565877352761</v>
          </cell>
        </row>
        <row r="27">
          <cell r="A27" t="str">
            <v>Montessori del Mundo</v>
          </cell>
          <cell r="F27">
            <v>378.70276259866421</v>
          </cell>
        </row>
        <row r="28">
          <cell r="A28" t="str">
            <v>Mountain Song - Middle</v>
          </cell>
          <cell r="F28">
            <v>83.713242258652087</v>
          </cell>
        </row>
        <row r="29">
          <cell r="A29" t="str">
            <v>NAS Lowry</v>
          </cell>
          <cell r="F29">
            <v>1558.6608439587128</v>
          </cell>
        </row>
        <row r="30">
          <cell r="A30" t="str">
            <v>NAS Thornton</v>
          </cell>
          <cell r="F30">
            <v>1307.5211171827564</v>
          </cell>
        </row>
        <row r="31">
          <cell r="A31" t="str">
            <v>New Legacy - High</v>
          </cell>
          <cell r="F31">
            <v>227.22165755919852</v>
          </cell>
        </row>
        <row r="32">
          <cell r="A32" t="str">
            <v>Pikes Peak Prep - Elementary</v>
          </cell>
          <cell r="F32">
            <v>446.47062537947784</v>
          </cell>
        </row>
        <row r="33">
          <cell r="A33" t="str">
            <v>Pikes Peak Prep - High</v>
          </cell>
          <cell r="F33">
            <v>135.5357255616272</v>
          </cell>
        </row>
        <row r="34">
          <cell r="A34" t="str">
            <v>Pikes Peak Prep - Middle</v>
          </cell>
          <cell r="F34">
            <v>195.33089860352155</v>
          </cell>
        </row>
        <row r="35">
          <cell r="A35" t="str">
            <v>Pinnacle Elementary</v>
          </cell>
          <cell r="F35">
            <v>2961.8542380085</v>
          </cell>
        </row>
        <row r="36">
          <cell r="A36" t="str">
            <v>Pinnacle High</v>
          </cell>
          <cell r="F36">
            <v>1407.179738919247</v>
          </cell>
        </row>
        <row r="37">
          <cell r="A37" t="str">
            <v>Pinnacle Middle</v>
          </cell>
          <cell r="F37">
            <v>1431.0978081360047</v>
          </cell>
        </row>
        <row r="38">
          <cell r="A38" t="str">
            <v>Victory Prep High</v>
          </cell>
          <cell r="F38">
            <v>287.01683060109286</v>
          </cell>
        </row>
        <row r="39">
          <cell r="A39" t="str">
            <v>Victory Prep Middle</v>
          </cell>
          <cell r="F39">
            <v>841.11876745598056</v>
          </cell>
        </row>
        <row r="40">
          <cell r="A40" t="str">
            <v>YAFA - High</v>
          </cell>
          <cell r="F40">
            <v>394.64814207650272</v>
          </cell>
        </row>
        <row r="41">
          <cell r="A41" t="str">
            <v>Salida Montessori - Elementary</v>
          </cell>
          <cell r="F41">
            <v>83.713242258652087</v>
          </cell>
        </row>
        <row r="42">
          <cell r="A42" t="str">
            <v>Salida Montessori - Middle</v>
          </cell>
          <cell r="F42">
            <v>31.890758955676986</v>
          </cell>
        </row>
        <row r="43">
          <cell r="A43" t="str">
            <v>YAFA - Middle</v>
          </cell>
          <cell r="F43">
            <v>115.60400121432907</v>
          </cell>
        </row>
      </sheetData>
      <sheetData sheetId="4">
        <row r="21">
          <cell r="A21" t="str">
            <v>NAS Thornton</v>
          </cell>
          <cell r="F21">
            <v>60623.381411764713</v>
          </cell>
        </row>
        <row r="22">
          <cell r="A22" t="str">
            <v>Pinnacle Elementary</v>
          </cell>
          <cell r="F22">
            <v>137326.7450882353</v>
          </cell>
        </row>
      </sheetData>
      <sheetData sheetId="5"/>
      <sheetData sheetId="6">
        <row r="23">
          <cell r="A23" t="str">
            <v>Caprock</v>
          </cell>
        </row>
      </sheetData>
      <sheetData sheetId="7">
        <row r="8">
          <cell r="A8" t="str">
            <v>Caprock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itle I Overall"/>
      <sheetName val="Title I School"/>
      <sheetName val="Parent Involvement"/>
      <sheetName val="SES"/>
      <sheetName val="Homeless"/>
      <sheetName val="Title III"/>
      <sheetName val="Title III Set-Aside"/>
      <sheetName val="Title III Set-Aside IMI"/>
      <sheetName val="Sheet1"/>
    </sheetNames>
    <sheetDataSet>
      <sheetData sheetId="0"/>
      <sheetData sheetId="1" refreshError="1"/>
      <sheetData sheetId="2">
        <row r="11">
          <cell r="A11" t="str">
            <v>CLA Elementary</v>
          </cell>
        </row>
        <row r="12">
          <cell r="A12" t="str">
            <v>Crown Pointe - Elementary</v>
          </cell>
        </row>
        <row r="13">
          <cell r="A13" t="str">
            <v>Crown Pointe - Middle</v>
          </cell>
        </row>
        <row r="14">
          <cell r="A14" t="str">
            <v>ECA - High</v>
          </cell>
        </row>
        <row r="15">
          <cell r="A15" t="str">
            <v>ECA - Middle</v>
          </cell>
        </row>
        <row r="16">
          <cell r="A16" t="str">
            <v>Frontier - Elementary</v>
          </cell>
        </row>
        <row r="17">
          <cell r="A17" t="str">
            <v>Frontier - Middle</v>
          </cell>
        </row>
        <row r="18">
          <cell r="A18" t="str">
            <v>GVA CS - Elementary</v>
          </cell>
        </row>
        <row r="19">
          <cell r="A19" t="str">
            <v>GVA CS Middle</v>
          </cell>
        </row>
        <row r="20">
          <cell r="A20" t="str">
            <v>GVA FC - Elementary</v>
          </cell>
        </row>
        <row r="21">
          <cell r="A21" t="str">
            <v>GVA FC - Middle</v>
          </cell>
        </row>
        <row r="22">
          <cell r="A22" t="str">
            <v>High Point Academy - Elementary</v>
          </cell>
        </row>
        <row r="23">
          <cell r="A23" t="str">
            <v>High Point Academy - Middle</v>
          </cell>
        </row>
        <row r="24">
          <cell r="A24" t="str">
            <v>JICA</v>
          </cell>
        </row>
        <row r="25">
          <cell r="A25" t="str">
            <v>Magon - Elementary</v>
          </cell>
        </row>
        <row r="26">
          <cell r="A26" t="str">
            <v>Magon - Middle</v>
          </cell>
        </row>
        <row r="27">
          <cell r="A27" t="str">
            <v>Montessori del Mundo</v>
          </cell>
        </row>
        <row r="28">
          <cell r="A28" t="str">
            <v>Mountain Song - Middle</v>
          </cell>
        </row>
        <row r="29">
          <cell r="A29" t="str">
            <v>NAS Lowry</v>
          </cell>
        </row>
        <row r="30">
          <cell r="A30" t="str">
            <v>NAS Thornton</v>
          </cell>
        </row>
        <row r="31">
          <cell r="A31" t="str">
            <v>New Legacy - High</v>
          </cell>
        </row>
        <row r="32">
          <cell r="A32" t="str">
            <v>Pikes Peak Prep - Elementary</v>
          </cell>
        </row>
        <row r="33">
          <cell r="A33" t="str">
            <v>Pikes Peak Prep - High</v>
          </cell>
        </row>
        <row r="34">
          <cell r="A34" t="str">
            <v>Pikes Peak Prep - Middle</v>
          </cell>
        </row>
        <row r="35">
          <cell r="A35" t="str">
            <v>Pinnacle Elementary</v>
          </cell>
        </row>
        <row r="36">
          <cell r="A36" t="str">
            <v>Pinnacle High</v>
          </cell>
        </row>
        <row r="37">
          <cell r="A37" t="str">
            <v>Pinnacle Middle</v>
          </cell>
        </row>
        <row r="38">
          <cell r="A38" t="str">
            <v>Salida Montessori - Elementary</v>
          </cell>
        </row>
        <row r="39">
          <cell r="A39" t="str">
            <v>Salida Montessori - Middle</v>
          </cell>
        </row>
        <row r="40">
          <cell r="A40" t="str">
            <v>Victory Prep High</v>
          </cell>
        </row>
        <row r="41">
          <cell r="A41" t="str">
            <v>Victory Prep Middle</v>
          </cell>
        </row>
        <row r="42">
          <cell r="A42" t="str">
            <v>YAFA - High</v>
          </cell>
        </row>
        <row r="43">
          <cell r="A43" t="str">
            <v>YAFA - Middle</v>
          </cell>
        </row>
      </sheetData>
      <sheetData sheetId="3" refreshError="1"/>
      <sheetData sheetId="4" refreshError="1"/>
      <sheetData sheetId="5"/>
      <sheetData sheetId="6">
        <row r="23">
          <cell r="A23" t="str">
            <v>Caprock</v>
          </cell>
        </row>
        <row r="24">
          <cell r="A24" t="str">
            <v>CECDC</v>
          </cell>
        </row>
        <row r="25">
          <cell r="A25" t="str">
            <v>CECFC</v>
          </cell>
        </row>
        <row r="26">
          <cell r="A26" t="str">
            <v>CLA Elementary</v>
          </cell>
        </row>
        <row r="27">
          <cell r="A27" t="str">
            <v>Crown Pointe - Elementary</v>
          </cell>
        </row>
        <row r="28">
          <cell r="A28" t="str">
            <v>CSEC</v>
          </cell>
        </row>
        <row r="29">
          <cell r="A29" t="str">
            <v>ECA - Middle</v>
          </cell>
        </row>
        <row r="30">
          <cell r="A30" t="str">
            <v>GVA CS - Elementary</v>
          </cell>
        </row>
        <row r="31">
          <cell r="A31" t="str">
            <v>GVA FC - Elementary</v>
          </cell>
        </row>
        <row r="32">
          <cell r="A32" t="str">
            <v>High Point Academy - Elementary</v>
          </cell>
        </row>
        <row r="33">
          <cell r="A33" t="str">
            <v>JICA</v>
          </cell>
        </row>
        <row r="34">
          <cell r="A34" t="str">
            <v>Magon - Elementary</v>
          </cell>
        </row>
        <row r="35">
          <cell r="A35" t="str">
            <v>Montessori del Mundo</v>
          </cell>
        </row>
        <row r="36">
          <cell r="A36" t="str">
            <v>Mountain Middle School</v>
          </cell>
        </row>
        <row r="37">
          <cell r="A37" t="str">
            <v>Mountain Song - Middle</v>
          </cell>
        </row>
        <row r="38">
          <cell r="A38" t="str">
            <v>NAS Lowry</v>
          </cell>
        </row>
        <row r="39">
          <cell r="A39" t="str">
            <v>NAS Thornton</v>
          </cell>
        </row>
        <row r="40">
          <cell r="A40" t="str">
            <v>New Legacy - High</v>
          </cell>
        </row>
        <row r="41">
          <cell r="A41" t="str">
            <v>Pikes Peak Prep - Elementary</v>
          </cell>
        </row>
        <row r="42">
          <cell r="A42" t="str">
            <v>Pinnacle Elementary</v>
          </cell>
        </row>
        <row r="43">
          <cell r="A43" t="str">
            <v>Pinnacle High</v>
          </cell>
        </row>
        <row r="44">
          <cell r="A44" t="str">
            <v>Pinnacle Middle</v>
          </cell>
        </row>
        <row r="45">
          <cell r="A45" t="str">
            <v>Ross Montessori School</v>
          </cell>
        </row>
        <row r="46">
          <cell r="A46" t="str">
            <v>Salida Montessori - Elementary</v>
          </cell>
        </row>
        <row r="47">
          <cell r="A47" t="str">
            <v>Stone Creek School</v>
          </cell>
        </row>
        <row r="48">
          <cell r="A48" t="str">
            <v>The Academy</v>
          </cell>
        </row>
        <row r="49">
          <cell r="A49" t="str">
            <v>TPAAK</v>
          </cell>
        </row>
        <row r="50">
          <cell r="A50" t="str">
            <v>Two Rivers</v>
          </cell>
        </row>
        <row r="51">
          <cell r="A51" t="str">
            <v>Victory Prep High</v>
          </cell>
        </row>
        <row r="52">
          <cell r="A52" t="str">
            <v>Victory Prep Middle</v>
          </cell>
        </row>
      </sheetData>
      <sheetData sheetId="7">
        <row r="8">
          <cell r="A8" t="str">
            <v>Caprock</v>
          </cell>
          <cell r="C8">
            <v>0</v>
          </cell>
        </row>
        <row r="9">
          <cell r="A9" t="str">
            <v>CECDC</v>
          </cell>
          <cell r="C9">
            <v>0</v>
          </cell>
        </row>
        <row r="10">
          <cell r="A10" t="str">
            <v>CECFC</v>
          </cell>
          <cell r="C10">
            <v>0</v>
          </cell>
        </row>
        <row r="11">
          <cell r="A11" t="str">
            <v>CLA Elementary</v>
          </cell>
          <cell r="C11">
            <v>3310.7659574468089</v>
          </cell>
        </row>
        <row r="12">
          <cell r="A12" t="str">
            <v>CSEC</v>
          </cell>
          <cell r="C12">
            <v>300.97872340425533</v>
          </cell>
        </row>
        <row r="13">
          <cell r="A13" t="str">
            <v>High Point Academy - Elementary</v>
          </cell>
          <cell r="C13">
            <v>300.97872340425533</v>
          </cell>
        </row>
        <row r="14">
          <cell r="A14" t="str">
            <v>JICA</v>
          </cell>
          <cell r="C14">
            <v>0</v>
          </cell>
        </row>
        <row r="15">
          <cell r="A15" t="str">
            <v>NAS Lowry</v>
          </cell>
          <cell r="C15">
            <v>20466.553191489362</v>
          </cell>
        </row>
        <row r="16">
          <cell r="A16" t="str">
            <v>Pikes Peak Prep - Elementary</v>
          </cell>
          <cell r="C16">
            <v>902.936170212766</v>
          </cell>
        </row>
        <row r="17">
          <cell r="A17" t="str">
            <v>Ross Montessori School</v>
          </cell>
          <cell r="C17">
            <v>300.97872340425533</v>
          </cell>
        </row>
        <row r="18">
          <cell r="A18" t="str">
            <v>Victory Prep High</v>
          </cell>
          <cell r="C18">
            <v>300.97872340425533</v>
          </cell>
        </row>
        <row r="19">
          <cell r="A19" t="str">
            <v>Victory Prep Middle</v>
          </cell>
          <cell r="C19">
            <v>2407.8297872340427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9"/>
      <sheetName val="TFS Line Items"/>
      <sheetName val="Master Budgets "/>
      <sheetName val="Cash Flow Statement"/>
      <sheetName val="Network fees"/>
      <sheetName val="Summary of Finance DPE"/>
      <sheetName val="Master Budgets"/>
      <sheetName val="Network Budget"/>
      <sheetName val="Network FY23-FY27  Budget"/>
      <sheetName val="Captial Projects &amp; Expense Spl "/>
      <sheetName val="Network FY23 Staffing"/>
      <sheetName val="AAL Budget"/>
      <sheetName val="AAL FY23-FY27 Budget"/>
      <sheetName val="AAL FY 23 Staffing"/>
      <sheetName val="C2 Budget"/>
      <sheetName val="C2 FY23-FY27 Budget"/>
      <sheetName val="C2 FY23 Staffing"/>
      <sheetName val="C3 Budget"/>
      <sheetName val="C3 FY23-FY27 Budget "/>
      <sheetName val="C3 FY 23 Staffing"/>
      <sheetName val="SHES Budget"/>
      <sheetName val="SHES FY23-FY27 Budget "/>
      <sheetName val="SHES FY23 Staffing "/>
      <sheetName val="Ector Budget"/>
      <sheetName val="Ector FY23-FY27 Budget "/>
      <sheetName val="Ector FY23 Staffing"/>
      <sheetName val="Mendez FY23-FY27 Budget"/>
      <sheetName val="Mendez Budget"/>
      <sheetName val="Mendez FY23 Staffing"/>
      <sheetName val="Leases &amp; Debt"/>
      <sheetName val="Total Debt"/>
      <sheetName val="TX new school FY23-FY27 budget "/>
      <sheetName val="CO new school FY23-FY27 budget "/>
    </sheetNames>
    <sheetDataSet>
      <sheetData sheetId="0" refreshError="1"/>
      <sheetData sheetId="1" refreshError="1"/>
      <sheetData sheetId="2">
        <row r="54">
          <cell r="L54">
            <v>3526369.74</v>
          </cell>
          <cell r="P54">
            <v>4663790.92</v>
          </cell>
          <cell r="T54">
            <v>6033597.6781222699</v>
          </cell>
          <cell r="W54">
            <v>18447775.339730192</v>
          </cell>
          <cell r="Z54">
            <v>5558935.0820035459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09T01:28:04.5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43 3679 0 0,'-28'5'5432'0'0,"58"-24"-4562"0"0,-5 5-1249 0 0,-5 4-617 0 0,-15 6 493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09T01:28:04.5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33 13 6911 0 0,'-6'6'304'0'0,"0"-3"64"0"0,2-2-296 0 0,0-1-72 0 0,3 0 0 0 0,-1 1 344 0 0,1-1 48 0 0,-2 0 16 0 0,0 0 0 0 0,2-1-408 0 0,0 0-88 0 0,1-1-8 0 0,2 0-8 0 0,1-1-88 0 0,1-1-8 0 0,2-1-8 0 0,-1 0-3144 0 0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james terry" id="{833CC8E5-5870-4205-9A59-6C399D7B95FB}" userId="ae6f988f8284afc6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rri Holt" refreshedDate="44909.623234837964" createdVersion="8" refreshedVersion="8" minRefreshableVersion="3" recordCount="649" xr:uid="{61D80DB5-526D-438D-B98E-2043F333B380}">
  <cacheSource type="worksheet">
    <worksheetSource ref="A1:H1048576" sheet="TFS Line Items"/>
  </cacheSource>
  <cacheFields count="8">
    <cacheField name="Location" numFmtId="0">
      <sharedItems containsBlank="1" count="8">
        <s v="AAL"/>
        <s v="C3"/>
        <s v="Ector"/>
        <s v="Mendez"/>
        <s v="C2"/>
        <s v="SHES"/>
        <s v="Network"/>
        <m/>
      </sharedItems>
    </cacheField>
    <cacheField name="Rev/Exp" numFmtId="0">
      <sharedItems containsBlank="1" count="3">
        <s v="Rev"/>
        <s v="Exp"/>
        <m/>
      </sharedItems>
    </cacheField>
    <cacheField name="Sort B" numFmtId="0">
      <sharedItems containsString="0" containsBlank="1" containsNumber="1" containsInteger="1" minValue="1" maxValue="2"/>
    </cacheField>
    <cacheField name="Sort A" numFmtId="0">
      <sharedItems containsString="0" containsBlank="1" containsNumber="1" containsInteger="1" minValue="1" maxValue="90"/>
    </cacheField>
    <cacheField name="Type" numFmtId="0">
      <sharedItems containsBlank="1"/>
    </cacheField>
    <cacheField name="Account Description" numFmtId="0">
      <sharedItems containsBlank="1" count="282">
        <s v="Beginning Balance"/>
        <s v="Pupil Activity Fund Raisers"/>
        <s v="Other Funding"/>
        <s v="Charter School Growth Fund"/>
        <s v="Capital Construction Revenue"/>
        <s v="ECEA"/>
        <s v="ECEA - Gifted &amp; Talented"/>
        <s v="ELPA PD Revenue"/>
        <s v="ELPA Revenue"/>
        <s v="Read Act - FY21"/>
        <s v="Universal Screening Grant"/>
        <s v="Erate Revenue"/>
        <s v="Title I"/>
        <s v="Title I "/>
        <s v="Title I - Parent Activities"/>
        <s v="Title I Grant Funding"/>
        <s v="IDEA Part B - SPED"/>
        <s v="ESSER III"/>
        <s v="ESSER II"/>
        <s v="RISE Grant Roll-Over Ending 30 Sept 22"/>
        <s v="State Mill Levy Funding FY21"/>
        <s v="State Revenue"/>
        <s v="On Behalf PERA"/>
        <s v="Instructional Salaries  "/>
        <s v="District Services - IT"/>
        <s v="Property &amp; Liability Insurance"/>
        <s v="Unemployment Insurance"/>
        <s v="Workers Comp Insurance"/>
        <s v="Purchased Professional Services (DYAD)"/>
        <s v="Contracted Substitutes (0010)"/>
        <s v="Special Education Purchased Prof Services"/>
        <s v="Instruction Technology Purchased Services"/>
        <s v="Legal Services"/>
        <s v="Audit Services"/>
        <s v="School Admin Purchased Professional Services"/>
        <s v="Business Services Fees"/>
        <s v="Business Services Banking"/>
        <s v="Business Services Cont. Accounting Services"/>
        <s v="Purchased Professional Services"/>
        <s v="School Admin Rental of Equipment (Printers)"/>
        <s v="School Admin Vehicle Lease"/>
        <s v="Debt Service Loan Interest"/>
        <s v="Debt Service Loan Principal"/>
        <s v="Capital Lease Improvements"/>
        <s v="Custodial Services"/>
        <s v="Water &amp; Sewer"/>
        <s v="Trash Service"/>
        <s v="Grounds Maintenance and CAM"/>
        <s v="Repair &amp; Maintenance (Equipment)"/>
        <s v="Building Lease"/>
        <s v="East Campus Building Lease"/>
        <s v="West Campus Building Lease"/>
        <s v="Waste Removal Services"/>
        <s v="Security Services"/>
        <s v="Instructional Salaries - Stipends"/>
        <s v="Instructional Salaries - Incentive Pay"/>
        <s v="Medicare - Instructional"/>
        <s v="PERA - Instruction"/>
        <s v="Medical (all employees)"/>
        <s v="Unemployment Insurance (all employees)"/>
        <s v="Workers Comp Insurance (all employees)"/>
        <s v="Life Insurance (all employees)"/>
        <s v="SPED Salaries"/>
        <s v="Medicare - SPED"/>
        <s v="PERA - SPED"/>
        <s v="Admin Salaries"/>
        <s v="Admin Salaries - Stipends"/>
        <s v="Admin Salaries - Bonuses"/>
        <s v="Medicare - Admin"/>
        <s v="PERA - ADMIN"/>
        <s v="School Admin Dues &amp; Fees"/>
        <s v="Facilities Dues &amp; Fees"/>
        <s v="Non-Capital Equipment (Instruc 0010)"/>
        <s v="SPED Non Capital Equipment"/>
        <s v="Instruction Based Technology Equipment"/>
        <s v="Chromebooks"/>
        <s v="Other Dyad equipment and materials"/>
        <s v="After-school activities"/>
        <s v="Admin Non Capital Equipment"/>
        <s v="Food Service Capital Equipment"/>
        <s v="Textbooks"/>
        <s v="Electronic Media (Instruc 0010) "/>
        <s v="Uniforms"/>
        <s v="Instructional Supplies"/>
        <s v="Teacher Discretionary Supplies"/>
        <s v="Student Incentive Supplies (Habits of Success)"/>
        <s v="SPED Supplies (Nursing)"/>
        <s v="School Admin Supplies"/>
        <s v="Admin Principal Discretionary Supplies"/>
        <s v="Custodial Supplies"/>
        <s v="Gas &amp; Electric"/>
        <s v="Transportation - Fuel"/>
        <s v="Central Support Supplies (Tech Supplies)"/>
        <s v="Food Service Fees (authorizer)"/>
        <s v="SPED Fee (authorizer)"/>
        <s v="CLDE District Fee"/>
        <s v="CDE Admin Fee"/>
        <s v="Liason Fee (authorizer 2300) CSI admin fee (3%)"/>
        <s v="APS Business Services Fee (authorizer)"/>
        <s v="Network Expenses (on Network tab)"/>
        <s v="Services from Others (authorizer)"/>
        <s v="School Admin Advertising"/>
        <s v="Student travel"/>
        <s v="Student field trips"/>
        <s v="5th Quarter  (ESSER III)"/>
        <s v="Admin Other Purch Svcs"/>
        <s v="School Admin Student Data Base"/>
        <s v="Admin CLDE Professional Development"/>
        <s v="Internet Service"/>
        <s v="Transportation Purchased Services"/>
        <s v="Central Support Services Internet"/>
        <s v="Central Support Services Telephone"/>
        <s v="Title I Homeless"/>
        <s v="Title IA"/>
        <s v="Title IA - Parent Activities"/>
        <s v="IDEA (ARP)"/>
        <s v="At-Risk Per Pupil"/>
        <s v="Instructional Salaries  ($180K from ESSER III)"/>
        <s v="Medicare - Instruction"/>
        <s v="Electronic Media (Instruc 0010)"/>
        <s v="5th Quarter  "/>
        <s v="Building Lease or mortgage"/>
        <s v="Title II "/>
        <s v="Title II Revenue"/>
        <s v="Title IIA"/>
        <s v="Instructional Salaries  ($240K from ESSER III)"/>
        <s v="Electronic Media (Instruc 0010) ($30K from ESSER III)"/>
        <s v="CDE Admin Fee (1% PPR)"/>
        <s v="Business Services Fee (authorizer)"/>
        <s v="Foundation School Program Tier 1"/>
        <s v="Foundation School Program Tier 2"/>
        <s v="1882 Partnership"/>
        <s v="Teacher Incentive Allotment"/>
        <s v="Title III"/>
        <s v="Title III ELLA"/>
        <s v="MISC Revenue"/>
        <s v="IMTA (Instructional Material Technology Allotment)"/>
        <s v="ESSER III (carry over)"/>
        <s v="TEA Start-Up Grant (CSP)"/>
        <s v="TEA School Action Fund Grant (SAF)"/>
        <s v="TRS On Behalf"/>
        <s v="Network Startup Contribution"/>
        <s v="Student Activity Funds"/>
        <s v="Instructional - salaries "/>
        <s v="Instructional - Stipend (Athletics)"/>
        <s v="Instructional - Incentive pay"/>
        <s v="Instructional - Medicare"/>
        <s v="Instructional - Life"/>
        <s v="Instructional - Health Benefits"/>
        <s v="Instructional - Worker's Comp"/>
        <s v="Instructional - TRS"/>
        <s v="Instructional - TRS CARE"/>
        <s v="SPED - Medicare"/>
        <s v="SPED Health Benefits"/>
        <s v="SPED - Worker's Comp"/>
        <s v="TRS - SPED"/>
        <s v="TRS CARE - SPED"/>
        <s v="Teachers Leaders -- Stipend"/>
        <s v="Admin  - Salaries"/>
        <s v="Admin  -  Bonus"/>
        <s v="Admin - Medicare"/>
        <s v="Admin - Life Insurance"/>
        <s v="Admin - Health Benefits"/>
        <s v="Admin - Worker's Comp"/>
        <s v="Admin - TRS"/>
        <s v="Admin - TRS CARE"/>
        <s v="Copy Clerks"/>
        <s v="5th QTR - Summer School  (SAF)"/>
        <s v="Teachers - SUBSTITUTES"/>
        <s v="Admin - Purchased Services - ECISD"/>
        <s v="Admin - Purchased Services -- ECISD -- optional"/>
        <s v="Admin - Purchased Services - Network"/>
        <s v="Furniture and Equip."/>
        <s v="Special Ed - Professional Services"/>
        <s v="Instruction -  Purchased Services - PD "/>
        <s v="Technology/Instruction Technology"/>
        <s v="Instruction - Curriculum"/>
        <s v="Testing Materials"/>
        <s v="Instruction Electronic Media - ESSER III"/>
        <s v="Instruction Teacher Supplies - Teacher Discretionary"/>
        <s v="Instruction Supplies"/>
        <s v="Instruction Supplies - Uniforms"/>
        <s v="Instruction Supplies - HOS"/>
        <s v="DYAD supplies"/>
        <s v="Dyad Consultants"/>
        <s v="Dyad Consultants for electives"/>
        <s v="Student travel out-of-state"/>
        <s v="Field Trips"/>
        <s v="Supplies and equip. -- Athletics"/>
        <s v="Supplies and equip. -- Choir/Band"/>
        <s v="Supplies and equip. -- Other extracurricular"/>
        <s v="Banking Services"/>
        <s v="Telephone"/>
        <s v="Principal`s Discretionary Budget"/>
        <s v="School Leadership  - Copiers"/>
        <s v="School Leadership Other Supplies"/>
        <s v="School Leadership Dues &amp; Fees"/>
        <s v="School Leadership Travel"/>
        <s v="Admin - Due and Fees (Background checks)"/>
        <s v="Admin. Prof. Services -- Legal"/>
        <s v="School Leadership Advertising"/>
        <s v="Custodial"/>
        <s v="Foundation School Program"/>
        <s v="Title IIIA ELLA"/>
        <s v="Title IV"/>
        <s v="21St Century Comm Learning Center"/>
        <s v="Replication Grant"/>
        <s v="School Action Fund (SAF)"/>
        <s v="TFS Network start-up contribution"/>
        <s v="TOSA"/>
        <s v="Teacher Leaders "/>
        <s v="DYAD  - Salaries"/>
        <s v="DYAD  -  Bonus"/>
        <s v="DYAD - Medicare"/>
        <s v="DYAD - Life Insurance"/>
        <s v="DYAD - Health Benefits"/>
        <s v="DYAD - Worker's Comp"/>
        <s v="DYAD - TRS"/>
        <s v="DYAD - TRS CARE"/>
        <s v="5th QTR - Summer School "/>
        <s v="Admin - Purchased Services - AISD"/>
        <s v="Admin - Purchased Services -- AISD -- optional"/>
        <s v="Furniture and Equip. (CSP grant)"/>
        <s v="Instruction -  Purchased Services - PD (CSP)"/>
        <s v="Instruction - Technology Equip. (CSP grant)"/>
        <s v="Instruction Curriculum"/>
        <s v="Instruction Electronic Media - Testing Material"/>
        <s v="Instruction Electronic Media - (CSP grant)"/>
        <s v="DYAD supplies (start up equip. -- CSP grant)"/>
        <s v="Dyad Consultants (Coordinator -- CSP grant)"/>
        <s v="Field Trips and activities"/>
        <s v="Service Fees from AAL"/>
        <s v="Service Fees from C2"/>
        <s v="Service Fees from C3"/>
        <s v="Service Fees from SHES"/>
        <s v="Service Fees from ECP"/>
        <s v="Service Fees from Mendez"/>
        <s v="Service Fees from 2 expansion schools"/>
        <s v="Charter School Growth Fund Grant"/>
        <s v="Undesignated Grants"/>
        <s v="Network Salaries"/>
        <s v="Network Bonuses"/>
        <s v="Network - Medicare"/>
        <s v="Network - Workers Comp Insurance"/>
        <s v="Network  - Unemployment Insurance"/>
        <s v="Network - PERA"/>
        <s v="Network - Medical"/>
        <s v="Network - Life"/>
        <s v="CEO car/travel allowance"/>
        <s v="LSAE Curriculum Developers"/>
        <s v="LSAE Curriculum Developers - PERA"/>
        <s v="LSAE Curriculum Developers - Medical"/>
        <s v="Network TOSAs"/>
        <s v="TOSAs - PERA"/>
        <s v="TOSAs Medical"/>
        <s v="Central staff dues and fees"/>
        <s v="Network capital improvements"/>
        <s v="Network support for new schools"/>
        <s v="SRT evaluation team"/>
        <s v="furniture and equipment for East office"/>
        <s v="furniture and equipment for schools"/>
        <s v="Network staff supplies"/>
        <s v="Board supplies"/>
        <s v="Misc purchased services"/>
        <s v="Network Property &amp; Liability Insurance"/>
        <s v="Core Team DNO insurance"/>
        <s v="Board PD and Travel"/>
        <s v="Network staff travel"/>
        <s v="Network Audit Services"/>
        <s v="Network Banking"/>
        <s v="Network Business Services Cont. Accounting Services"/>
        <s v="Network Technical Services"/>
        <s v="Network Rental of Equipment (Printers)"/>
        <s v="Title IV "/>
        <s v="Title IV Revenue"/>
        <s v="Instructional - salaries ($275K from ESSER)"/>
        <s v="Instructional - Life Insurance"/>
        <s v="5th QTR - Summer School  (ESSER III)"/>
        <s v="Admin - Purchased Services - MISD"/>
        <s v="Admin - Purchased Services -- MISD -- optional"/>
        <s v="Instruction - Technology"/>
        <m/>
      </sharedItems>
    </cacheField>
    <cacheField name="FY23" numFmtId="0">
      <sharedItems containsString="0" containsBlank="1" containsNumber="1" minValue="0" maxValue="11528505"/>
    </cacheField>
    <cacheField name="FY23 Growth" numFmtId="0">
      <sharedItems containsString="0" containsBlank="1" containsNumber="1" minValue="0" maxValue="124855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9">
  <r>
    <x v="0"/>
    <x v="0"/>
    <n v="1"/>
    <n v="1"/>
    <s v="Beginning Balance"/>
    <x v="0"/>
    <n v="1823958"/>
    <n v="1823958"/>
  </r>
  <r>
    <x v="0"/>
    <x v="0"/>
    <n v="1"/>
    <n v="2"/>
    <s v="Local/Other Sources"/>
    <x v="1"/>
    <n v="25000"/>
    <n v="25000"/>
  </r>
  <r>
    <x v="0"/>
    <x v="0"/>
    <n v="1"/>
    <n v="3"/>
    <s v="Grants &amp; Contributions "/>
    <x v="2"/>
    <n v="200000"/>
    <n v="200000"/>
  </r>
  <r>
    <x v="0"/>
    <x v="0"/>
    <n v="1"/>
    <n v="4"/>
    <s v="Grants &amp; Contributions "/>
    <x v="3"/>
    <m/>
    <m/>
  </r>
  <r>
    <x v="0"/>
    <x v="0"/>
    <n v="1"/>
    <n v="5"/>
    <s v="State Sources"/>
    <x v="4"/>
    <n v="277170"/>
    <n v="277170"/>
  </r>
  <r>
    <x v="0"/>
    <x v="0"/>
    <n v="1"/>
    <n v="6"/>
    <s v="State Sources"/>
    <x v="5"/>
    <n v="0"/>
    <n v="0"/>
  </r>
  <r>
    <x v="0"/>
    <x v="0"/>
    <n v="1"/>
    <n v="7"/>
    <s v="State Sources"/>
    <x v="6"/>
    <n v="0"/>
    <n v="0"/>
  </r>
  <r>
    <x v="0"/>
    <x v="0"/>
    <n v="1"/>
    <n v="8"/>
    <s v="State Sources"/>
    <x v="7"/>
    <n v="0"/>
    <n v="0"/>
  </r>
  <r>
    <x v="0"/>
    <x v="0"/>
    <n v="1"/>
    <n v="9"/>
    <s v="State Sources"/>
    <x v="8"/>
    <n v="105373"/>
    <n v="105373"/>
  </r>
  <r>
    <x v="0"/>
    <x v="0"/>
    <n v="1"/>
    <n v="10"/>
    <s v="State Sources"/>
    <x v="9"/>
    <n v="48142"/>
    <n v="48142"/>
  </r>
  <r>
    <x v="0"/>
    <x v="0"/>
    <n v="1"/>
    <n v="11"/>
    <s v="State Sources"/>
    <x v="10"/>
    <n v="0"/>
    <n v="0"/>
  </r>
  <r>
    <x v="0"/>
    <x v="0"/>
    <n v="1"/>
    <n v="12"/>
    <s v="Federal Sources"/>
    <x v="11"/>
    <n v="30000"/>
    <n v="30000"/>
  </r>
  <r>
    <x v="0"/>
    <x v="0"/>
    <n v="1"/>
    <n v="13"/>
    <s v="Federal Sources"/>
    <x v="12"/>
    <n v="0"/>
    <n v="0"/>
  </r>
  <r>
    <x v="1"/>
    <x v="0"/>
    <n v="1"/>
    <n v="13"/>
    <s v="Federal Sources"/>
    <x v="12"/>
    <n v="114352"/>
    <n v="114352"/>
  </r>
  <r>
    <x v="2"/>
    <x v="0"/>
    <n v="1"/>
    <n v="6"/>
    <s v="Federal Sources"/>
    <x v="13"/>
    <n v="214270"/>
    <n v="214270"/>
  </r>
  <r>
    <x v="0"/>
    <x v="0"/>
    <n v="1"/>
    <n v="15"/>
    <s v="Federal Sources"/>
    <x v="14"/>
    <n v="0"/>
    <n v="0"/>
  </r>
  <r>
    <x v="1"/>
    <x v="0"/>
    <n v="1"/>
    <n v="15"/>
    <s v="Federal Sources"/>
    <x v="14"/>
    <n v="1805"/>
    <n v="1805"/>
  </r>
  <r>
    <x v="3"/>
    <x v="0"/>
    <n v="1"/>
    <n v="5"/>
    <s v="Federal Sources"/>
    <x v="15"/>
    <n v="299381"/>
    <n v="299381"/>
  </r>
  <r>
    <x v="0"/>
    <x v="0"/>
    <n v="1"/>
    <n v="19"/>
    <s v="Federal Sources"/>
    <x v="16"/>
    <n v="0"/>
    <n v="0"/>
  </r>
  <r>
    <x v="0"/>
    <x v="0"/>
    <n v="1"/>
    <n v="20"/>
    <s v="Federal Sources"/>
    <x v="17"/>
    <n v="1134497"/>
    <n v="1043138"/>
  </r>
  <r>
    <x v="0"/>
    <x v="0"/>
    <n v="1"/>
    <n v="21"/>
    <s v="Federal Sources"/>
    <x v="18"/>
    <n v="156249"/>
    <n v="34301"/>
  </r>
  <r>
    <x v="0"/>
    <x v="0"/>
    <n v="1"/>
    <n v="22"/>
    <s v="Federal Sources"/>
    <x v="19"/>
    <n v="329000"/>
    <n v="89797.17"/>
  </r>
  <r>
    <x v="0"/>
    <x v="0"/>
    <n v="1"/>
    <n v="25"/>
    <s v="State Sources"/>
    <x v="20"/>
    <n v="2462019"/>
    <n v="2462019"/>
  </r>
  <r>
    <x v="0"/>
    <x v="0"/>
    <n v="1"/>
    <n v="26"/>
    <s v="State Sources"/>
    <x v="21"/>
    <n v="9341892"/>
    <n v="9341892"/>
  </r>
  <r>
    <x v="0"/>
    <x v="0"/>
    <n v="1"/>
    <n v="27"/>
    <s v="State Sources"/>
    <x v="22"/>
    <m/>
    <m/>
  </r>
  <r>
    <x v="0"/>
    <x v="1"/>
    <n v="2"/>
    <n v="1"/>
    <s v="Salaries"/>
    <x v="23"/>
    <n v="3778000"/>
    <n v="3601000"/>
  </r>
  <r>
    <x v="0"/>
    <x v="1"/>
    <n v="2"/>
    <n v="61"/>
    <s v="Purchased Professional Services"/>
    <x v="24"/>
    <n v="0"/>
    <n v="0"/>
  </r>
  <r>
    <x v="0"/>
    <x v="1"/>
    <n v="2"/>
    <n v="62"/>
    <s v="Purchased Professional Services"/>
    <x v="25"/>
    <n v="48000"/>
    <n v="48000"/>
  </r>
  <r>
    <x v="0"/>
    <x v="1"/>
    <n v="2"/>
    <n v="63"/>
    <s v="Purchased Professional Services"/>
    <x v="26"/>
    <n v="13000"/>
    <n v="13000"/>
  </r>
  <r>
    <x v="0"/>
    <x v="1"/>
    <n v="2"/>
    <n v="64"/>
    <s v="Purchased Professional Services"/>
    <x v="27"/>
    <n v="45400"/>
    <n v="45400"/>
  </r>
  <r>
    <x v="0"/>
    <x v="1"/>
    <n v="2"/>
    <n v="65"/>
    <s v="Purchased Professional Services"/>
    <x v="28"/>
    <n v="170000"/>
    <n v="170000"/>
  </r>
  <r>
    <x v="0"/>
    <x v="1"/>
    <n v="2"/>
    <n v="66"/>
    <s v="Purchased Professional Services"/>
    <x v="29"/>
    <n v="20000"/>
    <n v="20000"/>
  </r>
  <r>
    <x v="0"/>
    <x v="1"/>
    <n v="2"/>
    <n v="67"/>
    <s v="Purchased Professional Services"/>
    <x v="30"/>
    <n v="65000"/>
    <n v="65000"/>
  </r>
  <r>
    <x v="0"/>
    <x v="1"/>
    <n v="2"/>
    <n v="68"/>
    <s v="Purchased Professional Services"/>
    <x v="31"/>
    <n v="27000"/>
    <n v="27000"/>
  </r>
  <r>
    <x v="0"/>
    <x v="1"/>
    <n v="2"/>
    <n v="69"/>
    <s v="Purchased Professional Services"/>
    <x v="32"/>
    <n v="30000"/>
    <n v="30000"/>
  </r>
  <r>
    <x v="0"/>
    <x v="1"/>
    <n v="2"/>
    <n v="70"/>
    <s v="Purchased Professional Services"/>
    <x v="33"/>
    <n v="7500"/>
    <n v="7500"/>
  </r>
  <r>
    <x v="0"/>
    <x v="1"/>
    <n v="2"/>
    <n v="71"/>
    <s v="Purchased Professional Services"/>
    <x v="34"/>
    <n v="3000"/>
    <n v="3000"/>
  </r>
  <r>
    <x v="0"/>
    <x v="1"/>
    <n v="2"/>
    <n v="72"/>
    <s v="Purchased Professional Services"/>
    <x v="35"/>
    <n v="5000"/>
    <n v="5000"/>
  </r>
  <r>
    <x v="0"/>
    <x v="1"/>
    <n v="2"/>
    <n v="73"/>
    <s v="Purchased Professional Services"/>
    <x v="36"/>
    <n v="1550"/>
    <n v="1550"/>
  </r>
  <r>
    <x v="0"/>
    <x v="1"/>
    <n v="2"/>
    <n v="74"/>
    <s v="Purchased Professional Services"/>
    <x v="37"/>
    <n v="75000"/>
    <n v="75000"/>
  </r>
  <r>
    <x v="0"/>
    <x v="1"/>
    <n v="2"/>
    <n v="75"/>
    <s v="Purchased Professional Services"/>
    <x v="38"/>
    <n v="10000"/>
    <n v="10000"/>
  </r>
  <r>
    <x v="0"/>
    <x v="1"/>
    <n v="2"/>
    <n v="76"/>
    <s v="Purchased Property Services"/>
    <x v="39"/>
    <n v="110000"/>
    <n v="110000"/>
  </r>
  <r>
    <x v="0"/>
    <x v="1"/>
    <n v="2"/>
    <n v="77"/>
    <s v="Purchased Property Services"/>
    <x v="40"/>
    <n v="32000"/>
    <n v="32000"/>
  </r>
  <r>
    <x v="0"/>
    <x v="1"/>
    <n v="2"/>
    <n v="78"/>
    <s v="Purchased Property Services"/>
    <x v="41"/>
    <n v="18000"/>
    <n v="18000"/>
  </r>
  <r>
    <x v="0"/>
    <x v="1"/>
    <n v="2"/>
    <n v="79"/>
    <s v="Purchased Property Services"/>
    <x v="42"/>
    <n v="270000"/>
    <n v="270000"/>
  </r>
  <r>
    <x v="0"/>
    <x v="1"/>
    <n v="2"/>
    <n v="80"/>
    <s v="Purchased Property Services"/>
    <x v="43"/>
    <n v="0"/>
    <n v="0"/>
  </r>
  <r>
    <x v="0"/>
    <x v="1"/>
    <n v="2"/>
    <n v="81"/>
    <s v="Purchased Property Services"/>
    <x v="44"/>
    <n v="275000"/>
    <n v="275000"/>
  </r>
  <r>
    <x v="0"/>
    <x v="1"/>
    <n v="2"/>
    <n v="82"/>
    <s v="Purchased Property Services"/>
    <x v="45"/>
    <n v="25000"/>
    <n v="25000"/>
  </r>
  <r>
    <x v="0"/>
    <x v="1"/>
    <n v="2"/>
    <n v="83"/>
    <s v="Purchased Property Services"/>
    <x v="46"/>
    <m/>
    <m/>
  </r>
  <r>
    <x v="0"/>
    <x v="1"/>
    <n v="2"/>
    <n v="84"/>
    <s v="Purchased Property Services"/>
    <x v="47"/>
    <m/>
    <m/>
  </r>
  <r>
    <x v="0"/>
    <x v="1"/>
    <n v="2"/>
    <n v="85"/>
    <s v="Purchased Property Services"/>
    <x v="48"/>
    <n v="40000"/>
    <n v="40000"/>
  </r>
  <r>
    <x v="0"/>
    <x v="1"/>
    <n v="2"/>
    <n v="86"/>
    <s v="Purchased Property Services"/>
    <x v="49"/>
    <n v="824284"/>
    <n v="824284"/>
  </r>
  <r>
    <x v="0"/>
    <x v="1"/>
    <n v="2"/>
    <n v="87"/>
    <s v="Purchased Property Services"/>
    <x v="50"/>
    <n v="540000"/>
    <n v="540000"/>
  </r>
  <r>
    <x v="0"/>
    <x v="1"/>
    <n v="2"/>
    <n v="88"/>
    <s v="Purchased Property Services"/>
    <x v="51"/>
    <n v="377485"/>
    <n v="377485"/>
  </r>
  <r>
    <x v="0"/>
    <x v="1"/>
    <n v="2"/>
    <n v="89"/>
    <s v="Purchased Property Services"/>
    <x v="52"/>
    <n v="7000"/>
    <n v="7000"/>
  </r>
  <r>
    <x v="0"/>
    <x v="1"/>
    <n v="2"/>
    <n v="90"/>
    <s v="Purchased Property Services"/>
    <x v="53"/>
    <n v="1500"/>
    <n v="1500"/>
  </r>
  <r>
    <x v="0"/>
    <x v="1"/>
    <m/>
    <n v="2"/>
    <s v="Salaries"/>
    <x v="54"/>
    <n v="20000"/>
    <n v="20000"/>
  </r>
  <r>
    <x v="0"/>
    <x v="1"/>
    <m/>
    <n v="3"/>
    <s v="Salaries"/>
    <x v="55"/>
    <n v="118520"/>
    <n v="60"/>
  </r>
  <r>
    <x v="0"/>
    <x v="1"/>
    <m/>
    <n v="4"/>
    <s v="Benefits"/>
    <x v="56"/>
    <n v="54781"/>
    <n v="21.75"/>
  </r>
  <r>
    <x v="0"/>
    <x v="1"/>
    <m/>
    <n v="5"/>
    <s v="Benefits"/>
    <x v="57"/>
    <n v="321"/>
    <n v="321"/>
  </r>
  <r>
    <x v="0"/>
    <x v="1"/>
    <m/>
    <n v="6"/>
    <s v="Benefits"/>
    <x v="58"/>
    <n v="359803.00800000003"/>
    <n v="359803.00800000003"/>
  </r>
  <r>
    <x v="0"/>
    <x v="1"/>
    <m/>
    <n v="7"/>
    <s v="Purchased Professional Services"/>
    <x v="59"/>
    <n v="13000"/>
    <n v="17229.5"/>
  </r>
  <r>
    <x v="0"/>
    <x v="1"/>
    <m/>
    <n v="8"/>
    <s v="Purchased Professional Services"/>
    <x v="60"/>
    <n v="45400"/>
    <n v="12770.1"/>
  </r>
  <r>
    <x v="0"/>
    <x v="1"/>
    <m/>
    <n v="9"/>
    <s v="Purchased Professional Services"/>
    <x v="61"/>
    <m/>
    <n v="596.4"/>
  </r>
  <r>
    <x v="0"/>
    <x v="1"/>
    <m/>
    <n v="10"/>
    <s v="Salaries"/>
    <x v="62"/>
    <n v="207000"/>
    <n v="207000"/>
  </r>
  <r>
    <x v="0"/>
    <x v="1"/>
    <m/>
    <n v="11"/>
    <s v="Benefits"/>
    <x v="63"/>
    <n v="3002"/>
    <n v="3001.5"/>
  </r>
  <r>
    <x v="0"/>
    <x v="1"/>
    <m/>
    <n v="12"/>
    <s v="Benefits"/>
    <x v="64"/>
    <n v="44298"/>
    <n v="44298"/>
  </r>
  <r>
    <x v="0"/>
    <x v="1"/>
    <m/>
    <n v="13"/>
    <s v="Salaries"/>
    <x v="65"/>
    <n v="715000"/>
    <n v="805000"/>
  </r>
  <r>
    <x v="0"/>
    <x v="1"/>
    <m/>
    <n v="14"/>
    <s v="Salaries"/>
    <x v="66"/>
    <n v="0"/>
    <n v="0"/>
  </r>
  <r>
    <x v="0"/>
    <x v="1"/>
    <m/>
    <n v="15"/>
    <s v="Salaries"/>
    <x v="67"/>
    <n v="20000"/>
    <n v="20000"/>
  </r>
  <r>
    <x v="0"/>
    <x v="1"/>
    <m/>
    <n v="16"/>
    <s v="Benefits"/>
    <x v="68"/>
    <n v="10368"/>
    <n v="11672.5"/>
  </r>
  <r>
    <x v="0"/>
    <x v="1"/>
    <m/>
    <n v="17"/>
    <s v="Benefits"/>
    <x v="69"/>
    <n v="153010"/>
    <n v="172270"/>
  </r>
  <r>
    <x v="0"/>
    <x v="1"/>
    <m/>
    <n v="18"/>
    <s v="Benefits"/>
    <x v="22"/>
    <m/>
    <m/>
  </r>
  <r>
    <x v="0"/>
    <x v="1"/>
    <m/>
    <n v="19"/>
    <s v="Dues &amp; Fees/Interest"/>
    <x v="70"/>
    <n v="10000"/>
    <n v="10000"/>
  </r>
  <r>
    <x v="0"/>
    <x v="1"/>
    <m/>
    <n v="20"/>
    <s v="Dues &amp; Fees/Interest"/>
    <x v="71"/>
    <n v="5000"/>
    <n v="5000"/>
  </r>
  <r>
    <x v="0"/>
    <x v="1"/>
    <m/>
    <n v="21"/>
    <s v="Materials and Equipment"/>
    <x v="72"/>
    <n v="0"/>
    <n v="40000"/>
  </r>
  <r>
    <x v="0"/>
    <x v="1"/>
    <m/>
    <n v="22"/>
    <s v="Materials and Equipment"/>
    <x v="73"/>
    <n v="0"/>
    <n v="0"/>
  </r>
  <r>
    <x v="0"/>
    <x v="1"/>
    <m/>
    <n v="23"/>
    <s v="Materials and Equipment"/>
    <x v="74"/>
    <n v="30000"/>
    <n v="30000"/>
  </r>
  <r>
    <x v="0"/>
    <x v="1"/>
    <m/>
    <n v="24"/>
    <s v="Materials and Equipment"/>
    <x v="75"/>
    <n v="0"/>
    <n v="50000"/>
  </r>
  <r>
    <x v="0"/>
    <x v="1"/>
    <m/>
    <n v="25"/>
    <s v="Materials and Equipment"/>
    <x v="76"/>
    <n v="10000"/>
    <n v="10000"/>
  </r>
  <r>
    <x v="0"/>
    <x v="1"/>
    <m/>
    <n v="26"/>
    <s v="Materials and Equipment"/>
    <x v="77"/>
    <n v="10000"/>
    <n v="10000"/>
  </r>
  <r>
    <x v="0"/>
    <x v="1"/>
    <m/>
    <n v="27"/>
    <s v="Materials and Equipment"/>
    <x v="78"/>
    <n v="15000"/>
    <n v="15000"/>
  </r>
  <r>
    <x v="0"/>
    <x v="1"/>
    <m/>
    <n v="28"/>
    <s v="Materials and Equipment"/>
    <x v="79"/>
    <n v="0"/>
    <n v="0"/>
  </r>
  <r>
    <x v="0"/>
    <x v="1"/>
    <m/>
    <n v="29"/>
    <s v="Materials and Supplies"/>
    <x v="80"/>
    <n v="0"/>
    <n v="0"/>
  </r>
  <r>
    <x v="0"/>
    <x v="1"/>
    <m/>
    <n v="30"/>
    <s v="Materials and Supplies"/>
    <x v="81"/>
    <n v="40000"/>
    <n v="40000"/>
  </r>
  <r>
    <x v="0"/>
    <x v="1"/>
    <m/>
    <n v="31"/>
    <s v="Materials and Supplies"/>
    <x v="82"/>
    <n v="40000"/>
    <n v="40000"/>
  </r>
  <r>
    <x v="0"/>
    <x v="1"/>
    <m/>
    <n v="32"/>
    <s v="Materials and Supplies"/>
    <x v="83"/>
    <n v="80000"/>
    <n v="80000"/>
  </r>
  <r>
    <x v="0"/>
    <x v="1"/>
    <m/>
    <n v="33"/>
    <s v="Materials and Supplies"/>
    <x v="84"/>
    <n v="22000"/>
    <n v="22000"/>
  </r>
  <r>
    <x v="0"/>
    <x v="1"/>
    <m/>
    <n v="34"/>
    <s v="Materials and Supplies"/>
    <x v="85"/>
    <n v="5000"/>
    <n v="5000"/>
  </r>
  <r>
    <x v="0"/>
    <x v="1"/>
    <m/>
    <n v="35"/>
    <s v="Materials and Supplies"/>
    <x v="86"/>
    <n v="0"/>
    <n v="0"/>
  </r>
  <r>
    <x v="0"/>
    <x v="1"/>
    <m/>
    <n v="36"/>
    <s v="Materials and Supplies"/>
    <x v="87"/>
    <n v="40000"/>
    <n v="40000"/>
  </r>
  <r>
    <x v="0"/>
    <x v="1"/>
    <m/>
    <n v="37"/>
    <s v="Materials and Supplies"/>
    <x v="88"/>
    <n v="40000"/>
    <n v="40000"/>
  </r>
  <r>
    <x v="0"/>
    <x v="1"/>
    <m/>
    <n v="38"/>
    <s v="Materials and Supplies"/>
    <x v="89"/>
    <n v="40000"/>
    <n v="40000"/>
  </r>
  <r>
    <x v="0"/>
    <x v="1"/>
    <m/>
    <n v="39"/>
    <s v="Materials and Supplies"/>
    <x v="90"/>
    <n v="115000"/>
    <n v="115000"/>
  </r>
  <r>
    <x v="0"/>
    <x v="1"/>
    <m/>
    <n v="40"/>
    <s v="Materials and Supplies"/>
    <x v="91"/>
    <n v="0"/>
    <n v="0"/>
  </r>
  <r>
    <x v="0"/>
    <x v="1"/>
    <m/>
    <n v="41"/>
    <s v="Materials and Supplies"/>
    <x v="92"/>
    <n v="0"/>
    <n v="0"/>
  </r>
  <r>
    <x v="0"/>
    <x v="1"/>
    <m/>
    <n v="42"/>
    <s v="Dues &amp; Fees/Interest"/>
    <x v="93"/>
    <n v="6500"/>
    <n v="6500"/>
  </r>
  <r>
    <x v="0"/>
    <x v="1"/>
    <m/>
    <n v="43"/>
    <s v="Dues &amp; Fees/Interest"/>
    <x v="94"/>
    <n v="514788"/>
    <n v="514788"/>
  </r>
  <r>
    <x v="0"/>
    <x v="1"/>
    <m/>
    <n v="44"/>
    <s v="Dues &amp; Fees/Interest"/>
    <x v="95"/>
    <n v="12288"/>
    <n v="12288"/>
  </r>
  <r>
    <x v="0"/>
    <x v="1"/>
    <m/>
    <n v="45"/>
    <s v="Dues &amp; Fees/Interest"/>
    <x v="96"/>
    <n v="0"/>
    <n v="0"/>
  </r>
  <r>
    <x v="0"/>
    <x v="1"/>
    <m/>
    <n v="46"/>
    <s v="Other Purchased Services"/>
    <x v="97"/>
    <n v="161000"/>
    <n v="161000"/>
  </r>
  <r>
    <x v="0"/>
    <x v="1"/>
    <m/>
    <n v="47"/>
    <s v="Other Purchased Services"/>
    <x v="98"/>
    <n v="221000"/>
    <n v="221000"/>
  </r>
  <r>
    <x v="0"/>
    <x v="1"/>
    <m/>
    <n v="48"/>
    <s v="Other Purchased Services"/>
    <x v="99"/>
    <n v="1700000"/>
    <n v="1700000"/>
  </r>
  <r>
    <x v="0"/>
    <x v="1"/>
    <m/>
    <n v="49"/>
    <s v="Other Purchased Services"/>
    <x v="100"/>
    <n v="2000"/>
    <n v="2000"/>
  </r>
  <r>
    <x v="0"/>
    <x v="1"/>
    <m/>
    <n v="50"/>
    <s v="Other Purchased Services"/>
    <x v="101"/>
    <n v="30000"/>
    <n v="30000"/>
  </r>
  <r>
    <x v="0"/>
    <x v="1"/>
    <m/>
    <n v="51"/>
    <s v="Other Purchased Services"/>
    <x v="102"/>
    <n v="80000"/>
    <n v="80000"/>
  </r>
  <r>
    <x v="0"/>
    <x v="1"/>
    <m/>
    <n v="52"/>
    <s v="Other Purchased Services"/>
    <x v="103"/>
    <n v="15000"/>
    <n v="15000"/>
  </r>
  <r>
    <x v="0"/>
    <x v="1"/>
    <m/>
    <n v="53"/>
    <s v="Other Purchased Services"/>
    <x v="104"/>
    <n v="250000"/>
    <n v="250000"/>
  </r>
  <r>
    <x v="0"/>
    <x v="1"/>
    <m/>
    <n v="54"/>
    <s v="Other Purchased Services"/>
    <x v="105"/>
    <n v="0"/>
    <n v="0"/>
  </r>
  <r>
    <x v="0"/>
    <x v="1"/>
    <m/>
    <n v="55"/>
    <s v="Other Purchased Services"/>
    <x v="106"/>
    <n v="7400"/>
    <n v="7400"/>
  </r>
  <r>
    <x v="0"/>
    <x v="1"/>
    <m/>
    <n v="56"/>
    <s v="Other Purchased Services"/>
    <x v="107"/>
    <n v="0"/>
    <n v="0"/>
  </r>
  <r>
    <x v="0"/>
    <x v="1"/>
    <m/>
    <n v="57"/>
    <s v="Other Purchased Services"/>
    <x v="108"/>
    <n v="45000"/>
    <n v="45000"/>
  </r>
  <r>
    <x v="0"/>
    <x v="1"/>
    <m/>
    <n v="58"/>
    <s v="Other Purchased Services"/>
    <x v="109"/>
    <n v="0"/>
    <n v="0"/>
  </r>
  <r>
    <x v="0"/>
    <x v="1"/>
    <m/>
    <n v="59"/>
    <s v="Other Purchased Services"/>
    <x v="110"/>
    <n v="65000"/>
    <n v="65000"/>
  </r>
  <r>
    <x v="0"/>
    <x v="1"/>
    <m/>
    <n v="60"/>
    <s v="Other Purchased Services"/>
    <x v="111"/>
    <n v="8700"/>
    <n v="8700"/>
  </r>
  <r>
    <x v="4"/>
    <x v="0"/>
    <n v="1"/>
    <n v="1"/>
    <s v="Beginning Balance"/>
    <x v="0"/>
    <n v="280209"/>
    <n v="133869"/>
  </r>
  <r>
    <x v="4"/>
    <x v="0"/>
    <n v="1"/>
    <n v="2"/>
    <s v="Local/Other Sources"/>
    <x v="1"/>
    <n v="10000"/>
    <n v="10000"/>
  </r>
  <r>
    <x v="4"/>
    <x v="0"/>
    <n v="1"/>
    <n v="3"/>
    <s v="Grants &amp; Contributions "/>
    <x v="2"/>
    <n v="400000"/>
    <n v="200000"/>
  </r>
  <r>
    <x v="4"/>
    <x v="0"/>
    <n v="1"/>
    <n v="4"/>
    <s v="Grants &amp; Contributions "/>
    <x v="3"/>
    <n v="100000"/>
    <n v="300000"/>
  </r>
  <r>
    <x v="4"/>
    <x v="0"/>
    <n v="1"/>
    <n v="5"/>
    <s v="State Sources"/>
    <x v="4"/>
    <n v="80000"/>
    <n v="62196"/>
  </r>
  <r>
    <x v="4"/>
    <x v="0"/>
    <n v="1"/>
    <n v="6"/>
    <s v="State Sources"/>
    <x v="5"/>
    <n v="32193"/>
    <n v="29640"/>
  </r>
  <r>
    <x v="4"/>
    <x v="0"/>
    <n v="1"/>
    <n v="7"/>
    <s v="State Sources"/>
    <x v="6"/>
    <n v="500"/>
    <n v="780.97"/>
  </r>
  <r>
    <x v="4"/>
    <x v="0"/>
    <n v="1"/>
    <n v="8"/>
    <s v="State Sources"/>
    <x v="7"/>
    <n v="8000"/>
    <n v="0"/>
  </r>
  <r>
    <x v="4"/>
    <x v="0"/>
    <n v="1"/>
    <n v="9"/>
    <s v="State Sources"/>
    <x v="8"/>
    <n v="9878"/>
    <n v="6388.23"/>
  </r>
  <r>
    <x v="4"/>
    <x v="0"/>
    <n v="1"/>
    <n v="10"/>
    <s v="State Sources"/>
    <x v="9"/>
    <n v="19000"/>
    <n v="18391.07"/>
  </r>
  <r>
    <x v="4"/>
    <x v="0"/>
    <n v="1"/>
    <n v="11"/>
    <s v="State Sources"/>
    <x v="10"/>
    <n v="630"/>
    <n v="630"/>
  </r>
  <r>
    <x v="4"/>
    <x v="0"/>
    <n v="1"/>
    <n v="12"/>
    <s v="Federal Sources"/>
    <x v="11"/>
    <m/>
    <m/>
  </r>
  <r>
    <x v="5"/>
    <x v="0"/>
    <n v="1"/>
    <n v="5"/>
    <s v="Federal Sources"/>
    <x v="15"/>
    <n v="79530"/>
    <n v="79530"/>
  </r>
  <r>
    <x v="0"/>
    <x v="0"/>
    <n v="1"/>
    <n v="14"/>
    <s v="Federal Sources"/>
    <x v="112"/>
    <n v="0"/>
    <n v="0"/>
  </r>
  <r>
    <x v="4"/>
    <x v="0"/>
    <n v="1"/>
    <n v="14"/>
    <s v="Federal Sources"/>
    <x v="112"/>
    <n v="0"/>
    <n v="0"/>
  </r>
  <r>
    <x v="1"/>
    <x v="0"/>
    <n v="1"/>
    <n v="14"/>
    <s v="Federal Sources"/>
    <x v="112"/>
    <n v="200"/>
    <n v="0"/>
  </r>
  <r>
    <x v="4"/>
    <x v="0"/>
    <n v="1"/>
    <n v="13"/>
    <s v="Federal Sources"/>
    <x v="113"/>
    <n v="44781"/>
    <n v="44781"/>
  </r>
  <r>
    <x v="4"/>
    <x v="0"/>
    <n v="1"/>
    <n v="15"/>
    <s v="Federal Sources"/>
    <x v="114"/>
    <n v="707"/>
    <n v="707"/>
  </r>
  <r>
    <x v="4"/>
    <x v="0"/>
    <n v="1"/>
    <n v="19"/>
    <s v="Federal Sources"/>
    <x v="16"/>
    <n v="32000"/>
    <n v="33553.25"/>
  </r>
  <r>
    <x v="4"/>
    <x v="0"/>
    <n v="1"/>
    <n v="20"/>
    <s v="Federal Sources"/>
    <x v="115"/>
    <n v="0"/>
    <n v="8737.9599999999991"/>
  </r>
  <r>
    <x v="4"/>
    <x v="0"/>
    <n v="1"/>
    <n v="21"/>
    <s v="State`"/>
    <x v="116"/>
    <n v="0"/>
    <n v="1483.88"/>
  </r>
  <r>
    <x v="4"/>
    <x v="0"/>
    <n v="1"/>
    <n v="22"/>
    <s v="Federal Sources"/>
    <x v="17"/>
    <m/>
    <n v="123376.48"/>
  </r>
  <r>
    <x v="4"/>
    <x v="0"/>
    <n v="1"/>
    <n v="23"/>
    <s v="Federal Sources"/>
    <x v="18"/>
    <n v="17544"/>
    <n v="17544"/>
  </r>
  <r>
    <x v="4"/>
    <x v="0"/>
    <n v="1"/>
    <n v="24"/>
    <s v="Federal Sources"/>
    <x v="19"/>
    <n v="81922"/>
    <n v="81922"/>
  </r>
  <r>
    <x v="4"/>
    <x v="0"/>
    <n v="1"/>
    <n v="27"/>
    <s v="State Sources"/>
    <x v="20"/>
    <n v="130000"/>
    <n v="176533.81"/>
  </r>
  <r>
    <x v="4"/>
    <x v="0"/>
    <n v="1"/>
    <n v="28"/>
    <s v="State Sources"/>
    <x v="21"/>
    <n v="2120944"/>
    <n v="2004631.17"/>
  </r>
  <r>
    <x v="4"/>
    <x v="0"/>
    <n v="1"/>
    <n v="29"/>
    <s v="State Sources"/>
    <x v="22"/>
    <n v="35160"/>
    <n v="31963.265457248606"/>
  </r>
  <r>
    <x v="4"/>
    <x v="1"/>
    <n v="2"/>
    <n v="1"/>
    <s v="Salaries"/>
    <x v="117"/>
    <n v="1410000"/>
    <n v="1339000"/>
  </r>
  <r>
    <x v="4"/>
    <x v="1"/>
    <n v="2"/>
    <n v="2"/>
    <s v="Salaries"/>
    <x v="54"/>
    <m/>
    <m/>
  </r>
  <r>
    <x v="4"/>
    <x v="1"/>
    <n v="2"/>
    <n v="3"/>
    <s v="Salaries"/>
    <x v="55"/>
    <n v="47280"/>
    <n v="53560"/>
  </r>
  <r>
    <x v="4"/>
    <x v="1"/>
    <n v="2"/>
    <n v="4"/>
    <s v="Benefits"/>
    <x v="118"/>
    <n v="20445"/>
    <n v="19415.5"/>
  </r>
  <r>
    <x v="4"/>
    <x v="1"/>
    <n v="2"/>
    <n v="5"/>
    <s v="Benefits"/>
    <x v="57"/>
    <n v="301740"/>
    <n v="286546"/>
  </r>
  <r>
    <x v="4"/>
    <x v="1"/>
    <n v="2"/>
    <n v="6"/>
    <s v="Benefits"/>
    <x v="58"/>
    <n v="131758.84800000003"/>
    <n v="0"/>
  </r>
  <r>
    <x v="4"/>
    <x v="1"/>
    <n v="2"/>
    <n v="7"/>
    <s v="Purchased Professional Services"/>
    <x v="59"/>
    <n v="4300"/>
    <n v="28713.000000000004"/>
  </r>
  <r>
    <x v="4"/>
    <x v="1"/>
    <n v="2"/>
    <n v="8"/>
    <s v="Purchased Professional Services"/>
    <x v="60"/>
    <n v="8600"/>
    <n v="21281.4"/>
  </r>
  <r>
    <x v="4"/>
    <x v="1"/>
    <n v="2"/>
    <n v="9"/>
    <s v="Purchased Professional Services"/>
    <x v="61"/>
    <m/>
    <n v="218.4"/>
  </r>
  <r>
    <x v="4"/>
    <x v="1"/>
    <n v="2"/>
    <n v="10"/>
    <s v="Salaries"/>
    <x v="62"/>
    <m/>
    <n v="0"/>
  </r>
  <r>
    <x v="4"/>
    <x v="1"/>
    <n v="2"/>
    <n v="11"/>
    <s v="Benefits"/>
    <x v="63"/>
    <n v="0"/>
    <n v="0"/>
  </r>
  <r>
    <x v="4"/>
    <x v="1"/>
    <n v="2"/>
    <n v="12"/>
    <s v="Benefits"/>
    <x v="64"/>
    <m/>
    <n v="0"/>
  </r>
  <r>
    <x v="4"/>
    <x v="1"/>
    <n v="2"/>
    <n v="13"/>
    <s v="Salaries"/>
    <x v="65"/>
    <n v="255000"/>
    <n v="350000"/>
  </r>
  <r>
    <x v="4"/>
    <x v="1"/>
    <n v="2"/>
    <n v="14"/>
    <s v="Salaries"/>
    <x v="66"/>
    <m/>
    <m/>
  </r>
  <r>
    <x v="4"/>
    <x v="1"/>
    <n v="2"/>
    <n v="15"/>
    <s v="Salaries"/>
    <x v="67"/>
    <n v="10000"/>
    <n v="10000"/>
  </r>
  <r>
    <x v="4"/>
    <x v="1"/>
    <n v="2"/>
    <n v="16"/>
    <s v="Benefits"/>
    <x v="68"/>
    <n v="3698"/>
    <n v="5075"/>
  </r>
  <r>
    <x v="4"/>
    <x v="1"/>
    <n v="2"/>
    <n v="17"/>
    <s v="Benefits"/>
    <x v="69"/>
    <n v="54570"/>
    <n v="74900"/>
  </r>
  <r>
    <x v="4"/>
    <x v="1"/>
    <n v="2"/>
    <n v="18"/>
    <s v="Benefits"/>
    <x v="22"/>
    <n v="35160"/>
    <n v="31963.265457248606"/>
  </r>
  <r>
    <x v="4"/>
    <x v="1"/>
    <n v="2"/>
    <n v="19"/>
    <s v="Dues &amp; Fees/Interest"/>
    <x v="70"/>
    <n v="2000"/>
    <n v="2000"/>
  </r>
  <r>
    <x v="4"/>
    <x v="1"/>
    <n v="2"/>
    <n v="20"/>
    <s v="Dues &amp; Fees/Interest"/>
    <x v="71"/>
    <m/>
    <m/>
  </r>
  <r>
    <x v="4"/>
    <x v="1"/>
    <n v="2"/>
    <n v="21"/>
    <s v="Materials and Equipment"/>
    <x v="72"/>
    <m/>
    <n v="12000"/>
  </r>
  <r>
    <x v="4"/>
    <x v="1"/>
    <n v="2"/>
    <n v="22"/>
    <s v="Materials and Equipment"/>
    <x v="73"/>
    <m/>
    <m/>
  </r>
  <r>
    <x v="4"/>
    <x v="1"/>
    <n v="2"/>
    <n v="23"/>
    <s v="Materials and Equipment"/>
    <x v="74"/>
    <n v="20000"/>
    <n v="20000"/>
  </r>
  <r>
    <x v="4"/>
    <x v="1"/>
    <n v="2"/>
    <n v="24"/>
    <s v="Materials and Equipment"/>
    <x v="75"/>
    <m/>
    <m/>
  </r>
  <r>
    <x v="4"/>
    <x v="1"/>
    <n v="2"/>
    <n v="25"/>
    <s v="Materials and Equipment"/>
    <x v="76"/>
    <n v="5000"/>
    <n v="5000"/>
  </r>
  <r>
    <x v="4"/>
    <x v="1"/>
    <n v="2"/>
    <n v="26"/>
    <s v="Materials and Equipment"/>
    <x v="77"/>
    <m/>
    <m/>
  </r>
  <r>
    <x v="4"/>
    <x v="1"/>
    <n v="2"/>
    <n v="27"/>
    <s v="Materials and Equipment"/>
    <x v="78"/>
    <m/>
    <m/>
  </r>
  <r>
    <x v="4"/>
    <x v="1"/>
    <n v="2"/>
    <n v="28"/>
    <s v="Materials and Equipment"/>
    <x v="79"/>
    <m/>
    <m/>
  </r>
  <r>
    <x v="4"/>
    <x v="1"/>
    <n v="2"/>
    <n v="29"/>
    <s v="Materials and Supplies"/>
    <x v="80"/>
    <m/>
    <m/>
  </r>
  <r>
    <x v="4"/>
    <x v="1"/>
    <n v="2"/>
    <n v="30"/>
    <s v="Materials and Supplies"/>
    <x v="119"/>
    <n v="15000"/>
    <n v="15000"/>
  </r>
  <r>
    <x v="4"/>
    <x v="1"/>
    <n v="2"/>
    <n v="31"/>
    <s v="Materials and Supplies"/>
    <x v="82"/>
    <m/>
    <m/>
  </r>
  <r>
    <x v="4"/>
    <x v="1"/>
    <n v="2"/>
    <n v="32"/>
    <s v="Materials and Supplies"/>
    <x v="83"/>
    <n v="30000"/>
    <n v="30000"/>
  </r>
  <r>
    <x v="4"/>
    <x v="1"/>
    <n v="2"/>
    <n v="33"/>
    <s v="Materials and Supplies"/>
    <x v="84"/>
    <n v="5000"/>
    <n v="5000"/>
  </r>
  <r>
    <x v="4"/>
    <x v="1"/>
    <n v="2"/>
    <n v="34"/>
    <s v="Materials and Supplies"/>
    <x v="85"/>
    <n v="3000"/>
    <n v="3000"/>
  </r>
  <r>
    <x v="4"/>
    <x v="1"/>
    <n v="2"/>
    <n v="35"/>
    <s v="Materials and Supplies"/>
    <x v="86"/>
    <n v="5000"/>
    <n v="5000"/>
  </r>
  <r>
    <x v="4"/>
    <x v="1"/>
    <n v="2"/>
    <n v="36"/>
    <s v="Materials and Supplies"/>
    <x v="87"/>
    <n v="8000"/>
    <n v="8000"/>
  </r>
  <r>
    <x v="4"/>
    <x v="1"/>
    <n v="2"/>
    <n v="37"/>
    <s v="Materials and Supplies"/>
    <x v="88"/>
    <n v="8000"/>
    <n v="8000"/>
  </r>
  <r>
    <x v="4"/>
    <x v="1"/>
    <n v="2"/>
    <n v="38"/>
    <s v="Materials and Supplies"/>
    <x v="89"/>
    <n v="15000"/>
    <n v="15000"/>
  </r>
  <r>
    <x v="4"/>
    <x v="1"/>
    <n v="2"/>
    <n v="39"/>
    <s v="Materials and Supplies"/>
    <x v="90"/>
    <n v="53780"/>
    <n v="53780"/>
  </r>
  <r>
    <x v="4"/>
    <x v="1"/>
    <n v="2"/>
    <n v="40"/>
    <s v="Materials and Supplies"/>
    <x v="91"/>
    <m/>
    <m/>
  </r>
  <r>
    <x v="4"/>
    <x v="1"/>
    <n v="2"/>
    <n v="41"/>
    <s v="Materials and Supplies"/>
    <x v="92"/>
    <m/>
    <m/>
  </r>
  <r>
    <x v="4"/>
    <x v="1"/>
    <n v="2"/>
    <n v="42"/>
    <s v="Dues &amp; Fees/Interest"/>
    <x v="93"/>
    <n v="10000"/>
    <n v="10000"/>
  </r>
  <r>
    <x v="4"/>
    <x v="1"/>
    <n v="2"/>
    <n v="43"/>
    <s v="Dues &amp; Fees/Interest"/>
    <x v="94"/>
    <m/>
    <m/>
  </r>
  <r>
    <x v="4"/>
    <x v="1"/>
    <n v="2"/>
    <n v="44"/>
    <s v="Dues &amp; Fees/Interest"/>
    <x v="95"/>
    <m/>
    <m/>
  </r>
  <r>
    <x v="4"/>
    <x v="1"/>
    <n v="2"/>
    <n v="45"/>
    <s v="Dues &amp; Fees/Interest"/>
    <x v="96"/>
    <n v="20000"/>
    <n v="20046.310000000001"/>
  </r>
  <r>
    <x v="4"/>
    <x v="1"/>
    <n v="2"/>
    <n v="46"/>
    <s v="Other Purchased Services"/>
    <x v="97"/>
    <m/>
    <n v="60138.94"/>
  </r>
  <r>
    <x v="4"/>
    <x v="1"/>
    <n v="2"/>
    <n v="47"/>
    <s v="Other Purchased Services"/>
    <x v="99"/>
    <m/>
    <n v="150000"/>
  </r>
  <r>
    <x v="4"/>
    <x v="1"/>
    <n v="2"/>
    <n v="48"/>
    <s v="Other Purchased Services"/>
    <x v="100"/>
    <m/>
    <m/>
  </r>
  <r>
    <x v="4"/>
    <x v="1"/>
    <n v="2"/>
    <n v="49"/>
    <s v="Other Purchased Services"/>
    <x v="101"/>
    <m/>
    <m/>
  </r>
  <r>
    <x v="4"/>
    <x v="1"/>
    <n v="2"/>
    <n v="50"/>
    <s v="Other Purchased Services"/>
    <x v="102"/>
    <n v="40000"/>
    <n v="40000"/>
  </r>
  <r>
    <x v="4"/>
    <x v="1"/>
    <n v="2"/>
    <n v="51"/>
    <s v="Other Purchased Services"/>
    <x v="103"/>
    <n v="10000"/>
    <n v="10000"/>
  </r>
  <r>
    <x v="4"/>
    <x v="1"/>
    <n v="2"/>
    <n v="52"/>
    <s v="Other Purchased Services"/>
    <x v="120"/>
    <m/>
    <m/>
  </r>
  <r>
    <x v="4"/>
    <x v="1"/>
    <n v="2"/>
    <n v="53"/>
    <s v="Other Purchased Services"/>
    <x v="105"/>
    <m/>
    <m/>
  </r>
  <r>
    <x v="4"/>
    <x v="1"/>
    <n v="2"/>
    <n v="54"/>
    <s v="Other Purchased Services"/>
    <x v="106"/>
    <m/>
    <m/>
  </r>
  <r>
    <x v="4"/>
    <x v="1"/>
    <n v="2"/>
    <n v="55"/>
    <s v="Other Purchased Services"/>
    <x v="107"/>
    <m/>
    <m/>
  </r>
  <r>
    <x v="4"/>
    <x v="1"/>
    <n v="2"/>
    <n v="56"/>
    <s v="Other Purchased Services"/>
    <x v="108"/>
    <m/>
    <m/>
  </r>
  <r>
    <x v="4"/>
    <x v="1"/>
    <n v="2"/>
    <n v="57"/>
    <s v="Other Purchased Services"/>
    <x v="109"/>
    <m/>
    <m/>
  </r>
  <r>
    <x v="4"/>
    <x v="1"/>
    <n v="2"/>
    <n v="58"/>
    <s v="Other Purchased Services"/>
    <x v="110"/>
    <m/>
    <m/>
  </r>
  <r>
    <x v="4"/>
    <x v="1"/>
    <n v="2"/>
    <n v="59"/>
    <s v="Other Purchased Services"/>
    <x v="111"/>
    <m/>
    <m/>
  </r>
  <r>
    <x v="4"/>
    <x v="1"/>
    <n v="2"/>
    <n v="60"/>
    <s v="Purchased Professional Services"/>
    <x v="24"/>
    <m/>
    <m/>
  </r>
  <r>
    <x v="4"/>
    <x v="1"/>
    <n v="2"/>
    <n v="61"/>
    <s v="Purchased Professional Services"/>
    <x v="25"/>
    <n v="10000"/>
    <n v="10000"/>
  </r>
  <r>
    <x v="4"/>
    <x v="1"/>
    <n v="2"/>
    <n v="62"/>
    <s v="Purchased Professional Services"/>
    <x v="28"/>
    <n v="60000"/>
    <n v="60000"/>
  </r>
  <r>
    <x v="4"/>
    <x v="1"/>
    <n v="2"/>
    <n v="63"/>
    <s v="Purchased Professional Services"/>
    <x v="29"/>
    <n v="10000"/>
    <n v="10000"/>
  </r>
  <r>
    <x v="4"/>
    <x v="1"/>
    <n v="2"/>
    <n v="64"/>
    <s v="Purchased Professional Services"/>
    <x v="30"/>
    <n v="36500"/>
    <n v="36500"/>
  </r>
  <r>
    <x v="4"/>
    <x v="1"/>
    <n v="2"/>
    <n v="65"/>
    <s v="Purchased Professional Services"/>
    <x v="31"/>
    <n v="2100"/>
    <n v="2100"/>
  </r>
  <r>
    <x v="4"/>
    <x v="1"/>
    <n v="2"/>
    <n v="66"/>
    <s v="Purchased Professional Services"/>
    <x v="32"/>
    <m/>
    <m/>
  </r>
  <r>
    <x v="4"/>
    <x v="1"/>
    <n v="2"/>
    <n v="67"/>
    <s v="Purchased Professional Services"/>
    <x v="33"/>
    <n v="5000"/>
    <n v="5000"/>
  </r>
  <r>
    <x v="4"/>
    <x v="1"/>
    <n v="2"/>
    <n v="68"/>
    <s v="Purchased Professional Services"/>
    <x v="34"/>
    <m/>
    <m/>
  </r>
  <r>
    <x v="4"/>
    <x v="1"/>
    <n v="2"/>
    <n v="69"/>
    <s v="Purchased Professional Services"/>
    <x v="35"/>
    <m/>
    <m/>
  </r>
  <r>
    <x v="4"/>
    <x v="1"/>
    <n v="2"/>
    <n v="70"/>
    <s v="Purchased Professional Services"/>
    <x v="36"/>
    <n v="1550"/>
    <n v="1550"/>
  </r>
  <r>
    <x v="4"/>
    <x v="1"/>
    <n v="2"/>
    <n v="71"/>
    <s v="Purchased Professional Services"/>
    <x v="37"/>
    <n v="20000"/>
    <n v="20000"/>
  </r>
  <r>
    <x v="4"/>
    <x v="1"/>
    <n v="2"/>
    <n v="72"/>
    <s v="Purchased Professional Services"/>
    <x v="38"/>
    <m/>
    <m/>
  </r>
  <r>
    <x v="4"/>
    <x v="1"/>
    <n v="2"/>
    <n v="73"/>
    <s v="Purchased Property Services"/>
    <x v="39"/>
    <n v="28000"/>
    <n v="28000"/>
  </r>
  <r>
    <x v="4"/>
    <x v="1"/>
    <n v="2"/>
    <n v="74"/>
    <s v="Purchased Property Services"/>
    <x v="40"/>
    <m/>
    <m/>
  </r>
  <r>
    <x v="4"/>
    <x v="1"/>
    <n v="2"/>
    <n v="75"/>
    <s v="Purchased Property Services"/>
    <x v="41"/>
    <m/>
    <m/>
  </r>
  <r>
    <x v="4"/>
    <x v="1"/>
    <n v="2"/>
    <n v="76"/>
    <s v="Purchased Property Services"/>
    <x v="42"/>
    <m/>
    <m/>
  </r>
  <r>
    <x v="4"/>
    <x v="1"/>
    <n v="2"/>
    <n v="77"/>
    <s v="Purchased Property Services"/>
    <x v="43"/>
    <m/>
    <m/>
  </r>
  <r>
    <x v="4"/>
    <x v="1"/>
    <n v="2"/>
    <n v="78"/>
    <s v="Purchased Property Services"/>
    <x v="44"/>
    <n v="66000"/>
    <n v="66000"/>
  </r>
  <r>
    <x v="4"/>
    <x v="1"/>
    <n v="2"/>
    <n v="79"/>
    <s v="Purchased Property Services"/>
    <x v="45"/>
    <n v="5750"/>
    <n v="5750"/>
  </r>
  <r>
    <x v="4"/>
    <x v="1"/>
    <n v="2"/>
    <n v="80"/>
    <s v="Purchased Property Services"/>
    <x v="46"/>
    <n v="5500"/>
    <n v="5500"/>
  </r>
  <r>
    <x v="4"/>
    <x v="1"/>
    <n v="2"/>
    <n v="81"/>
    <s v="Purchased Property Services"/>
    <x v="47"/>
    <n v="8000"/>
    <n v="8000"/>
  </r>
  <r>
    <x v="4"/>
    <x v="1"/>
    <n v="2"/>
    <n v="82"/>
    <s v="Purchased Property Services"/>
    <x v="48"/>
    <n v="10000"/>
    <n v="10000"/>
  </r>
  <r>
    <x v="4"/>
    <x v="1"/>
    <n v="2"/>
    <n v="83"/>
    <s v="Purchased Property Services"/>
    <x v="121"/>
    <n v="250000"/>
    <n v="250000"/>
  </r>
  <r>
    <x v="4"/>
    <x v="1"/>
    <n v="2"/>
    <n v="84"/>
    <s v="Purchased Property Services"/>
    <x v="50"/>
    <m/>
    <m/>
  </r>
  <r>
    <x v="4"/>
    <x v="1"/>
    <n v="2"/>
    <n v="85"/>
    <s v="Purchased Property Services"/>
    <x v="51"/>
    <m/>
    <m/>
  </r>
  <r>
    <x v="4"/>
    <x v="1"/>
    <n v="2"/>
    <n v="86"/>
    <s v="Purchased Property Services"/>
    <x v="52"/>
    <m/>
    <m/>
  </r>
  <r>
    <x v="4"/>
    <x v="1"/>
    <n v="2"/>
    <n v="87"/>
    <s v="Purchased Property Services"/>
    <x v="53"/>
    <n v="4400"/>
    <n v="4400"/>
  </r>
  <r>
    <x v="1"/>
    <x v="0"/>
    <n v="1"/>
    <n v="1"/>
    <s v="Beginning Balance"/>
    <x v="0"/>
    <n v="262137"/>
    <n v="238293"/>
  </r>
  <r>
    <x v="1"/>
    <x v="0"/>
    <n v="1"/>
    <n v="2"/>
    <s v="Local/Other Sources"/>
    <x v="1"/>
    <n v="14000"/>
    <n v="14000"/>
  </r>
  <r>
    <x v="1"/>
    <x v="0"/>
    <n v="1"/>
    <n v="3"/>
    <s v="Grants &amp; Contributions "/>
    <x v="2"/>
    <n v="100000"/>
    <n v="200000"/>
  </r>
  <r>
    <x v="1"/>
    <x v="0"/>
    <n v="1"/>
    <n v="4"/>
    <s v="Grants &amp; Contributions "/>
    <x v="3"/>
    <n v="100000"/>
    <n v="300000"/>
  </r>
  <r>
    <x v="1"/>
    <x v="0"/>
    <n v="1"/>
    <n v="5"/>
    <s v="State Sources"/>
    <x v="4"/>
    <n v="120012"/>
    <n v="120012"/>
  </r>
  <r>
    <x v="1"/>
    <x v="0"/>
    <n v="1"/>
    <n v="6"/>
    <s v="State Sources"/>
    <x v="5"/>
    <n v="68444"/>
    <n v="68444"/>
  </r>
  <r>
    <x v="1"/>
    <x v="0"/>
    <n v="1"/>
    <n v="7"/>
    <s v="State Sources"/>
    <x v="6"/>
    <n v="500"/>
    <n v="500"/>
  </r>
  <r>
    <x v="1"/>
    <x v="0"/>
    <n v="1"/>
    <n v="8"/>
    <s v="State Sources"/>
    <x v="7"/>
    <n v="15000"/>
    <n v="0"/>
  </r>
  <r>
    <x v="1"/>
    <x v="0"/>
    <n v="1"/>
    <n v="9"/>
    <s v="State Sources"/>
    <x v="8"/>
    <n v="14000"/>
    <n v="8872.59"/>
  </r>
  <r>
    <x v="1"/>
    <x v="0"/>
    <n v="1"/>
    <n v="10"/>
    <s v="State Sources"/>
    <x v="9"/>
    <n v="17894"/>
    <n v="17894"/>
  </r>
  <r>
    <x v="1"/>
    <x v="0"/>
    <n v="1"/>
    <n v="11"/>
    <s v="State Sources"/>
    <x v="10"/>
    <n v="293"/>
    <n v="293"/>
  </r>
  <r>
    <x v="1"/>
    <x v="0"/>
    <n v="1"/>
    <n v="12"/>
    <s v="Federal Sources"/>
    <x v="11"/>
    <m/>
    <m/>
  </r>
  <r>
    <x v="2"/>
    <x v="0"/>
    <n v="1"/>
    <n v="7"/>
    <s v="Federal Sources"/>
    <x v="122"/>
    <n v="38422"/>
    <n v="38422"/>
  </r>
  <r>
    <x v="3"/>
    <x v="0"/>
    <n v="1"/>
    <n v="6"/>
    <s v="Federal Sources"/>
    <x v="122"/>
    <m/>
    <m/>
  </r>
  <r>
    <x v="5"/>
    <x v="0"/>
    <n v="1"/>
    <n v="6"/>
    <s v="Federal Sources"/>
    <x v="122"/>
    <n v="9000"/>
    <n v="9000"/>
  </r>
  <r>
    <x v="0"/>
    <x v="0"/>
    <n v="1"/>
    <n v="16"/>
    <s v="Federal Sources"/>
    <x v="123"/>
    <n v="35619"/>
    <n v="35619"/>
  </r>
  <r>
    <x v="1"/>
    <x v="0"/>
    <n v="1"/>
    <n v="16"/>
    <s v="Federal Sources"/>
    <x v="123"/>
    <n v="3300"/>
    <n v="3300"/>
  </r>
  <r>
    <x v="4"/>
    <x v="0"/>
    <n v="1"/>
    <n v="16"/>
    <s v="Federal Sources"/>
    <x v="124"/>
    <n v="1710"/>
    <n v="1710"/>
  </r>
  <r>
    <x v="1"/>
    <x v="0"/>
    <n v="1"/>
    <n v="19"/>
    <s v="State`"/>
    <x v="116"/>
    <n v="3763"/>
    <n v="3763"/>
  </r>
  <r>
    <x v="1"/>
    <x v="0"/>
    <n v="1"/>
    <n v="20"/>
    <s v="Federal Sources"/>
    <x v="16"/>
    <n v="68607"/>
    <n v="68607"/>
  </r>
  <r>
    <x v="1"/>
    <x v="0"/>
    <n v="1"/>
    <n v="21"/>
    <s v="Federal Sources"/>
    <x v="115"/>
    <n v="16602"/>
    <n v="16602"/>
  </r>
  <r>
    <x v="1"/>
    <x v="0"/>
    <n v="1"/>
    <n v="22"/>
    <s v="Federal Sources"/>
    <x v="17"/>
    <n v="120247"/>
    <n v="120247"/>
  </r>
  <r>
    <x v="1"/>
    <x v="0"/>
    <n v="1"/>
    <n v="23"/>
    <s v="Federal Sources"/>
    <x v="18"/>
    <n v="6727"/>
    <n v="6727"/>
  </r>
  <r>
    <x v="1"/>
    <x v="0"/>
    <n v="1"/>
    <n v="24"/>
    <s v="Federal Sources"/>
    <x v="19"/>
    <n v="132096"/>
    <n v="132096"/>
  </r>
  <r>
    <x v="1"/>
    <x v="0"/>
    <n v="1"/>
    <n v="27"/>
    <s v="State Sources"/>
    <x v="20"/>
    <n v="340674"/>
    <n v="340674"/>
  </r>
  <r>
    <x v="1"/>
    <x v="0"/>
    <n v="1"/>
    <n v="28"/>
    <s v="State Sources"/>
    <x v="21"/>
    <n v="3942410"/>
    <n v="3504364.444444444"/>
  </r>
  <r>
    <x v="1"/>
    <x v="0"/>
    <n v="1"/>
    <n v="29"/>
    <s v="State Sources"/>
    <x v="22"/>
    <n v="0"/>
    <n v="36568.315970038813"/>
  </r>
  <r>
    <x v="1"/>
    <x v="1"/>
    <n v="2"/>
    <n v="1"/>
    <s v="Salaries"/>
    <x v="125"/>
    <n v="1899000"/>
    <n v="1648000"/>
  </r>
  <r>
    <x v="1"/>
    <x v="1"/>
    <n v="2"/>
    <n v="2"/>
    <s v="Salaries"/>
    <x v="54"/>
    <m/>
    <m/>
  </r>
  <r>
    <x v="1"/>
    <x v="1"/>
    <n v="2"/>
    <n v="3"/>
    <s v="Salaries"/>
    <x v="55"/>
    <n v="57400"/>
    <n v="65920"/>
  </r>
  <r>
    <x v="1"/>
    <x v="1"/>
    <n v="2"/>
    <n v="4"/>
    <s v="Benefits"/>
    <x v="118"/>
    <n v="27535.5"/>
    <n v="23896"/>
  </r>
  <r>
    <x v="1"/>
    <x v="1"/>
    <n v="2"/>
    <n v="5"/>
    <s v="Benefits"/>
    <x v="57"/>
    <n v="406386"/>
    <n v="352672"/>
  </r>
  <r>
    <x v="1"/>
    <x v="1"/>
    <n v="2"/>
    <n v="6"/>
    <s v="Benefits"/>
    <x v="58"/>
    <n v="187502.97600000002"/>
    <n v="172300.03200000004"/>
  </r>
  <r>
    <x v="1"/>
    <x v="1"/>
    <n v="2"/>
    <n v="7"/>
    <s v="Purchased Professional Services"/>
    <x v="59"/>
    <n v="4070"/>
    <n v="35649"/>
  </r>
  <r>
    <x v="1"/>
    <x v="1"/>
    <n v="2"/>
    <n v="8"/>
    <s v="Purchased Professional Services"/>
    <x v="60"/>
    <n v="12250"/>
    <n v="26422.2"/>
  </r>
  <r>
    <x v="1"/>
    <x v="1"/>
    <n v="2"/>
    <n v="9"/>
    <s v="Purchased Professional Services"/>
    <x v="61"/>
    <m/>
    <n v="285.60000000000002"/>
  </r>
  <r>
    <x v="1"/>
    <x v="1"/>
    <n v="2"/>
    <n v="10"/>
    <s v="Salaries"/>
    <x v="62"/>
    <n v="69000"/>
    <n v="69000"/>
  </r>
  <r>
    <x v="1"/>
    <x v="1"/>
    <n v="2"/>
    <n v="11"/>
    <s v="Benefits"/>
    <x v="63"/>
    <n v="1000.5"/>
    <n v="1000.5"/>
  </r>
  <r>
    <x v="1"/>
    <x v="1"/>
    <n v="2"/>
    <n v="12"/>
    <s v="Benefits"/>
    <x v="64"/>
    <n v="14766"/>
    <n v="14766"/>
  </r>
  <r>
    <x v="1"/>
    <x v="1"/>
    <n v="2"/>
    <n v="13"/>
    <s v="Salaries"/>
    <x v="65"/>
    <n v="375000"/>
    <n v="380000"/>
  </r>
  <r>
    <x v="1"/>
    <x v="1"/>
    <n v="2"/>
    <n v="14"/>
    <s v="Salaries"/>
    <x v="66"/>
    <m/>
    <m/>
  </r>
  <r>
    <x v="1"/>
    <x v="1"/>
    <n v="2"/>
    <n v="15"/>
    <s v="Salaries"/>
    <x v="67"/>
    <n v="10000"/>
    <n v="10000"/>
  </r>
  <r>
    <x v="1"/>
    <x v="1"/>
    <n v="2"/>
    <n v="16"/>
    <s v="Benefits"/>
    <x v="68"/>
    <n v="5437.5"/>
    <n v="5510"/>
  </r>
  <r>
    <x v="1"/>
    <x v="1"/>
    <n v="2"/>
    <n v="17"/>
    <s v="Benefits"/>
    <x v="69"/>
    <n v="80250"/>
    <n v="81320"/>
  </r>
  <r>
    <x v="1"/>
    <x v="1"/>
    <n v="2"/>
    <n v="18"/>
    <s v="Benefits"/>
    <x v="22"/>
    <n v="0"/>
    <n v="36568.315970038813"/>
  </r>
  <r>
    <x v="1"/>
    <x v="1"/>
    <n v="2"/>
    <n v="19"/>
    <s v="Dues &amp; Fees/Interest"/>
    <x v="70"/>
    <n v="2600"/>
    <n v="2600"/>
  </r>
  <r>
    <x v="1"/>
    <x v="1"/>
    <n v="2"/>
    <n v="20"/>
    <s v="Dues &amp; Fees/Interest"/>
    <x v="71"/>
    <m/>
    <m/>
  </r>
  <r>
    <x v="1"/>
    <x v="1"/>
    <n v="2"/>
    <n v="21"/>
    <s v="Materials and Equipment"/>
    <x v="72"/>
    <n v="94006"/>
    <n v="94006"/>
  </r>
  <r>
    <x v="1"/>
    <x v="1"/>
    <n v="2"/>
    <n v="22"/>
    <s v="Materials and Equipment"/>
    <x v="73"/>
    <m/>
    <m/>
  </r>
  <r>
    <x v="1"/>
    <x v="1"/>
    <n v="2"/>
    <n v="23"/>
    <s v="Materials and Equipment"/>
    <x v="74"/>
    <n v="30000"/>
    <n v="30000"/>
  </r>
  <r>
    <x v="1"/>
    <x v="1"/>
    <n v="2"/>
    <n v="24"/>
    <s v="Materials and Equipment"/>
    <x v="75"/>
    <m/>
    <m/>
  </r>
  <r>
    <x v="1"/>
    <x v="1"/>
    <n v="2"/>
    <n v="25"/>
    <s v="Materials and Equipment"/>
    <x v="76"/>
    <n v="10000"/>
    <n v="10000"/>
  </r>
  <r>
    <x v="1"/>
    <x v="1"/>
    <n v="2"/>
    <n v="26"/>
    <s v="Materials and Equipment"/>
    <x v="77"/>
    <n v="20000"/>
    <n v="20000"/>
  </r>
  <r>
    <x v="1"/>
    <x v="1"/>
    <n v="2"/>
    <n v="27"/>
    <s v="Materials and Equipment"/>
    <x v="78"/>
    <n v="5000"/>
    <n v="5000"/>
  </r>
  <r>
    <x v="1"/>
    <x v="1"/>
    <n v="2"/>
    <n v="28"/>
    <s v="Materials and Equipment"/>
    <x v="79"/>
    <m/>
    <m/>
  </r>
  <r>
    <x v="1"/>
    <x v="1"/>
    <n v="2"/>
    <n v="29"/>
    <s v="Materials and Supplies"/>
    <x v="80"/>
    <n v="5000"/>
    <n v="5000"/>
  </r>
  <r>
    <x v="1"/>
    <x v="1"/>
    <n v="2"/>
    <n v="30"/>
    <s v="Materials and Supplies"/>
    <x v="126"/>
    <n v="30000"/>
    <n v="30000"/>
  </r>
  <r>
    <x v="1"/>
    <x v="1"/>
    <n v="2"/>
    <n v="31"/>
    <s v="Materials and Supplies"/>
    <x v="82"/>
    <n v="20000"/>
    <n v="20000"/>
  </r>
  <r>
    <x v="1"/>
    <x v="1"/>
    <n v="2"/>
    <n v="32"/>
    <s v="Materials and Supplies"/>
    <x v="83"/>
    <n v="50000"/>
    <n v="50000"/>
  </r>
  <r>
    <x v="1"/>
    <x v="1"/>
    <n v="2"/>
    <n v="33"/>
    <s v="Materials and Supplies"/>
    <x v="84"/>
    <n v="5000"/>
    <n v="5000"/>
  </r>
  <r>
    <x v="1"/>
    <x v="1"/>
    <n v="2"/>
    <n v="34"/>
    <s v="Materials and Supplies"/>
    <x v="85"/>
    <n v="2000"/>
    <n v="2000"/>
  </r>
  <r>
    <x v="1"/>
    <x v="1"/>
    <n v="2"/>
    <n v="35"/>
    <s v="Materials and Supplies"/>
    <x v="86"/>
    <n v="5000"/>
    <n v="5000"/>
  </r>
  <r>
    <x v="1"/>
    <x v="1"/>
    <n v="2"/>
    <n v="36"/>
    <s v="Materials and Supplies"/>
    <x v="87"/>
    <n v="40000"/>
    <n v="40000"/>
  </r>
  <r>
    <x v="1"/>
    <x v="1"/>
    <n v="2"/>
    <n v="37"/>
    <s v="Materials and Supplies"/>
    <x v="88"/>
    <m/>
    <m/>
  </r>
  <r>
    <x v="1"/>
    <x v="1"/>
    <n v="2"/>
    <n v="38"/>
    <s v="Materials and Supplies"/>
    <x v="89"/>
    <n v="15000"/>
    <n v="15000"/>
  </r>
  <r>
    <x v="1"/>
    <x v="1"/>
    <n v="2"/>
    <n v="39"/>
    <s v="Materials and Supplies"/>
    <x v="90"/>
    <n v="65000"/>
    <n v="65000"/>
  </r>
  <r>
    <x v="1"/>
    <x v="1"/>
    <n v="2"/>
    <n v="40"/>
    <s v="Materials and Supplies"/>
    <x v="91"/>
    <n v="550"/>
    <n v="550"/>
  </r>
  <r>
    <x v="1"/>
    <x v="1"/>
    <n v="2"/>
    <n v="41"/>
    <s v="Materials and Supplies"/>
    <x v="92"/>
    <n v="500"/>
    <n v="500"/>
  </r>
  <r>
    <x v="1"/>
    <x v="1"/>
    <n v="2"/>
    <n v="42"/>
    <s v="Dues &amp; Fees/Interest"/>
    <x v="93"/>
    <n v="6800"/>
    <n v="6800"/>
  </r>
  <r>
    <x v="1"/>
    <x v="1"/>
    <n v="2"/>
    <n v="43"/>
    <s v="Dues &amp; Fees/Interest"/>
    <x v="94"/>
    <m/>
    <m/>
  </r>
  <r>
    <x v="1"/>
    <x v="1"/>
    <n v="2"/>
    <n v="45"/>
    <s v="Dues &amp; Fees/Interest"/>
    <x v="127"/>
    <n v="30000"/>
    <n v="35043.644444444442"/>
  </r>
  <r>
    <x v="1"/>
    <x v="1"/>
    <n v="2"/>
    <n v="46"/>
    <s v="Other Purchased Services"/>
    <x v="97"/>
    <n v="104160"/>
    <n v="105130.93333333332"/>
  </r>
  <r>
    <x v="1"/>
    <x v="1"/>
    <n v="2"/>
    <n v="47"/>
    <s v="Other Purchased Services"/>
    <x v="128"/>
    <m/>
    <m/>
  </r>
  <r>
    <x v="1"/>
    <x v="1"/>
    <n v="2"/>
    <n v="48"/>
    <s v="Other Purchased Services"/>
    <x v="99"/>
    <n v="100000"/>
    <n v="300000"/>
  </r>
  <r>
    <x v="1"/>
    <x v="1"/>
    <n v="2"/>
    <n v="49"/>
    <s v="Other Purchased Services"/>
    <x v="100"/>
    <m/>
    <m/>
  </r>
  <r>
    <x v="1"/>
    <x v="1"/>
    <n v="2"/>
    <n v="50"/>
    <s v="Other Purchased Services"/>
    <x v="101"/>
    <n v="30000"/>
    <n v="30000"/>
  </r>
  <r>
    <x v="1"/>
    <x v="1"/>
    <n v="2"/>
    <n v="51"/>
    <s v="Other Purchased Services"/>
    <x v="102"/>
    <n v="60000"/>
    <n v="60000"/>
  </r>
  <r>
    <x v="1"/>
    <x v="1"/>
    <n v="2"/>
    <n v="52"/>
    <s v="Other Purchased Services"/>
    <x v="103"/>
    <n v="15000"/>
    <n v="15000"/>
  </r>
  <r>
    <x v="1"/>
    <x v="1"/>
    <n v="2"/>
    <n v="53"/>
    <s v="Other Purchased Services"/>
    <x v="120"/>
    <n v="200000"/>
    <n v="200000"/>
  </r>
  <r>
    <x v="1"/>
    <x v="1"/>
    <n v="2"/>
    <n v="54"/>
    <s v="Other Purchased Services"/>
    <x v="105"/>
    <m/>
    <m/>
  </r>
  <r>
    <x v="1"/>
    <x v="1"/>
    <n v="2"/>
    <n v="55"/>
    <s v="Other Purchased Services"/>
    <x v="106"/>
    <n v="3000"/>
    <n v="3000"/>
  </r>
  <r>
    <x v="1"/>
    <x v="1"/>
    <n v="2"/>
    <n v="56"/>
    <s v="Other Purchased Services"/>
    <x v="107"/>
    <m/>
    <m/>
  </r>
  <r>
    <x v="1"/>
    <x v="1"/>
    <n v="2"/>
    <n v="57"/>
    <s v="Other Purchased Services"/>
    <x v="108"/>
    <m/>
    <m/>
  </r>
  <r>
    <x v="1"/>
    <x v="1"/>
    <n v="2"/>
    <n v="58"/>
    <s v="Other Purchased Services"/>
    <x v="109"/>
    <m/>
    <m/>
  </r>
  <r>
    <x v="1"/>
    <x v="1"/>
    <n v="2"/>
    <n v="59"/>
    <s v="Other Purchased Services"/>
    <x v="110"/>
    <m/>
    <m/>
  </r>
  <r>
    <x v="1"/>
    <x v="1"/>
    <n v="2"/>
    <n v="60"/>
    <s v="Other Purchased Services"/>
    <x v="111"/>
    <m/>
    <m/>
  </r>
  <r>
    <x v="1"/>
    <x v="1"/>
    <n v="2"/>
    <n v="61"/>
    <s v="Purchased Professional Services"/>
    <x v="24"/>
    <m/>
    <m/>
  </r>
  <r>
    <x v="1"/>
    <x v="1"/>
    <n v="2"/>
    <n v="62"/>
    <s v="Purchased Professional Services"/>
    <x v="25"/>
    <n v="34330"/>
    <n v="34330"/>
  </r>
  <r>
    <x v="1"/>
    <x v="1"/>
    <n v="2"/>
    <n v="63"/>
    <s v="Purchased Professional Services"/>
    <x v="28"/>
    <n v="140000"/>
    <n v="140000"/>
  </r>
  <r>
    <x v="1"/>
    <x v="1"/>
    <n v="2"/>
    <n v="64"/>
    <s v="Purchased Professional Services"/>
    <x v="29"/>
    <n v="10000"/>
    <n v="10000"/>
  </r>
  <r>
    <x v="1"/>
    <x v="1"/>
    <n v="2"/>
    <n v="65"/>
    <s v="Purchased Professional Services"/>
    <x v="30"/>
    <n v="30000"/>
    <n v="30000"/>
  </r>
  <r>
    <x v="1"/>
    <x v="1"/>
    <n v="2"/>
    <n v="66"/>
    <s v="Purchased Professional Services"/>
    <x v="31"/>
    <n v="20000"/>
    <n v="20000"/>
  </r>
  <r>
    <x v="1"/>
    <x v="1"/>
    <n v="2"/>
    <n v="67"/>
    <s v="Purchased Professional Services"/>
    <x v="32"/>
    <m/>
    <m/>
  </r>
  <r>
    <x v="1"/>
    <x v="1"/>
    <n v="2"/>
    <n v="68"/>
    <s v="Purchased Professional Services"/>
    <x v="33"/>
    <n v="5000"/>
    <n v="5000"/>
  </r>
  <r>
    <x v="1"/>
    <x v="1"/>
    <n v="2"/>
    <n v="69"/>
    <s v="Purchased Professional Services"/>
    <x v="34"/>
    <n v="500"/>
    <n v="500"/>
  </r>
  <r>
    <x v="1"/>
    <x v="1"/>
    <n v="2"/>
    <n v="70"/>
    <s v="Purchased Professional Services"/>
    <x v="35"/>
    <m/>
    <m/>
  </r>
  <r>
    <x v="1"/>
    <x v="1"/>
    <n v="2"/>
    <n v="71"/>
    <s v="Purchased Professional Services"/>
    <x v="36"/>
    <n v="3000"/>
    <n v="3000"/>
  </r>
  <r>
    <x v="1"/>
    <x v="1"/>
    <n v="2"/>
    <n v="72"/>
    <s v="Purchased Professional Services"/>
    <x v="37"/>
    <n v="32000"/>
    <n v="32000"/>
  </r>
  <r>
    <x v="1"/>
    <x v="1"/>
    <n v="2"/>
    <n v="73"/>
    <s v="Purchased Professional Services"/>
    <x v="38"/>
    <m/>
    <m/>
  </r>
  <r>
    <x v="1"/>
    <x v="1"/>
    <n v="2"/>
    <n v="74"/>
    <s v="Purchased Property Services"/>
    <x v="39"/>
    <n v="63000"/>
    <n v="63000"/>
  </r>
  <r>
    <x v="1"/>
    <x v="1"/>
    <n v="2"/>
    <n v="75"/>
    <s v="Purchased Property Services"/>
    <x v="40"/>
    <n v="34000"/>
    <n v="34000"/>
  </r>
  <r>
    <x v="1"/>
    <x v="1"/>
    <n v="2"/>
    <n v="76"/>
    <s v="Purchased Property Services"/>
    <x v="41"/>
    <n v="52500"/>
    <n v="52500"/>
  </r>
  <r>
    <x v="1"/>
    <x v="1"/>
    <n v="2"/>
    <n v="77"/>
    <s v="Purchased Property Services"/>
    <x v="42"/>
    <n v="65000"/>
    <n v="65000"/>
  </r>
  <r>
    <x v="1"/>
    <x v="1"/>
    <n v="2"/>
    <n v="78"/>
    <s v="Purchased Property Services"/>
    <x v="43"/>
    <n v="10000"/>
    <n v="10000"/>
  </r>
  <r>
    <x v="1"/>
    <x v="1"/>
    <n v="2"/>
    <n v="79"/>
    <s v="Purchased Property Services"/>
    <x v="44"/>
    <n v="70000"/>
    <n v="70000"/>
  </r>
  <r>
    <x v="1"/>
    <x v="1"/>
    <n v="2"/>
    <n v="80"/>
    <s v="Purchased Property Services"/>
    <x v="45"/>
    <n v="6000"/>
    <n v="6000"/>
  </r>
  <r>
    <x v="1"/>
    <x v="1"/>
    <n v="2"/>
    <n v="81"/>
    <s v="Purchased Property Services"/>
    <x v="46"/>
    <n v="2100"/>
    <n v="2100"/>
  </r>
  <r>
    <x v="1"/>
    <x v="1"/>
    <n v="2"/>
    <n v="82"/>
    <s v="Purchased Property Services"/>
    <x v="47"/>
    <n v="45000"/>
    <n v="45000"/>
  </r>
  <r>
    <x v="1"/>
    <x v="1"/>
    <n v="2"/>
    <n v="83"/>
    <s v="Purchased Property Services"/>
    <x v="48"/>
    <n v="10000"/>
    <n v="10000"/>
  </r>
  <r>
    <x v="1"/>
    <x v="1"/>
    <n v="2"/>
    <n v="84"/>
    <s v="Purchased Property Services"/>
    <x v="49"/>
    <n v="531831"/>
    <n v="531831"/>
  </r>
  <r>
    <x v="1"/>
    <x v="1"/>
    <n v="2"/>
    <n v="85"/>
    <s v="Purchased Property Services"/>
    <x v="50"/>
    <m/>
    <m/>
  </r>
  <r>
    <x v="1"/>
    <x v="1"/>
    <n v="2"/>
    <n v="86"/>
    <s v="Purchased Property Services"/>
    <x v="51"/>
    <m/>
    <m/>
  </r>
  <r>
    <x v="1"/>
    <x v="1"/>
    <n v="2"/>
    <n v="87"/>
    <s v="Purchased Property Services"/>
    <x v="52"/>
    <m/>
    <m/>
  </r>
  <r>
    <x v="1"/>
    <x v="1"/>
    <n v="2"/>
    <n v="88"/>
    <s v="Purchased Property Services"/>
    <x v="53"/>
    <m/>
    <m/>
  </r>
  <r>
    <x v="2"/>
    <x v="0"/>
    <n v="1"/>
    <n v="1"/>
    <s v="Beginning Balance"/>
    <x v="0"/>
    <n v="1110185"/>
    <n v="1110185"/>
  </r>
  <r>
    <x v="2"/>
    <x v="0"/>
    <n v="1"/>
    <n v="2"/>
    <s v="State Sources"/>
    <x v="129"/>
    <n v="11528505"/>
    <n v="12485550"/>
  </r>
  <r>
    <x v="2"/>
    <x v="0"/>
    <n v="1"/>
    <n v="3"/>
    <s v="State Sources"/>
    <x v="130"/>
    <n v="1867618"/>
    <n v="2022729.5999999999"/>
  </r>
  <r>
    <x v="2"/>
    <x v="0"/>
    <n v="1"/>
    <n v="4"/>
    <s v="State Sources"/>
    <x v="131"/>
    <n v="1329346"/>
    <n v="1439722.8"/>
  </r>
  <r>
    <x v="2"/>
    <x v="0"/>
    <n v="1"/>
    <n v="5"/>
    <s v="State Sources"/>
    <x v="132"/>
    <m/>
    <m/>
  </r>
  <r>
    <x v="2"/>
    <x v="0"/>
    <n v="1"/>
    <n v="8"/>
    <s v="Federal Sources"/>
    <x v="133"/>
    <n v="50000"/>
    <n v="50000"/>
  </r>
  <r>
    <x v="3"/>
    <x v="0"/>
    <n v="1"/>
    <n v="7"/>
    <s v="Federal Sources"/>
    <x v="133"/>
    <m/>
    <m/>
  </r>
  <r>
    <x v="5"/>
    <x v="0"/>
    <n v="1"/>
    <n v="7"/>
    <s v="Federal Sources"/>
    <x v="133"/>
    <m/>
    <m/>
  </r>
  <r>
    <x v="0"/>
    <x v="0"/>
    <n v="1"/>
    <n v="17"/>
    <s v="Federal Sources"/>
    <x v="134"/>
    <n v="0"/>
    <n v="0"/>
  </r>
  <r>
    <x v="2"/>
    <x v="0"/>
    <n v="1"/>
    <n v="10"/>
    <s v="Federal Sources"/>
    <x v="16"/>
    <n v="219600"/>
    <n v="219600"/>
  </r>
  <r>
    <x v="2"/>
    <x v="0"/>
    <n v="1"/>
    <n v="11"/>
    <s v="State Sources"/>
    <x v="135"/>
    <n v="70000"/>
    <n v="70000"/>
  </r>
  <r>
    <x v="2"/>
    <x v="0"/>
    <n v="1"/>
    <n v="12"/>
    <s v="Local/Other Sources"/>
    <x v="136"/>
    <n v="0"/>
    <n v="0"/>
  </r>
  <r>
    <x v="2"/>
    <x v="0"/>
    <n v="1"/>
    <n v="13"/>
    <s v="Federal Sources"/>
    <x v="17"/>
    <n v="1560000"/>
    <n v="1560000"/>
  </r>
  <r>
    <x v="2"/>
    <x v="0"/>
    <n v="1"/>
    <n v="14"/>
    <s v="Federal Sources"/>
    <x v="137"/>
    <m/>
    <m/>
  </r>
  <r>
    <x v="2"/>
    <x v="0"/>
    <n v="1"/>
    <n v="15"/>
    <s v="State Sources"/>
    <x v="138"/>
    <n v="212639"/>
    <n v="212639"/>
  </r>
  <r>
    <x v="2"/>
    <x v="0"/>
    <n v="1"/>
    <n v="16"/>
    <s v="State Sources"/>
    <x v="139"/>
    <n v="443000"/>
    <n v="443000"/>
  </r>
  <r>
    <x v="2"/>
    <x v="0"/>
    <n v="1"/>
    <n v="17"/>
    <s v="State Sources"/>
    <x v="140"/>
    <m/>
    <m/>
  </r>
  <r>
    <x v="2"/>
    <x v="0"/>
    <n v="1"/>
    <n v="18"/>
    <s v="Grants &amp; Contributions "/>
    <x v="141"/>
    <m/>
    <m/>
  </r>
  <r>
    <x v="2"/>
    <x v="0"/>
    <n v="1"/>
    <n v="19"/>
    <s v="Grants &amp; Contributions "/>
    <x v="2"/>
    <m/>
    <m/>
  </r>
  <r>
    <x v="2"/>
    <x v="0"/>
    <n v="1"/>
    <n v="20"/>
    <s v="Local/Other Sources"/>
    <x v="142"/>
    <n v="0"/>
    <n v="0"/>
  </r>
  <r>
    <x v="2"/>
    <x v="1"/>
    <n v="2"/>
    <n v="1"/>
    <s v="Teacher/Learning Coach - Salaries"/>
    <x v="143"/>
    <n v="6579000"/>
    <n v="6057000"/>
  </r>
  <r>
    <x v="2"/>
    <x v="1"/>
    <n v="2"/>
    <n v="2"/>
    <s v="Teacher/Learning Coach - Stipends"/>
    <x v="144"/>
    <m/>
    <m/>
  </r>
  <r>
    <x v="2"/>
    <x v="1"/>
    <n v="2"/>
    <n v="3"/>
    <s v="Teacher/Learning Coach - Bonus"/>
    <x v="145"/>
    <n v="182840"/>
    <n v="242280"/>
  </r>
  <r>
    <x v="2"/>
    <x v="1"/>
    <n v="2"/>
    <n v="4"/>
    <s v="Teacher/Learning Coach - Benefits"/>
    <x v="146"/>
    <n v="83796"/>
    <n v="87826.5"/>
  </r>
  <r>
    <x v="2"/>
    <x v="1"/>
    <n v="2"/>
    <n v="5"/>
    <s v="Teacher/Learning Coach - Benefits"/>
    <x v="147"/>
    <n v="3000"/>
    <n v="764.4"/>
  </r>
  <r>
    <x v="2"/>
    <x v="1"/>
    <n v="2"/>
    <n v="6"/>
    <s v="Teacher/Learning Coach - Benefits"/>
    <x v="148"/>
    <n v="562508.92800000007"/>
    <n v="461155.96799999999"/>
  </r>
  <r>
    <x v="2"/>
    <x v="1"/>
    <n v="2"/>
    <n v="7"/>
    <s v="Teacher/Learning Coach - Benefits"/>
    <x v="149"/>
    <n v="72815"/>
    <n v="76318.2"/>
  </r>
  <r>
    <x v="2"/>
    <x v="1"/>
    <n v="2"/>
    <n v="8"/>
    <s v="Teacher/Learning Coach - Benefits"/>
    <x v="150"/>
    <n v="104022"/>
    <n v="109025.99999999999"/>
  </r>
  <r>
    <x v="2"/>
    <x v="1"/>
    <n v="2"/>
    <n v="9"/>
    <s v="Teacher/Learning Coach - Benefits"/>
    <x v="151"/>
    <n v="46232"/>
    <n v="48456"/>
  </r>
  <r>
    <x v="2"/>
    <x v="1"/>
    <n v="2"/>
    <n v="10"/>
    <s v="Teacher/Learning Coach - Salaries"/>
    <x v="62"/>
    <n v="376000"/>
    <n v="457000"/>
  </r>
  <r>
    <x v="2"/>
    <x v="1"/>
    <n v="2"/>
    <n v="11"/>
    <s v="Teacher/Learning Coach - Benefits"/>
    <x v="152"/>
    <n v="5452"/>
    <n v="6626.5"/>
  </r>
  <r>
    <x v="2"/>
    <x v="1"/>
    <n v="2"/>
    <n v="12"/>
    <s v="Teacher/Learning Coach - Benefits"/>
    <x v="153"/>
    <m/>
    <n v="35473.536000000007"/>
  </r>
  <r>
    <x v="2"/>
    <x v="1"/>
    <n v="2"/>
    <n v="13"/>
    <s v="Teacher/Learning Coach - Benefits"/>
    <x v="154"/>
    <n v="4737.6000000000004"/>
    <n v="5758.2"/>
  </r>
  <r>
    <x v="2"/>
    <x v="1"/>
    <n v="2"/>
    <n v="14"/>
    <s v="Teacher/Learning Coach - Benefits"/>
    <x v="155"/>
    <n v="6767.9999999999991"/>
    <n v="8226"/>
  </r>
  <r>
    <x v="2"/>
    <x v="1"/>
    <n v="2"/>
    <n v="15"/>
    <s v="Teacher/Learning Coach - Benefits"/>
    <x v="156"/>
    <n v="3008"/>
    <n v="3656"/>
  </r>
  <r>
    <x v="2"/>
    <x v="1"/>
    <n v="2"/>
    <n v="16"/>
    <s v="Teacher/Learning Coach - Stipends"/>
    <x v="157"/>
    <n v="26400"/>
    <n v="26400"/>
  </r>
  <r>
    <x v="2"/>
    <x v="1"/>
    <n v="2"/>
    <n v="17"/>
    <s v="School Leadership - Salaries"/>
    <x v="158"/>
    <n v="1227000"/>
    <n v="1225000"/>
  </r>
  <r>
    <x v="2"/>
    <x v="1"/>
    <n v="2"/>
    <n v="18"/>
    <s v="School Leadership - Salaries"/>
    <x v="159"/>
    <n v="30000"/>
    <n v="30000"/>
  </r>
  <r>
    <x v="2"/>
    <x v="1"/>
    <n v="2"/>
    <n v="19"/>
    <s v="School Leadership - Benefits"/>
    <x v="160"/>
    <n v="17791.5"/>
    <n v="17762.5"/>
  </r>
  <r>
    <x v="2"/>
    <x v="1"/>
    <n v="2"/>
    <n v="20"/>
    <s v="School Leadership - Benefits"/>
    <x v="161"/>
    <n v="500"/>
    <n v="142.80000000000001"/>
  </r>
  <r>
    <x v="2"/>
    <x v="1"/>
    <n v="2"/>
    <n v="21"/>
    <s v="School Leadership - Benefits"/>
    <x v="162"/>
    <m/>
    <n v="86150.016000000018"/>
  </r>
  <r>
    <x v="2"/>
    <x v="1"/>
    <n v="2"/>
    <n v="22"/>
    <s v="School Leadership - Benefits"/>
    <x v="163"/>
    <n v="15460.2"/>
    <n v="15435"/>
  </r>
  <r>
    <x v="2"/>
    <x v="1"/>
    <n v="2"/>
    <n v="23"/>
    <s v="School Leadership - Benefits"/>
    <x v="164"/>
    <n v="22086"/>
    <n v="22050"/>
  </r>
  <r>
    <x v="2"/>
    <x v="1"/>
    <n v="2"/>
    <n v="24"/>
    <s v="School Leadership - Benefits"/>
    <x v="165"/>
    <n v="9816"/>
    <n v="9800"/>
  </r>
  <r>
    <x v="2"/>
    <x v="1"/>
    <n v="2"/>
    <n v="25"/>
    <s v="Benefits "/>
    <x v="140"/>
    <m/>
    <m/>
  </r>
  <r>
    <x v="2"/>
    <x v="1"/>
    <n v="2"/>
    <n v="26"/>
    <s v="Copy Clerks (1099)"/>
    <x v="166"/>
    <n v="50000"/>
    <n v="50000"/>
  </r>
  <r>
    <x v="2"/>
    <x v="1"/>
    <n v="2"/>
    <n v="27"/>
    <s v="5th QTR "/>
    <x v="167"/>
    <n v="250000"/>
    <n v="250000"/>
  </r>
  <r>
    <x v="2"/>
    <x v="1"/>
    <n v="2"/>
    <n v="28"/>
    <s v="Instruct Substitutes"/>
    <x v="168"/>
    <n v="30000"/>
    <n v="30000"/>
  </r>
  <r>
    <x v="2"/>
    <x v="1"/>
    <n v="2"/>
    <n v="29"/>
    <s v="Admin - Purchased Services"/>
    <x v="169"/>
    <n v="1269000"/>
    <n v="1269000"/>
  </r>
  <r>
    <x v="2"/>
    <x v="1"/>
    <n v="2"/>
    <n v="30"/>
    <s v="Admin - Purchased Services"/>
    <x v="170"/>
    <n v="598050"/>
    <n v="598050"/>
  </r>
  <r>
    <x v="2"/>
    <x v="1"/>
    <n v="2"/>
    <n v="31"/>
    <s v="Admin - Purchased Services"/>
    <x v="171"/>
    <n v="2017493"/>
    <n v="2633230"/>
  </r>
  <r>
    <x v="2"/>
    <x v="1"/>
    <n v="2"/>
    <n v="32"/>
    <s v="Furniture and Equip."/>
    <x v="172"/>
    <n v="50000"/>
    <n v="80000"/>
  </r>
  <r>
    <x v="2"/>
    <x v="1"/>
    <n v="2"/>
    <n v="33"/>
    <s v="Instruct - Purchased Services"/>
    <x v="173"/>
    <n v="120000"/>
    <n v="120000"/>
  </r>
  <r>
    <x v="2"/>
    <x v="1"/>
    <n v="2"/>
    <n v="34"/>
    <s v="Instruct - Purchased Services"/>
    <x v="174"/>
    <n v="30000"/>
    <n v="30000"/>
  </r>
  <r>
    <x v="2"/>
    <x v="1"/>
    <n v="2"/>
    <n v="35"/>
    <s v="Instruct - Materials and Supplies"/>
    <x v="175"/>
    <n v="350000"/>
    <n v="350000"/>
  </r>
  <r>
    <x v="2"/>
    <x v="1"/>
    <n v="2"/>
    <n v="36"/>
    <s v="Instruct - Materials and Supplies"/>
    <x v="176"/>
    <n v="30000"/>
    <n v="30000"/>
  </r>
  <r>
    <x v="2"/>
    <x v="1"/>
    <n v="2"/>
    <n v="37"/>
    <s v="Instruct - Materials and Supplies"/>
    <x v="177"/>
    <n v="25000"/>
    <n v="25000"/>
  </r>
  <r>
    <x v="2"/>
    <x v="1"/>
    <n v="2"/>
    <n v="38"/>
    <s v="Instruct - Materials and Supplies"/>
    <x v="178"/>
    <n v="80000"/>
    <n v="80000"/>
  </r>
  <r>
    <x v="2"/>
    <x v="1"/>
    <n v="2"/>
    <n v="39"/>
    <s v="Instruct - Materials and Supplies"/>
    <x v="179"/>
    <n v="14000"/>
    <n v="14000"/>
  </r>
  <r>
    <x v="2"/>
    <x v="1"/>
    <n v="2"/>
    <n v="40"/>
    <s v="Instruct - Materials and Supplies"/>
    <x v="180"/>
    <n v="140000"/>
    <n v="140000"/>
  </r>
  <r>
    <x v="2"/>
    <x v="1"/>
    <n v="2"/>
    <n v="41"/>
    <s v="Instruct - Materials and Supplies"/>
    <x v="181"/>
    <n v="70000"/>
    <n v="70000"/>
  </r>
  <r>
    <x v="2"/>
    <x v="1"/>
    <n v="2"/>
    <n v="42"/>
    <s v="Instruct - Materials and Supplies"/>
    <x v="182"/>
    <n v="14000"/>
    <n v="14000"/>
  </r>
  <r>
    <x v="2"/>
    <x v="1"/>
    <n v="2"/>
    <n v="43"/>
    <s v="Instruct - Materials and Supplies"/>
    <x v="183"/>
    <n v="50000"/>
    <n v="50000"/>
  </r>
  <r>
    <x v="2"/>
    <x v="1"/>
    <n v="2"/>
    <n v="44"/>
    <s v="Purchased Services"/>
    <x v="184"/>
    <n v="225000"/>
    <n v="225000"/>
  </r>
  <r>
    <x v="2"/>
    <x v="1"/>
    <n v="2"/>
    <n v="45"/>
    <s v="Purchased Services"/>
    <x v="185"/>
    <n v="75000"/>
    <n v="75000"/>
  </r>
  <r>
    <x v="2"/>
    <x v="1"/>
    <n v="2"/>
    <n v="46"/>
    <s v="Purchased Services"/>
    <x v="186"/>
    <n v="120000"/>
    <n v="120000"/>
  </r>
  <r>
    <x v="2"/>
    <x v="1"/>
    <n v="2"/>
    <n v="47"/>
    <s v="Purchased Services"/>
    <x v="187"/>
    <n v="20000"/>
    <n v="20000"/>
  </r>
  <r>
    <x v="2"/>
    <x v="1"/>
    <n v="2"/>
    <n v="48"/>
    <s v="Supplies and equip."/>
    <x v="188"/>
    <n v="75000"/>
    <n v="75000"/>
  </r>
  <r>
    <x v="2"/>
    <x v="1"/>
    <n v="2"/>
    <n v="49"/>
    <s v="Supplies and equip."/>
    <x v="189"/>
    <n v="30000"/>
    <n v="30000"/>
  </r>
  <r>
    <x v="2"/>
    <x v="1"/>
    <n v="2"/>
    <n v="50"/>
    <s v="Supplies and equip."/>
    <x v="190"/>
    <n v="20000"/>
    <n v="20000"/>
  </r>
  <r>
    <x v="2"/>
    <x v="1"/>
    <n v="2"/>
    <n v="51"/>
    <s v="Purchased Services"/>
    <x v="191"/>
    <m/>
    <m/>
  </r>
  <r>
    <x v="2"/>
    <x v="1"/>
    <n v="2"/>
    <n v="52"/>
    <s v="Purchased Services"/>
    <x v="33"/>
    <n v="20000"/>
    <n v="20000"/>
  </r>
  <r>
    <x v="2"/>
    <x v="1"/>
    <n v="2"/>
    <n v="53"/>
    <s v="Purchased Services"/>
    <x v="192"/>
    <n v="15000"/>
    <n v="15000"/>
  </r>
  <r>
    <x v="2"/>
    <x v="1"/>
    <n v="2"/>
    <n v="54"/>
    <s v="Admin - Materials and Supplies"/>
    <x v="193"/>
    <n v="56000"/>
    <n v="56000"/>
  </r>
  <r>
    <x v="2"/>
    <x v="1"/>
    <n v="2"/>
    <n v="55"/>
    <s v="Admin - Materials and Supplies"/>
    <x v="194"/>
    <n v="80000"/>
    <n v="80000"/>
  </r>
  <r>
    <x v="2"/>
    <x v="1"/>
    <n v="2"/>
    <n v="56"/>
    <s v="Admin - Materials and Supplies"/>
    <x v="195"/>
    <n v="10000"/>
    <n v="10000"/>
  </r>
  <r>
    <x v="2"/>
    <x v="1"/>
    <n v="2"/>
    <n v="57"/>
    <s v="Admin - Dues &amp; Fees "/>
    <x v="196"/>
    <n v="10000"/>
    <n v="10000"/>
  </r>
  <r>
    <x v="2"/>
    <x v="1"/>
    <n v="2"/>
    <n v="58"/>
    <s v="Admin - Purchased Services"/>
    <x v="197"/>
    <n v="30000"/>
    <n v="30000"/>
  </r>
  <r>
    <x v="2"/>
    <x v="1"/>
    <n v="2"/>
    <n v="59"/>
    <s v="Admin - Dues &amp; Fees "/>
    <x v="198"/>
    <n v="15000"/>
    <n v="15000"/>
  </r>
  <r>
    <x v="2"/>
    <x v="1"/>
    <n v="2"/>
    <n v="60"/>
    <s v="Admin - Purchased Services"/>
    <x v="199"/>
    <n v="40000"/>
    <n v="40000"/>
  </r>
  <r>
    <x v="2"/>
    <x v="1"/>
    <n v="2"/>
    <n v="61"/>
    <s v="Marketing"/>
    <x v="200"/>
    <n v="30000"/>
    <n v="30000"/>
  </r>
  <r>
    <x v="2"/>
    <x v="1"/>
    <n v="2"/>
    <n v="62"/>
    <s v="Other purchases services"/>
    <x v="201"/>
    <n v="338000"/>
    <n v="338000"/>
  </r>
  <r>
    <x v="2"/>
    <x v="1"/>
    <n v="2"/>
    <n v="63"/>
    <s v="Other purchases services"/>
    <x v="25"/>
    <n v="20000"/>
    <n v="20000"/>
  </r>
  <r>
    <x v="3"/>
    <x v="0"/>
    <n v="1"/>
    <n v="1"/>
    <s v="Beginning Balance"/>
    <x v="0"/>
    <m/>
    <m/>
  </r>
  <r>
    <x v="3"/>
    <x v="0"/>
    <n v="1"/>
    <n v="2"/>
    <s v="State Sources"/>
    <x v="202"/>
    <n v="3343346"/>
    <n v="3343346"/>
  </r>
  <r>
    <x v="3"/>
    <x v="0"/>
    <n v="1"/>
    <n v="3"/>
    <s v="State Sources"/>
    <x v="131"/>
    <n v="346129"/>
    <n v="346129"/>
  </r>
  <r>
    <x v="3"/>
    <x v="0"/>
    <n v="1"/>
    <n v="4"/>
    <s v="State Sources"/>
    <x v="132"/>
    <m/>
    <m/>
  </r>
  <r>
    <x v="1"/>
    <x v="0"/>
    <n v="1"/>
    <n v="17"/>
    <s v="Federal Sources"/>
    <x v="134"/>
    <n v="3472"/>
    <n v="3472"/>
  </r>
  <r>
    <x v="4"/>
    <x v="0"/>
    <n v="1"/>
    <n v="17"/>
    <s v="Federal Sources"/>
    <x v="203"/>
    <n v="2638"/>
    <n v="2638"/>
  </r>
  <r>
    <x v="3"/>
    <x v="0"/>
    <n v="1"/>
    <n v="8"/>
    <s v="Federal Sources"/>
    <x v="204"/>
    <m/>
    <m/>
  </r>
  <r>
    <x v="5"/>
    <x v="0"/>
    <n v="1"/>
    <n v="8"/>
    <s v="Federal Sources"/>
    <x v="204"/>
    <n v="4000"/>
    <n v="4000"/>
  </r>
  <r>
    <x v="3"/>
    <x v="0"/>
    <n v="1"/>
    <n v="9"/>
    <s v="Federal Sources"/>
    <x v="16"/>
    <m/>
    <m/>
  </r>
  <r>
    <x v="3"/>
    <x v="0"/>
    <n v="1"/>
    <n v="10"/>
    <s v="State Sources"/>
    <x v="135"/>
    <m/>
    <m/>
  </r>
  <r>
    <x v="3"/>
    <x v="0"/>
    <n v="1"/>
    <n v="11"/>
    <s v="Federal Sources"/>
    <x v="205"/>
    <n v="147123"/>
    <n v="147123"/>
  </r>
  <r>
    <x v="3"/>
    <x v="0"/>
    <n v="1"/>
    <n v="12"/>
    <s v="Local/Other Sources"/>
    <x v="136"/>
    <n v="0"/>
    <n v="0"/>
  </r>
  <r>
    <x v="3"/>
    <x v="0"/>
    <n v="1"/>
    <n v="13"/>
    <s v="Federal Sources"/>
    <x v="17"/>
    <n v="200000"/>
    <n v="200000"/>
  </r>
  <r>
    <x v="3"/>
    <x v="0"/>
    <n v="1"/>
    <n v="14"/>
    <s v="Federal Sources"/>
    <x v="137"/>
    <m/>
    <m/>
  </r>
  <r>
    <x v="3"/>
    <x v="0"/>
    <n v="1"/>
    <n v="15"/>
    <s v="State Sources"/>
    <x v="206"/>
    <n v="900000"/>
    <n v="900000"/>
  </r>
  <r>
    <x v="3"/>
    <x v="0"/>
    <n v="1"/>
    <n v="16"/>
    <s v="State Sources"/>
    <x v="207"/>
    <m/>
    <m/>
  </r>
  <r>
    <x v="3"/>
    <x v="0"/>
    <n v="1"/>
    <n v="17"/>
    <s v="State Sources"/>
    <x v="140"/>
    <m/>
    <m/>
  </r>
  <r>
    <x v="3"/>
    <x v="0"/>
    <n v="1"/>
    <n v="18"/>
    <s v="Grants &amp; Contributions "/>
    <x v="208"/>
    <n v="300000"/>
    <n v="200000"/>
  </r>
  <r>
    <x v="3"/>
    <x v="0"/>
    <n v="1"/>
    <n v="19"/>
    <s v="Grants &amp; Contributions "/>
    <x v="2"/>
    <n v="200000"/>
    <n v="200000"/>
  </r>
  <r>
    <x v="3"/>
    <x v="0"/>
    <n v="1"/>
    <n v="20"/>
    <s v="Grants &amp; Contributions "/>
    <x v="209"/>
    <n v="80000"/>
    <n v="80000"/>
  </r>
  <r>
    <x v="3"/>
    <x v="0"/>
    <n v="1"/>
    <n v="21"/>
    <s v="Local/Other Sources"/>
    <x v="142"/>
    <m/>
    <m/>
  </r>
  <r>
    <x v="3"/>
    <x v="1"/>
    <n v="2"/>
    <n v="1"/>
    <s v="Teacher/Learning Coach - Salaries"/>
    <x v="143"/>
    <n v="2022000"/>
    <n v="1844000"/>
  </r>
  <r>
    <x v="3"/>
    <x v="1"/>
    <n v="2"/>
    <n v="2"/>
    <s v="Teacher/Learning Coach - Stipends"/>
    <x v="144"/>
    <m/>
    <m/>
  </r>
  <r>
    <x v="3"/>
    <x v="1"/>
    <n v="2"/>
    <n v="3"/>
    <s v="Teacher/Learning Coach - Bonus"/>
    <x v="145"/>
    <n v="0"/>
    <n v="0"/>
  </r>
  <r>
    <x v="3"/>
    <x v="1"/>
    <n v="2"/>
    <n v="4"/>
    <s v="Teacher/Learning Coach - Benefits"/>
    <x v="146"/>
    <n v="29319"/>
    <n v="26738"/>
  </r>
  <r>
    <x v="3"/>
    <x v="1"/>
    <n v="2"/>
    <n v="5"/>
    <s v="Teacher/Learning Coach - Benefits"/>
    <x v="147"/>
    <n v="1000"/>
    <n v="235.20000000000002"/>
  </r>
  <r>
    <x v="3"/>
    <x v="1"/>
    <n v="2"/>
    <n v="6"/>
    <s v="Teacher/Learning Coach - Benefits"/>
    <x v="148"/>
    <n v="216720"/>
    <n v="141894.14400000003"/>
  </r>
  <r>
    <x v="3"/>
    <x v="1"/>
    <n v="2"/>
    <n v="7"/>
    <s v="Teacher/Learning Coach - Benefits"/>
    <x v="149"/>
    <n v="25477.200000000001"/>
    <n v="23234.400000000001"/>
  </r>
  <r>
    <x v="3"/>
    <x v="1"/>
    <n v="2"/>
    <n v="8"/>
    <s v="Teacher/Learning Coach - Benefits"/>
    <x v="150"/>
    <n v="36396"/>
    <n v="33192"/>
  </r>
  <r>
    <x v="3"/>
    <x v="1"/>
    <n v="2"/>
    <n v="9"/>
    <s v="Teacher/Learning Coach - Benefits"/>
    <x v="151"/>
    <n v="16176"/>
    <n v="14752"/>
  </r>
  <r>
    <x v="3"/>
    <x v="1"/>
    <n v="2"/>
    <n v="10"/>
    <s v="Teacher/Learning Coach - Salaries"/>
    <x v="62"/>
    <n v="318000"/>
    <n v="248000"/>
  </r>
  <r>
    <x v="3"/>
    <x v="1"/>
    <n v="2"/>
    <n v="11"/>
    <s v="Teacher/Learning Coach - Benefits"/>
    <x v="152"/>
    <n v="4611"/>
    <n v="3596"/>
  </r>
  <r>
    <x v="3"/>
    <x v="1"/>
    <n v="2"/>
    <n v="12"/>
    <s v="Teacher/Learning Coach - Benefits"/>
    <x v="153"/>
    <m/>
    <n v="20270.592000000004"/>
  </r>
  <r>
    <x v="3"/>
    <x v="1"/>
    <n v="2"/>
    <n v="13"/>
    <s v="Teacher/Learning Coach - Benefits"/>
    <x v="154"/>
    <n v="4006.8"/>
    <n v="3124.8"/>
  </r>
  <r>
    <x v="3"/>
    <x v="1"/>
    <n v="2"/>
    <n v="14"/>
    <s v="Teacher/Learning Coach - Benefits"/>
    <x v="155"/>
    <n v="5724"/>
    <n v="4464"/>
  </r>
  <r>
    <x v="3"/>
    <x v="1"/>
    <n v="2"/>
    <n v="15"/>
    <s v="Teacher/Learning Coach - Benefits"/>
    <x v="156"/>
    <n v="2544"/>
    <n v="1984"/>
  </r>
  <r>
    <x v="3"/>
    <x v="1"/>
    <n v="2"/>
    <n v="16"/>
    <s v="Teacher/Learning Coach - Stipends"/>
    <x v="210"/>
    <n v="15000"/>
    <n v="15000"/>
  </r>
  <r>
    <x v="3"/>
    <x v="1"/>
    <n v="2"/>
    <n v="17"/>
    <s v="School Leadership - Salaries"/>
    <x v="158"/>
    <n v="487500"/>
    <n v="497500"/>
  </r>
  <r>
    <x v="3"/>
    <x v="1"/>
    <n v="2"/>
    <n v="18"/>
    <s v="School Leadership - Salaries"/>
    <x v="159"/>
    <m/>
    <m/>
  </r>
  <r>
    <x v="3"/>
    <x v="1"/>
    <n v="2"/>
    <n v="19"/>
    <s v="School Leadership - Benefits"/>
    <x v="160"/>
    <n v="7068.75"/>
    <n v="7213.75"/>
  </r>
  <r>
    <x v="3"/>
    <x v="1"/>
    <n v="2"/>
    <n v="20"/>
    <s v="School Leadership - Benefits"/>
    <x v="161"/>
    <n v="1000"/>
    <n v="71.400000000000006"/>
  </r>
  <r>
    <x v="3"/>
    <x v="1"/>
    <n v="2"/>
    <n v="21"/>
    <s v="School Leadership - Benefits"/>
    <x v="162"/>
    <m/>
    <n v="43075.008000000009"/>
  </r>
  <r>
    <x v="3"/>
    <x v="1"/>
    <n v="2"/>
    <n v="22"/>
    <s v="School Leadership - Benefits"/>
    <x v="163"/>
    <n v="6142.5"/>
    <n v="6268.5"/>
  </r>
  <r>
    <x v="3"/>
    <x v="1"/>
    <n v="2"/>
    <n v="23"/>
    <s v="School Leadership - Benefits"/>
    <x v="164"/>
    <n v="8775"/>
    <n v="8955"/>
  </r>
  <r>
    <x v="3"/>
    <x v="1"/>
    <n v="2"/>
    <n v="24"/>
    <s v="School Leadership - Benefits"/>
    <x v="165"/>
    <n v="3900"/>
    <n v="3980"/>
  </r>
  <r>
    <x v="3"/>
    <x v="1"/>
    <n v="2"/>
    <n v="25"/>
    <s v="School Leadership - Salaries"/>
    <x v="211"/>
    <n v="0"/>
    <n v="421000"/>
  </r>
  <r>
    <x v="3"/>
    <x v="1"/>
    <n v="2"/>
    <n v="26"/>
    <s v="School Leadership - Salaries"/>
    <x v="212"/>
    <m/>
    <m/>
  </r>
  <r>
    <x v="3"/>
    <x v="1"/>
    <n v="2"/>
    <n v="27"/>
    <s v="School Leadership - Benefits"/>
    <x v="213"/>
    <n v="0"/>
    <n v="6104.5"/>
  </r>
  <r>
    <x v="3"/>
    <x v="1"/>
    <n v="2"/>
    <n v="28"/>
    <s v="School Leadership - Benefits"/>
    <x v="214"/>
    <n v="0"/>
    <n v="75.600000000000009"/>
  </r>
  <r>
    <x v="3"/>
    <x v="1"/>
    <n v="2"/>
    <n v="29"/>
    <s v="School Leadership - Benefits"/>
    <x v="215"/>
    <m/>
    <n v="45608.832000000002"/>
  </r>
  <r>
    <x v="3"/>
    <x v="1"/>
    <n v="2"/>
    <n v="30"/>
    <s v="School Leadership - Benefits"/>
    <x v="216"/>
    <n v="0"/>
    <n v="5304.6"/>
  </r>
  <r>
    <x v="3"/>
    <x v="1"/>
    <n v="2"/>
    <n v="31"/>
    <s v="School Leadership - Benefits"/>
    <x v="217"/>
    <n v="0"/>
    <n v="7577.9999999999991"/>
  </r>
  <r>
    <x v="3"/>
    <x v="1"/>
    <n v="2"/>
    <n v="32"/>
    <s v="School Leadership - Benefits"/>
    <x v="218"/>
    <n v="0"/>
    <n v="3368"/>
  </r>
  <r>
    <x v="3"/>
    <x v="1"/>
    <n v="2"/>
    <n v="33"/>
    <s v="Benefits "/>
    <x v="140"/>
    <m/>
    <m/>
  </r>
  <r>
    <x v="3"/>
    <x v="1"/>
    <n v="2"/>
    <n v="34"/>
    <s v="Copy Clerks (1099)"/>
    <x v="166"/>
    <m/>
    <m/>
  </r>
  <r>
    <x v="3"/>
    <x v="1"/>
    <n v="2"/>
    <n v="35"/>
    <s v="5th QTR "/>
    <x v="219"/>
    <n v="50000"/>
    <n v="50000"/>
  </r>
  <r>
    <x v="3"/>
    <x v="1"/>
    <n v="2"/>
    <n v="36"/>
    <s v="Instruct Substitutes"/>
    <x v="168"/>
    <n v="20000"/>
    <n v="20000"/>
  </r>
  <r>
    <x v="3"/>
    <x v="1"/>
    <n v="2"/>
    <n v="37"/>
    <s v="Admin - Purchased Services"/>
    <x v="220"/>
    <n v="100000"/>
    <n v="100000"/>
  </r>
  <r>
    <x v="3"/>
    <x v="1"/>
    <n v="2"/>
    <n v="38"/>
    <s v="Admin - Purchased Services"/>
    <x v="221"/>
    <n v="80000"/>
    <n v="80000"/>
  </r>
  <r>
    <x v="3"/>
    <x v="1"/>
    <n v="2"/>
    <n v="39"/>
    <s v="Admin - Purchased Services"/>
    <x v="171"/>
    <n v="300000"/>
    <n v="400000"/>
  </r>
  <r>
    <x v="3"/>
    <x v="1"/>
    <n v="2"/>
    <n v="40"/>
    <s v="Furniture and Equip."/>
    <x v="222"/>
    <n v="100000"/>
    <n v="100000"/>
  </r>
  <r>
    <x v="3"/>
    <x v="1"/>
    <n v="2"/>
    <n v="41"/>
    <s v="Instruct - Purchased Services"/>
    <x v="173"/>
    <n v="60000"/>
    <n v="60000"/>
  </r>
  <r>
    <x v="3"/>
    <x v="1"/>
    <n v="2"/>
    <n v="42"/>
    <s v="Instruct - Purchased Services"/>
    <x v="223"/>
    <n v="115000"/>
    <n v="115000"/>
  </r>
  <r>
    <x v="3"/>
    <x v="1"/>
    <n v="2"/>
    <n v="43"/>
    <s v="Instruct - Materials and Supplies"/>
    <x v="224"/>
    <n v="260000"/>
    <n v="260000"/>
  </r>
  <r>
    <x v="3"/>
    <x v="1"/>
    <n v="2"/>
    <n v="44"/>
    <s v="Instruct - Materials and Supplies"/>
    <x v="225"/>
    <n v="10000"/>
    <n v="10000"/>
  </r>
  <r>
    <x v="3"/>
    <x v="1"/>
    <n v="2"/>
    <n v="45"/>
    <s v="Instruct - Materials and Supplies"/>
    <x v="226"/>
    <n v="20000"/>
    <n v="20000"/>
  </r>
  <r>
    <x v="3"/>
    <x v="1"/>
    <n v="2"/>
    <n v="46"/>
    <s v="Instruct - Materials and Supplies"/>
    <x v="227"/>
    <n v="50000"/>
    <n v="50000"/>
  </r>
  <r>
    <x v="3"/>
    <x v="1"/>
    <n v="2"/>
    <n v="47"/>
    <s v="Instruct - Materials and Supplies"/>
    <x v="179"/>
    <n v="4000"/>
    <n v="4000"/>
  </r>
  <r>
    <x v="3"/>
    <x v="1"/>
    <n v="2"/>
    <n v="48"/>
    <s v="Instruct - Materials and Supplies"/>
    <x v="180"/>
    <n v="50000"/>
    <n v="50000"/>
  </r>
  <r>
    <x v="3"/>
    <x v="1"/>
    <n v="2"/>
    <n v="49"/>
    <s v="Instruct - Materials and Supplies"/>
    <x v="181"/>
    <n v="15000"/>
    <n v="15000"/>
  </r>
  <r>
    <x v="3"/>
    <x v="1"/>
    <n v="2"/>
    <n v="50"/>
    <s v="Instruct - Materials and Supplies"/>
    <x v="182"/>
    <n v="4000"/>
    <n v="4000"/>
  </r>
  <r>
    <x v="3"/>
    <x v="1"/>
    <n v="2"/>
    <n v="51"/>
    <s v="Instruct - Materials and Supplies"/>
    <x v="228"/>
    <n v="150000"/>
    <n v="150000"/>
  </r>
  <r>
    <x v="3"/>
    <x v="1"/>
    <n v="2"/>
    <n v="52"/>
    <s v="Purchased Services"/>
    <x v="229"/>
    <n v="250000"/>
    <n v="250000"/>
  </r>
  <r>
    <x v="3"/>
    <x v="1"/>
    <n v="2"/>
    <n v="53"/>
    <s v="Purchased Services"/>
    <x v="185"/>
    <m/>
    <m/>
  </r>
  <r>
    <x v="3"/>
    <x v="1"/>
    <n v="2"/>
    <n v="54"/>
    <s v="Purchased Services"/>
    <x v="186"/>
    <n v="80000"/>
    <n v="80000"/>
  </r>
  <r>
    <x v="3"/>
    <x v="1"/>
    <n v="2"/>
    <n v="55"/>
    <s v="Purchased Services"/>
    <x v="230"/>
    <n v="40000"/>
    <n v="40000"/>
  </r>
  <r>
    <x v="3"/>
    <x v="1"/>
    <n v="2"/>
    <n v="56"/>
    <s v="Supplies and equip."/>
    <x v="188"/>
    <n v="50000"/>
    <n v="50000"/>
  </r>
  <r>
    <x v="3"/>
    <x v="1"/>
    <n v="2"/>
    <n v="57"/>
    <s v="Supplies and equip."/>
    <x v="189"/>
    <n v="20000"/>
    <n v="20000"/>
  </r>
  <r>
    <x v="3"/>
    <x v="1"/>
    <n v="2"/>
    <n v="58"/>
    <s v="Supplies and equip."/>
    <x v="190"/>
    <n v="10000"/>
    <n v="10000"/>
  </r>
  <r>
    <x v="3"/>
    <x v="1"/>
    <n v="2"/>
    <n v="59"/>
    <s v="Purchased Services"/>
    <x v="191"/>
    <m/>
    <m/>
  </r>
  <r>
    <x v="3"/>
    <x v="1"/>
    <n v="2"/>
    <n v="60"/>
    <s v="Purchased Services"/>
    <x v="33"/>
    <n v="20000"/>
    <n v="20000"/>
  </r>
  <r>
    <x v="3"/>
    <x v="1"/>
    <n v="2"/>
    <n v="61"/>
    <s v="Purchased Services"/>
    <x v="192"/>
    <m/>
    <m/>
  </r>
  <r>
    <x v="3"/>
    <x v="1"/>
    <n v="2"/>
    <n v="62"/>
    <s v="Admin - Materials and Supplies"/>
    <x v="193"/>
    <n v="40000"/>
    <n v="40000"/>
  </r>
  <r>
    <x v="3"/>
    <x v="1"/>
    <n v="2"/>
    <n v="63"/>
    <s v="Admin - Materials and Supplies"/>
    <x v="194"/>
    <n v="20000"/>
    <n v="20000"/>
  </r>
  <r>
    <x v="3"/>
    <x v="1"/>
    <n v="2"/>
    <n v="64"/>
    <s v="Admin - Materials and Supplies"/>
    <x v="195"/>
    <m/>
    <m/>
  </r>
  <r>
    <x v="3"/>
    <x v="1"/>
    <n v="2"/>
    <n v="65"/>
    <s v="Admin - Dues &amp; Fees "/>
    <x v="196"/>
    <m/>
    <m/>
  </r>
  <r>
    <x v="3"/>
    <x v="1"/>
    <n v="2"/>
    <n v="66"/>
    <s v="Admin - Purchased Services"/>
    <x v="197"/>
    <m/>
    <m/>
  </r>
  <r>
    <x v="3"/>
    <x v="1"/>
    <n v="2"/>
    <n v="67"/>
    <s v="Admin - Dues &amp; Fees "/>
    <x v="198"/>
    <n v="10000"/>
    <n v="10000"/>
  </r>
  <r>
    <x v="3"/>
    <x v="1"/>
    <n v="2"/>
    <n v="68"/>
    <s v="Admin - Purchased Services"/>
    <x v="199"/>
    <n v="20000"/>
    <n v="20000"/>
  </r>
  <r>
    <x v="3"/>
    <x v="1"/>
    <n v="2"/>
    <n v="69"/>
    <s v="Marketing"/>
    <x v="200"/>
    <m/>
    <m/>
  </r>
  <r>
    <x v="3"/>
    <x v="1"/>
    <n v="2"/>
    <n v="70"/>
    <s v="Other purchases services"/>
    <x v="201"/>
    <n v="150000"/>
    <n v="150000"/>
  </r>
  <r>
    <x v="3"/>
    <x v="1"/>
    <n v="2"/>
    <n v="71"/>
    <s v="Other purchases services"/>
    <x v="25"/>
    <n v="25000"/>
    <n v="25000"/>
  </r>
  <r>
    <x v="6"/>
    <x v="0"/>
    <n v="1"/>
    <n v="1"/>
    <s v="Beginning Balance"/>
    <x v="0"/>
    <n v="200000"/>
    <n v="200000"/>
  </r>
  <r>
    <x v="6"/>
    <x v="0"/>
    <n v="1"/>
    <n v="2"/>
    <s v="Service Fees "/>
    <x v="231"/>
    <n v="1700000"/>
    <n v="1700000"/>
  </r>
  <r>
    <x v="6"/>
    <x v="0"/>
    <n v="1"/>
    <n v="3"/>
    <s v="Service Fees "/>
    <x v="232"/>
    <n v="0"/>
    <n v="150000"/>
  </r>
  <r>
    <x v="6"/>
    <x v="0"/>
    <n v="1"/>
    <n v="4"/>
    <s v="Service Fees "/>
    <x v="233"/>
    <n v="100000"/>
    <n v="300000"/>
  </r>
  <r>
    <x v="6"/>
    <x v="0"/>
    <n v="1"/>
    <n v="5"/>
    <s v="Service Fees "/>
    <x v="234"/>
    <n v="750000"/>
    <n v="820880"/>
  </r>
  <r>
    <x v="6"/>
    <x v="0"/>
    <n v="1"/>
    <n v="6"/>
    <s v="Service Fees "/>
    <x v="235"/>
    <n v="2500000"/>
    <n v="2633230"/>
  </r>
  <r>
    <x v="6"/>
    <x v="0"/>
    <n v="1"/>
    <n v="7"/>
    <s v="Service Fees "/>
    <x v="236"/>
    <n v="300000"/>
    <n v="400000"/>
  </r>
  <r>
    <x v="6"/>
    <x v="0"/>
    <n v="1"/>
    <n v="8"/>
    <s v="Service Fees "/>
    <x v="237"/>
    <m/>
    <m/>
  </r>
  <r>
    <x v="6"/>
    <x v="0"/>
    <n v="1"/>
    <n v="9"/>
    <s v="Service Fees "/>
    <x v="237"/>
    <m/>
    <m/>
  </r>
  <r>
    <x v="6"/>
    <x v="0"/>
    <n v="1"/>
    <n v="10"/>
    <s v="Service Fees "/>
    <x v="237"/>
    <m/>
    <m/>
  </r>
  <r>
    <x v="6"/>
    <x v="0"/>
    <n v="1"/>
    <n v="11"/>
    <s v="Service Fees "/>
    <x v="237"/>
    <m/>
    <m/>
  </r>
  <r>
    <x v="6"/>
    <x v="0"/>
    <n v="1"/>
    <n v="12"/>
    <s v="Grants &amp; contributions"/>
    <x v="238"/>
    <n v="500000"/>
    <n v="1150000"/>
  </r>
  <r>
    <x v="6"/>
    <x v="0"/>
    <n v="1"/>
    <n v="13"/>
    <s v="Grants &amp; contributions"/>
    <x v="239"/>
    <n v="200000"/>
    <n v="200000"/>
  </r>
  <r>
    <x v="6"/>
    <x v="0"/>
    <n v="1"/>
    <n v="14"/>
    <s v="State Sources"/>
    <x v="22"/>
    <m/>
    <m/>
  </r>
  <r>
    <x v="6"/>
    <x v="1"/>
    <n v="2"/>
    <n v="1"/>
    <s v="Salaries"/>
    <x v="240"/>
    <n v="2154550"/>
    <n v="2763500"/>
  </r>
  <r>
    <x v="6"/>
    <x v="1"/>
    <n v="2"/>
    <n v="2"/>
    <s v="Salaries"/>
    <x v="241"/>
    <n v="120000"/>
    <n v="140001"/>
  </r>
  <r>
    <x v="6"/>
    <x v="1"/>
    <n v="2"/>
    <n v="3"/>
    <s v="Benefits"/>
    <x v="242"/>
    <m/>
    <n v="40070.75"/>
  </r>
  <r>
    <x v="6"/>
    <x v="1"/>
    <n v="2"/>
    <n v="4"/>
    <s v="Purchased Professional Services"/>
    <x v="243"/>
    <n v="2000"/>
    <n v="34820.1"/>
  </r>
  <r>
    <x v="6"/>
    <x v="1"/>
    <n v="2"/>
    <n v="5"/>
    <s v="Purchased Professional Services"/>
    <x v="244"/>
    <n v="2000"/>
    <n v="46979.5"/>
  </r>
  <r>
    <x v="6"/>
    <x v="1"/>
    <n v="2"/>
    <n v="6"/>
    <s v="Benefits"/>
    <x v="245"/>
    <n v="461073.7"/>
    <n v="591389"/>
  </r>
  <r>
    <x v="6"/>
    <x v="1"/>
    <n v="2"/>
    <n v="7"/>
    <s v="Benefits"/>
    <x v="246"/>
    <n v="85680.000000000015"/>
    <n v="152029.43999999997"/>
  </r>
  <r>
    <x v="6"/>
    <x v="1"/>
    <n v="2"/>
    <n v="8"/>
    <s v="Benefits"/>
    <x v="247"/>
    <m/>
    <n v="201.60000000000008"/>
  </r>
  <r>
    <x v="6"/>
    <x v="1"/>
    <n v="2"/>
    <n v="9"/>
    <s v="Benefits"/>
    <x v="248"/>
    <n v="9000"/>
    <n v="9000"/>
  </r>
  <r>
    <x v="6"/>
    <x v="1"/>
    <n v="2"/>
    <n v="10"/>
    <s v="Salaries"/>
    <x v="249"/>
    <n v="1350000"/>
    <n v="1350000"/>
  </r>
  <r>
    <x v="6"/>
    <x v="1"/>
    <n v="2"/>
    <n v="11"/>
    <s v="Benefits"/>
    <x v="250"/>
    <n v="288900"/>
    <n v="288900"/>
  </r>
  <r>
    <x v="6"/>
    <x v="1"/>
    <n v="2"/>
    <n v="12"/>
    <s v="Benefits"/>
    <x v="251"/>
    <n v="90720"/>
    <n v="91217.664000000004"/>
  </r>
  <r>
    <x v="6"/>
    <x v="1"/>
    <n v="2"/>
    <n v="13"/>
    <s v="Salaries"/>
    <x v="252"/>
    <n v="260000"/>
    <n v="287000"/>
  </r>
  <r>
    <x v="6"/>
    <x v="1"/>
    <n v="2"/>
    <n v="14"/>
    <s v="Benefits"/>
    <x v="253"/>
    <n v="55640"/>
    <n v="61418"/>
  </r>
  <r>
    <x v="6"/>
    <x v="1"/>
    <n v="2"/>
    <n v="15"/>
    <s v="Benefits"/>
    <x v="254"/>
    <n v="25200"/>
    <n v="25338.240000000002"/>
  </r>
  <r>
    <x v="6"/>
    <x v="1"/>
    <n v="2"/>
    <n v="16"/>
    <s v="Benefits"/>
    <x v="22"/>
    <m/>
    <m/>
  </r>
  <r>
    <x v="6"/>
    <x v="1"/>
    <n v="2"/>
    <n v="17"/>
    <s v="Dues &amp; Fees/Interest"/>
    <x v="255"/>
    <n v="4000"/>
    <n v="4000"/>
  </r>
  <r>
    <x v="6"/>
    <x v="1"/>
    <n v="2"/>
    <n v="18"/>
    <s v="Facilities"/>
    <x v="256"/>
    <n v="100000"/>
    <n v="100000"/>
  </r>
  <r>
    <x v="6"/>
    <x v="1"/>
    <n v="2"/>
    <n v="19"/>
    <s v="Materials and Supplies"/>
    <x v="257"/>
    <n v="200000"/>
    <n v="200000"/>
  </r>
  <r>
    <x v="6"/>
    <x v="1"/>
    <n v="2"/>
    <n v="20"/>
    <s v="Purchased Professional Services"/>
    <x v="258"/>
    <n v="85000"/>
    <n v="85000"/>
  </r>
  <r>
    <x v="6"/>
    <x v="1"/>
    <n v="2"/>
    <n v="21"/>
    <s v="Furniture, Fixtures &amp; Equipement"/>
    <x v="259"/>
    <n v="100000"/>
    <n v="100000"/>
  </r>
  <r>
    <x v="6"/>
    <x v="1"/>
    <n v="2"/>
    <n v="22"/>
    <s v="Furniture, Fixtures &amp; Equipement"/>
    <x v="260"/>
    <n v="100000"/>
    <n v="100000"/>
  </r>
  <r>
    <x v="6"/>
    <x v="1"/>
    <n v="2"/>
    <n v="23"/>
    <s v="Materials and Supplies"/>
    <x v="261"/>
    <n v="50000"/>
    <n v="50000"/>
  </r>
  <r>
    <x v="6"/>
    <x v="1"/>
    <n v="2"/>
    <n v="24"/>
    <s v="Materials and Supplies"/>
    <x v="262"/>
    <n v="10000"/>
    <n v="10000"/>
  </r>
  <r>
    <x v="6"/>
    <x v="1"/>
    <n v="2"/>
    <n v="25"/>
    <s v="Purchased services"/>
    <x v="263"/>
    <n v="30000"/>
    <n v="30000"/>
  </r>
  <r>
    <x v="6"/>
    <x v="1"/>
    <n v="2"/>
    <n v="26"/>
    <s v="Other Purchased Services"/>
    <x v="264"/>
    <n v="5000"/>
    <n v="5000"/>
  </r>
  <r>
    <x v="6"/>
    <x v="1"/>
    <n v="2"/>
    <n v="27"/>
    <s v="Other Purchased Services"/>
    <x v="265"/>
    <n v="5000"/>
    <n v="5000"/>
  </r>
  <r>
    <x v="6"/>
    <x v="1"/>
    <n v="2"/>
    <n v="28"/>
    <s v="Other Purchased Services"/>
    <x v="266"/>
    <n v="20000"/>
    <n v="20000"/>
  </r>
  <r>
    <x v="6"/>
    <x v="1"/>
    <n v="2"/>
    <n v="29"/>
    <s v="Travel"/>
    <x v="267"/>
    <n v="150000"/>
    <n v="150000"/>
  </r>
  <r>
    <x v="6"/>
    <x v="1"/>
    <n v="2"/>
    <n v="30"/>
    <s v="Purchased Professional Services"/>
    <x v="268"/>
    <n v="5000"/>
    <n v="5000"/>
  </r>
  <r>
    <x v="6"/>
    <x v="1"/>
    <n v="2"/>
    <n v="31"/>
    <s v="Purchased Professional Services"/>
    <x v="269"/>
    <n v="2000"/>
    <n v="2000"/>
  </r>
  <r>
    <x v="6"/>
    <x v="1"/>
    <n v="2"/>
    <n v="32"/>
    <s v="Purchased Professional Services"/>
    <x v="270"/>
    <n v="20000"/>
    <n v="20000"/>
  </r>
  <r>
    <x v="6"/>
    <x v="1"/>
    <n v="2"/>
    <n v="33"/>
    <s v="Purchased Professional Services"/>
    <x v="271"/>
    <n v="10000"/>
    <n v="10000"/>
  </r>
  <r>
    <x v="6"/>
    <x v="1"/>
    <n v="2"/>
    <n v="34"/>
    <s v="Purchased Property Services"/>
    <x v="272"/>
    <n v="5000"/>
    <n v="5000"/>
  </r>
  <r>
    <x v="5"/>
    <x v="0"/>
    <n v="1"/>
    <n v="1"/>
    <s v="Beginning Balance"/>
    <x v="0"/>
    <n v="441727"/>
    <n v="441727"/>
  </r>
  <r>
    <x v="5"/>
    <x v="0"/>
    <n v="1"/>
    <n v="2"/>
    <s v="State Sources"/>
    <x v="202"/>
    <n v="3881481"/>
    <n v="3881481"/>
  </r>
  <r>
    <x v="5"/>
    <x v="0"/>
    <n v="1"/>
    <n v="3"/>
    <s v="State Sources"/>
    <x v="131"/>
    <n v="833942"/>
    <n v="833942"/>
  </r>
  <r>
    <x v="5"/>
    <x v="0"/>
    <n v="1"/>
    <n v="4"/>
    <s v="State Sources"/>
    <x v="132"/>
    <n v="60000"/>
    <n v="60000"/>
  </r>
  <r>
    <x v="2"/>
    <x v="0"/>
    <n v="1"/>
    <n v="9"/>
    <s v="Federal Sources"/>
    <x v="273"/>
    <n v="21468"/>
    <n v="21468"/>
  </r>
  <r>
    <x v="0"/>
    <x v="0"/>
    <n v="1"/>
    <n v="18"/>
    <s v="Federal Sources"/>
    <x v="274"/>
    <n v="22770"/>
    <n v="22770"/>
  </r>
  <r>
    <x v="4"/>
    <x v="0"/>
    <n v="1"/>
    <n v="18"/>
    <s v="Federal Sources"/>
    <x v="274"/>
    <m/>
    <m/>
  </r>
  <r>
    <x v="1"/>
    <x v="0"/>
    <n v="1"/>
    <n v="18"/>
    <s v="Federal Sources"/>
    <x v="274"/>
    <m/>
    <m/>
  </r>
  <r>
    <x v="5"/>
    <x v="0"/>
    <n v="1"/>
    <n v="9"/>
    <s v="Federal Sources"/>
    <x v="16"/>
    <m/>
    <m/>
  </r>
  <r>
    <x v="5"/>
    <x v="0"/>
    <n v="1"/>
    <n v="10"/>
    <s v="State Sources"/>
    <x v="135"/>
    <n v="27250"/>
    <n v="27250"/>
  </r>
  <r>
    <x v="5"/>
    <x v="0"/>
    <n v="1"/>
    <n v="11"/>
    <s v="Local/Other Sources"/>
    <x v="136"/>
    <n v="0"/>
    <n v="0"/>
  </r>
  <r>
    <x v="5"/>
    <x v="0"/>
    <n v="1"/>
    <n v="12"/>
    <s v="Federal Sources"/>
    <x v="17"/>
    <n v="357331"/>
    <n v="357331"/>
  </r>
  <r>
    <x v="5"/>
    <x v="0"/>
    <n v="1"/>
    <n v="13"/>
    <s v="Federal Sources"/>
    <x v="137"/>
    <n v="120000"/>
    <n v="120000"/>
  </r>
  <r>
    <x v="5"/>
    <x v="0"/>
    <n v="1"/>
    <n v="14"/>
    <s v="State Sources"/>
    <x v="206"/>
    <n v="0"/>
    <n v="0"/>
  </r>
  <r>
    <x v="5"/>
    <x v="0"/>
    <n v="1"/>
    <n v="15"/>
    <s v="State Sources"/>
    <x v="207"/>
    <n v="0"/>
    <n v="0"/>
  </r>
  <r>
    <x v="5"/>
    <x v="0"/>
    <n v="1"/>
    <n v="16"/>
    <s v="State Sources"/>
    <x v="140"/>
    <m/>
    <m/>
  </r>
  <r>
    <x v="5"/>
    <x v="0"/>
    <n v="1"/>
    <n v="17"/>
    <s v="Grants &amp; Contributions "/>
    <x v="208"/>
    <m/>
    <m/>
  </r>
  <r>
    <x v="5"/>
    <x v="0"/>
    <n v="1"/>
    <n v="18"/>
    <s v="Grants &amp; Contributions "/>
    <x v="2"/>
    <n v="100000"/>
    <n v="100000"/>
  </r>
  <r>
    <x v="5"/>
    <x v="0"/>
    <n v="1"/>
    <n v="19"/>
    <s v="Local/Other Sources"/>
    <x v="142"/>
    <n v="0"/>
    <n v="0"/>
  </r>
  <r>
    <x v="5"/>
    <x v="1"/>
    <n v="2"/>
    <n v="1"/>
    <s v="Teacher/Learning Coach - Salaries"/>
    <x v="275"/>
    <n v="2421000"/>
    <n v="2541000"/>
  </r>
  <r>
    <x v="5"/>
    <x v="1"/>
    <n v="2"/>
    <n v="2"/>
    <s v="Teacher/Learning Coach - Stipends"/>
    <x v="144"/>
    <n v="0"/>
    <n v="0"/>
  </r>
  <r>
    <x v="5"/>
    <x v="1"/>
    <n v="2"/>
    <n v="3"/>
    <s v="Teacher/Learning Coach - Bonus"/>
    <x v="145"/>
    <n v="77920"/>
    <n v="101640"/>
  </r>
  <r>
    <x v="5"/>
    <x v="1"/>
    <n v="2"/>
    <n v="4"/>
    <s v="Teacher/Learning Coach - Benefits"/>
    <x v="146"/>
    <n v="35104.5"/>
    <n v="36844.5"/>
  </r>
  <r>
    <x v="5"/>
    <x v="1"/>
    <n v="2"/>
    <n v="5"/>
    <s v="Teacher/Learning Coach - Benefits"/>
    <x v="276"/>
    <n v="888"/>
    <n v="319.2"/>
  </r>
  <r>
    <x v="5"/>
    <x v="1"/>
    <n v="2"/>
    <n v="6"/>
    <s v="Teacher/Learning Coach - Benefits"/>
    <x v="148"/>
    <n v="221760.00000000003"/>
    <n v="192570.62400000004"/>
  </r>
  <r>
    <x v="5"/>
    <x v="1"/>
    <n v="2"/>
    <n v="7"/>
    <s v="Teacher/Learning Coach - Benefits"/>
    <x v="149"/>
    <n v="30504.6"/>
    <n v="32016.6"/>
  </r>
  <r>
    <x v="5"/>
    <x v="1"/>
    <n v="2"/>
    <n v="8"/>
    <s v="Teacher/Learning Coach - Benefits"/>
    <x v="150"/>
    <n v="43578"/>
    <n v="45738"/>
  </r>
  <r>
    <x v="5"/>
    <x v="1"/>
    <n v="2"/>
    <n v="9"/>
    <s v="Teacher/Learning Coach - Benefits"/>
    <x v="151"/>
    <n v="19368"/>
    <n v="20328"/>
  </r>
  <r>
    <x v="5"/>
    <x v="1"/>
    <n v="2"/>
    <n v="10"/>
    <s v="Teacher/Learning Coach - Salaries"/>
    <x v="62"/>
    <n v="144000"/>
    <n v="144000"/>
  </r>
  <r>
    <x v="5"/>
    <x v="1"/>
    <n v="2"/>
    <n v="11"/>
    <s v="Teacher/Learning Coach - Benefits"/>
    <x v="152"/>
    <n v="2088"/>
    <n v="2088"/>
  </r>
  <r>
    <x v="5"/>
    <x v="1"/>
    <n v="2"/>
    <n v="12"/>
    <s v="Teacher/Learning Coach - Benefits"/>
    <x v="153"/>
    <m/>
    <n v="12669.12"/>
  </r>
  <r>
    <x v="5"/>
    <x v="1"/>
    <n v="2"/>
    <n v="13"/>
    <s v="Teacher/Learning Coach - Benefits"/>
    <x v="154"/>
    <n v="1814.4"/>
    <n v="1814.4"/>
  </r>
  <r>
    <x v="5"/>
    <x v="1"/>
    <n v="2"/>
    <n v="14"/>
    <s v="Teacher/Learning Coach - Benefits"/>
    <x v="155"/>
    <n v="2592"/>
    <n v="2592"/>
  </r>
  <r>
    <x v="5"/>
    <x v="1"/>
    <n v="2"/>
    <n v="15"/>
    <s v="Teacher/Learning Coach - Benefits"/>
    <x v="156"/>
    <n v="1152"/>
    <n v="1152"/>
  </r>
  <r>
    <x v="5"/>
    <x v="1"/>
    <n v="2"/>
    <n v="16"/>
    <s v="Teacher/Learning Coach - Stipends"/>
    <x v="157"/>
    <n v="0"/>
    <n v="0"/>
  </r>
  <r>
    <x v="5"/>
    <x v="1"/>
    <n v="2"/>
    <n v="17"/>
    <s v="School Leadership - Salaries"/>
    <x v="158"/>
    <n v="484500"/>
    <n v="505000"/>
  </r>
  <r>
    <x v="5"/>
    <x v="1"/>
    <n v="2"/>
    <n v="18"/>
    <s v="School Leadership - Salaries"/>
    <x v="159"/>
    <m/>
    <m/>
  </r>
  <r>
    <x v="5"/>
    <x v="1"/>
    <n v="2"/>
    <n v="19"/>
    <s v="School Leadership - Benefits"/>
    <x v="160"/>
    <n v="7025.25"/>
    <n v="7322.5"/>
  </r>
  <r>
    <x v="5"/>
    <x v="1"/>
    <n v="2"/>
    <n v="20"/>
    <s v="School Leadership - Benefits"/>
    <x v="161"/>
    <n v="120"/>
    <n v="75.600000000000009"/>
  </r>
  <r>
    <x v="5"/>
    <x v="1"/>
    <n v="2"/>
    <n v="21"/>
    <s v="School Leadership - Benefits"/>
    <x v="162"/>
    <m/>
    <n v="45608.832000000002"/>
  </r>
  <r>
    <x v="5"/>
    <x v="1"/>
    <n v="2"/>
    <n v="22"/>
    <s v="School Leadership - Benefits"/>
    <x v="163"/>
    <n v="6104.7"/>
    <n v="6363"/>
  </r>
  <r>
    <x v="5"/>
    <x v="1"/>
    <n v="2"/>
    <n v="23"/>
    <s v="School Leadership - Benefits"/>
    <x v="164"/>
    <n v="8721"/>
    <n v="9090"/>
  </r>
  <r>
    <x v="5"/>
    <x v="1"/>
    <n v="2"/>
    <n v="24"/>
    <s v="School Leadership - Benefits"/>
    <x v="165"/>
    <n v="3876"/>
    <n v="4040"/>
  </r>
  <r>
    <x v="5"/>
    <x v="1"/>
    <n v="2"/>
    <n v="25"/>
    <s v="Benefits "/>
    <x v="140"/>
    <m/>
    <m/>
  </r>
  <r>
    <x v="5"/>
    <x v="1"/>
    <n v="2"/>
    <n v="26"/>
    <s v="Copy Clerks (1099)"/>
    <x v="166"/>
    <m/>
    <m/>
  </r>
  <r>
    <x v="5"/>
    <x v="1"/>
    <n v="2"/>
    <n v="27"/>
    <s v="5th QTR "/>
    <x v="277"/>
    <n v="200000"/>
    <n v="200000"/>
  </r>
  <r>
    <x v="5"/>
    <x v="1"/>
    <n v="2"/>
    <n v="28"/>
    <s v="Instruct Substitutes"/>
    <x v="168"/>
    <n v="20000"/>
    <n v="20000"/>
  </r>
  <r>
    <x v="5"/>
    <x v="1"/>
    <n v="2"/>
    <n v="29"/>
    <s v="Admin - Purchased Services"/>
    <x v="278"/>
    <n v="40000"/>
    <n v="40000"/>
  </r>
  <r>
    <x v="5"/>
    <x v="1"/>
    <n v="2"/>
    <n v="30"/>
    <s v="Admin - Purchased Services"/>
    <x v="279"/>
    <n v="265000"/>
    <n v="265000"/>
  </r>
  <r>
    <x v="5"/>
    <x v="1"/>
    <n v="2"/>
    <n v="31"/>
    <s v="Admin - Purchased Services"/>
    <x v="171"/>
    <n v="750000"/>
    <n v="821000"/>
  </r>
  <r>
    <x v="5"/>
    <x v="1"/>
    <n v="2"/>
    <n v="32"/>
    <s v="Furniture and Equip."/>
    <x v="172"/>
    <m/>
    <n v="20000"/>
  </r>
  <r>
    <x v="5"/>
    <x v="1"/>
    <n v="2"/>
    <n v="33"/>
    <s v="Instruct - Purchased Services"/>
    <x v="173"/>
    <n v="60000"/>
    <n v="60000"/>
  </r>
  <r>
    <x v="5"/>
    <x v="1"/>
    <n v="2"/>
    <n v="34"/>
    <s v="Instruct - Purchased Services"/>
    <x v="174"/>
    <m/>
    <m/>
  </r>
  <r>
    <x v="5"/>
    <x v="1"/>
    <n v="2"/>
    <n v="35"/>
    <s v="Instruct - Materials and Supplies"/>
    <x v="280"/>
    <n v="0"/>
    <n v="0"/>
  </r>
  <r>
    <x v="5"/>
    <x v="1"/>
    <n v="2"/>
    <n v="36"/>
    <s v="Instruct - Materials and Supplies"/>
    <x v="225"/>
    <m/>
    <m/>
  </r>
  <r>
    <x v="5"/>
    <x v="1"/>
    <n v="2"/>
    <n v="37"/>
    <s v="Instruct - Materials and Supplies"/>
    <x v="226"/>
    <n v="6125"/>
    <n v="6125"/>
  </r>
  <r>
    <x v="5"/>
    <x v="1"/>
    <n v="2"/>
    <n v="38"/>
    <s v="Instruct - Materials and Supplies"/>
    <x v="178"/>
    <n v="44550"/>
    <n v="44550"/>
  </r>
  <r>
    <x v="5"/>
    <x v="1"/>
    <n v="2"/>
    <n v="39"/>
    <s v="Instruct - Materials and Supplies"/>
    <x v="179"/>
    <n v="6200"/>
    <n v="6200"/>
  </r>
  <r>
    <x v="5"/>
    <x v="1"/>
    <n v="2"/>
    <n v="40"/>
    <s v="Instruct - Materials and Supplies"/>
    <x v="180"/>
    <n v="50000"/>
    <n v="50000"/>
  </r>
  <r>
    <x v="5"/>
    <x v="1"/>
    <n v="2"/>
    <n v="41"/>
    <s v="Instruct - Materials and Supplies"/>
    <x v="181"/>
    <n v="20000"/>
    <n v="20000"/>
  </r>
  <r>
    <x v="5"/>
    <x v="1"/>
    <n v="2"/>
    <n v="42"/>
    <s v="Instruct - Materials and Supplies"/>
    <x v="182"/>
    <n v="5450"/>
    <n v="5450"/>
  </r>
  <r>
    <x v="5"/>
    <x v="1"/>
    <n v="2"/>
    <n v="43"/>
    <s v="Instruct - Materials and Supplies"/>
    <x v="183"/>
    <n v="10000"/>
    <n v="10000"/>
  </r>
  <r>
    <x v="5"/>
    <x v="1"/>
    <n v="2"/>
    <n v="44"/>
    <s v="Purchased Services"/>
    <x v="184"/>
    <n v="130000"/>
    <n v="130000"/>
  </r>
  <r>
    <x v="5"/>
    <x v="1"/>
    <n v="2"/>
    <n v="45"/>
    <s v="Purchased Services"/>
    <x v="185"/>
    <n v="60000"/>
    <n v="60000"/>
  </r>
  <r>
    <x v="5"/>
    <x v="1"/>
    <n v="2"/>
    <n v="46"/>
    <s v="Purchased Services"/>
    <x v="186"/>
    <n v="60000"/>
    <n v="60000"/>
  </r>
  <r>
    <x v="5"/>
    <x v="1"/>
    <n v="2"/>
    <n v="47"/>
    <s v="Purchased Services"/>
    <x v="187"/>
    <n v="12000"/>
    <n v="12000"/>
  </r>
  <r>
    <x v="5"/>
    <x v="1"/>
    <n v="2"/>
    <n v="48"/>
    <s v="Supplies and equip."/>
    <x v="188"/>
    <m/>
    <m/>
  </r>
  <r>
    <x v="5"/>
    <x v="1"/>
    <n v="2"/>
    <n v="49"/>
    <s v="Supplies and equip."/>
    <x v="189"/>
    <m/>
    <m/>
  </r>
  <r>
    <x v="5"/>
    <x v="1"/>
    <n v="2"/>
    <n v="50"/>
    <s v="Supplies and equip."/>
    <x v="190"/>
    <m/>
    <m/>
  </r>
  <r>
    <x v="5"/>
    <x v="1"/>
    <n v="2"/>
    <n v="51"/>
    <s v="Purchased Services"/>
    <x v="191"/>
    <n v="300"/>
    <n v="300"/>
  </r>
  <r>
    <x v="5"/>
    <x v="1"/>
    <n v="2"/>
    <n v="52"/>
    <s v="Purchased Services"/>
    <x v="33"/>
    <n v="15000"/>
    <n v="15000"/>
  </r>
  <r>
    <x v="5"/>
    <x v="1"/>
    <n v="2"/>
    <n v="53"/>
    <s v="Purchased Services"/>
    <x v="192"/>
    <n v="2620.7472000000002"/>
    <n v="2620.7472000000002"/>
  </r>
  <r>
    <x v="5"/>
    <x v="1"/>
    <n v="2"/>
    <n v="54"/>
    <s v="Admin - Materials and Supplies"/>
    <x v="193"/>
    <n v="10000"/>
    <n v="10000"/>
  </r>
  <r>
    <x v="5"/>
    <x v="1"/>
    <n v="2"/>
    <n v="55"/>
    <s v="Admin - Materials and Supplies"/>
    <x v="194"/>
    <n v="5500"/>
    <n v="5500"/>
  </r>
  <r>
    <x v="5"/>
    <x v="1"/>
    <n v="2"/>
    <n v="56"/>
    <s v="Admin - Materials and Supplies"/>
    <x v="195"/>
    <n v="5000"/>
    <n v="5000"/>
  </r>
  <r>
    <x v="5"/>
    <x v="1"/>
    <n v="2"/>
    <n v="57"/>
    <s v="Admin - Dues &amp; Fees "/>
    <x v="196"/>
    <n v="2000"/>
    <n v="2000"/>
  </r>
  <r>
    <x v="5"/>
    <x v="1"/>
    <n v="2"/>
    <n v="58"/>
    <s v="Admin - Purchased Services"/>
    <x v="197"/>
    <m/>
    <m/>
  </r>
  <r>
    <x v="5"/>
    <x v="1"/>
    <n v="2"/>
    <n v="59"/>
    <s v="Admin - Dues &amp; Fees "/>
    <x v="198"/>
    <m/>
    <m/>
  </r>
  <r>
    <x v="5"/>
    <x v="1"/>
    <n v="2"/>
    <n v="60"/>
    <s v="Admin - Purchased Services"/>
    <x v="199"/>
    <m/>
    <m/>
  </r>
  <r>
    <x v="5"/>
    <x v="1"/>
    <n v="2"/>
    <n v="61"/>
    <s v="Marketing"/>
    <x v="200"/>
    <n v="20000"/>
    <n v="20000"/>
  </r>
  <r>
    <x v="5"/>
    <x v="1"/>
    <n v="2"/>
    <n v="62"/>
    <s v="Other purchases services"/>
    <x v="201"/>
    <m/>
    <m/>
  </r>
  <r>
    <x v="5"/>
    <x v="1"/>
    <n v="2"/>
    <n v="63"/>
    <s v="Other purchases services"/>
    <x v="25"/>
    <n v="10000"/>
    <n v="10000"/>
  </r>
  <r>
    <x v="7"/>
    <x v="2"/>
    <m/>
    <m/>
    <m/>
    <x v="28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0EB52C-813A-4634-8200-8C60502AF091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8" indent="0" outline="1" outlineData="1" multipleFieldFilters="0">
  <location ref="A3:C91" firstHeaderRow="0" firstDataRow="1" firstDataCol="1" rowPageCount="1" colPageCount="1"/>
  <pivotFields count="8">
    <pivotField axis="axisPage" showAll="0">
      <items count="9">
        <item x="0"/>
        <item x="4"/>
        <item x="1"/>
        <item x="2"/>
        <item x="3"/>
        <item x="6"/>
        <item x="5"/>
        <item x="7"/>
        <item t="default"/>
      </items>
    </pivotField>
    <pivotField axis="axisRow" showAll="0" insertBlankRow="1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283">
        <item x="131"/>
        <item x="205"/>
        <item x="219"/>
        <item x="277"/>
        <item x="167"/>
        <item x="120"/>
        <item x="104"/>
        <item x="159"/>
        <item x="158"/>
        <item x="198"/>
        <item x="162"/>
        <item x="161"/>
        <item x="160"/>
        <item x="220"/>
        <item x="221"/>
        <item x="169"/>
        <item x="170"/>
        <item x="278"/>
        <item x="279"/>
        <item x="171"/>
        <item x="164"/>
        <item x="165"/>
        <item x="163"/>
        <item x="107"/>
        <item x="78"/>
        <item x="105"/>
        <item x="88"/>
        <item x="65"/>
        <item x="67"/>
        <item x="66"/>
        <item x="199"/>
        <item x="77"/>
        <item x="98"/>
        <item x="116"/>
        <item x="33"/>
        <item x="191"/>
        <item x="0"/>
        <item x="266"/>
        <item x="262"/>
        <item x="49"/>
        <item x="121"/>
        <item x="36"/>
        <item x="37"/>
        <item x="128"/>
        <item x="35"/>
        <item x="4"/>
        <item x="43"/>
        <item x="96"/>
        <item x="127"/>
        <item x="255"/>
        <item x="110"/>
        <item x="111"/>
        <item x="92"/>
        <item x="248"/>
        <item x="3"/>
        <item x="238"/>
        <item x="75"/>
        <item x="95"/>
        <item x="29"/>
        <item x="166"/>
        <item x="265"/>
        <item x="201"/>
        <item x="44"/>
        <item x="89"/>
        <item x="41"/>
        <item x="42"/>
        <item x="24"/>
        <item x="212"/>
        <item x="211"/>
        <item x="215"/>
        <item x="214"/>
        <item x="213"/>
        <item x="217"/>
        <item x="218"/>
        <item x="216"/>
        <item x="184"/>
        <item x="229"/>
        <item x="185"/>
        <item x="183"/>
        <item x="228"/>
        <item x="50"/>
        <item x="5"/>
        <item x="6"/>
        <item x="119"/>
        <item x="81"/>
        <item x="126"/>
        <item x="7"/>
        <item x="8"/>
        <item x="11"/>
        <item x="18"/>
        <item x="17"/>
        <item x="137"/>
        <item x="71"/>
        <item x="187"/>
        <item x="230"/>
        <item x="79"/>
        <item x="93"/>
        <item x="202"/>
        <item x="129"/>
        <item x="130"/>
        <item x="172"/>
        <item x="222"/>
        <item x="259"/>
        <item x="260"/>
        <item x="90"/>
        <item x="47"/>
        <item x="115"/>
        <item x="16"/>
        <item x="136"/>
        <item x="174"/>
        <item x="223"/>
        <item x="176"/>
        <item x="280"/>
        <item x="224"/>
        <item x="74"/>
        <item x="225"/>
        <item x="227"/>
        <item x="178"/>
        <item x="226"/>
        <item x="180"/>
        <item x="182"/>
        <item x="181"/>
        <item x="179"/>
        <item x="31"/>
        <item x="148"/>
        <item x="145"/>
        <item x="147"/>
        <item x="276"/>
        <item x="146"/>
        <item x="143"/>
        <item x="275"/>
        <item x="144"/>
        <item x="150"/>
        <item x="151"/>
        <item x="149"/>
        <item x="23"/>
        <item x="117"/>
        <item x="125"/>
        <item x="55"/>
        <item x="54"/>
        <item x="83"/>
        <item x="108"/>
        <item x="32"/>
        <item x="97"/>
        <item x="61"/>
        <item x="249"/>
        <item x="251"/>
        <item x="250"/>
        <item x="58"/>
        <item x="68"/>
        <item x="118"/>
        <item x="56"/>
        <item x="63"/>
        <item x="263"/>
        <item x="135"/>
        <item x="244"/>
        <item x="247"/>
        <item x="246"/>
        <item x="242"/>
        <item x="245"/>
        <item x="243"/>
        <item x="268"/>
        <item x="269"/>
        <item x="241"/>
        <item x="270"/>
        <item x="256"/>
        <item x="99"/>
        <item x="264"/>
        <item x="272"/>
        <item x="240"/>
        <item x="261"/>
        <item x="267"/>
        <item x="141"/>
        <item x="257"/>
        <item x="271"/>
        <item x="252"/>
        <item x="72"/>
        <item x="22"/>
        <item x="76"/>
        <item x="2"/>
        <item x="69"/>
        <item x="57"/>
        <item x="64"/>
        <item x="193"/>
        <item x="25"/>
        <item x="1"/>
        <item x="38"/>
        <item x="28"/>
        <item x="9"/>
        <item x="48"/>
        <item x="206"/>
        <item x="19"/>
        <item x="207"/>
        <item x="101"/>
        <item x="70"/>
        <item x="34"/>
        <item x="39"/>
        <item x="106"/>
        <item x="87"/>
        <item x="40"/>
        <item x="194"/>
        <item x="200"/>
        <item x="196"/>
        <item x="195"/>
        <item x="197"/>
        <item x="53"/>
        <item x="237"/>
        <item x="231"/>
        <item x="232"/>
        <item x="233"/>
        <item x="235"/>
        <item x="236"/>
        <item x="234"/>
        <item x="100"/>
        <item x="173"/>
        <item x="30"/>
        <item x="152"/>
        <item x="154"/>
        <item x="94"/>
        <item x="153"/>
        <item x="73"/>
        <item x="62"/>
        <item x="86"/>
        <item x="258"/>
        <item x="20"/>
        <item x="21"/>
        <item x="142"/>
        <item x="103"/>
        <item x="85"/>
        <item x="102"/>
        <item x="186"/>
        <item x="188"/>
        <item x="189"/>
        <item x="190"/>
        <item x="139"/>
        <item x="138"/>
        <item x="84"/>
        <item x="132"/>
        <item x="210"/>
        <item x="168"/>
        <item x="157"/>
        <item x="175"/>
        <item x="192"/>
        <item x="177"/>
        <item x="80"/>
        <item x="208"/>
        <item x="12"/>
        <item x="13"/>
        <item x="14"/>
        <item x="15"/>
        <item x="112"/>
        <item x="113"/>
        <item x="114"/>
        <item x="122"/>
        <item x="123"/>
        <item x="124"/>
        <item x="133"/>
        <item x="134"/>
        <item x="203"/>
        <item x="204"/>
        <item x="273"/>
        <item x="274"/>
        <item x="209"/>
        <item x="253"/>
        <item x="254"/>
        <item x="91"/>
        <item x="109"/>
        <item x="46"/>
        <item x="155"/>
        <item x="156"/>
        <item x="140"/>
        <item x="239"/>
        <item x="26"/>
        <item x="59"/>
        <item x="82"/>
        <item x="10"/>
        <item x="52"/>
        <item x="45"/>
        <item x="51"/>
        <item x="27"/>
        <item x="60"/>
        <item x="281"/>
        <item t="default"/>
      </items>
    </pivotField>
    <pivotField dataField="1" showAll="0"/>
    <pivotField dataField="1" showAll="0"/>
  </pivotFields>
  <rowFields count="2">
    <field x="1"/>
    <field x="5"/>
  </rowFields>
  <rowItems count="88">
    <i>
      <x/>
    </i>
    <i r="1">
      <x/>
    </i>
    <i r="1">
      <x v="36"/>
    </i>
    <i r="1">
      <x v="90"/>
    </i>
    <i r="1">
      <x v="91"/>
    </i>
    <i r="1">
      <x v="98"/>
    </i>
    <i r="1">
      <x v="99"/>
    </i>
    <i r="1">
      <x v="107"/>
    </i>
    <i r="1">
      <x v="108"/>
    </i>
    <i r="1">
      <x v="154"/>
    </i>
    <i r="1">
      <x v="172"/>
    </i>
    <i r="1">
      <x v="179"/>
    </i>
    <i r="1">
      <x v="226"/>
    </i>
    <i r="1">
      <x v="234"/>
    </i>
    <i r="1">
      <x v="235"/>
    </i>
    <i r="1">
      <x v="237"/>
    </i>
    <i r="1">
      <x v="247"/>
    </i>
    <i r="1">
      <x v="253"/>
    </i>
    <i r="1">
      <x v="256"/>
    </i>
    <i r="1">
      <x v="260"/>
    </i>
    <i r="1">
      <x v="270"/>
    </i>
    <i t="blank">
      <x/>
    </i>
    <i>
      <x v="1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30"/>
    </i>
    <i r="1">
      <x v="34"/>
    </i>
    <i r="1">
      <x v="35"/>
    </i>
    <i r="1">
      <x v="59"/>
    </i>
    <i r="1">
      <x v="61"/>
    </i>
    <i r="1">
      <x v="75"/>
    </i>
    <i r="1">
      <x v="77"/>
    </i>
    <i r="1">
      <x v="78"/>
    </i>
    <i r="1">
      <x v="93"/>
    </i>
    <i r="1">
      <x v="100"/>
    </i>
    <i r="1">
      <x v="109"/>
    </i>
    <i r="1">
      <x v="111"/>
    </i>
    <i r="1">
      <x v="117"/>
    </i>
    <i r="1">
      <x v="119"/>
    </i>
    <i r="1">
      <x v="120"/>
    </i>
    <i r="1">
      <x v="121"/>
    </i>
    <i r="1">
      <x v="122"/>
    </i>
    <i r="1">
      <x v="124"/>
    </i>
    <i r="1">
      <x v="125"/>
    </i>
    <i r="1">
      <x v="126"/>
    </i>
    <i r="1">
      <x v="128"/>
    </i>
    <i r="1">
      <x v="129"/>
    </i>
    <i r="1">
      <x v="131"/>
    </i>
    <i r="1">
      <x v="132"/>
    </i>
    <i r="1">
      <x v="133"/>
    </i>
    <i r="1">
      <x v="134"/>
    </i>
    <i r="1">
      <x v="183"/>
    </i>
    <i r="1">
      <x v="184"/>
    </i>
    <i r="1">
      <x v="200"/>
    </i>
    <i r="1">
      <x v="201"/>
    </i>
    <i r="1">
      <x v="202"/>
    </i>
    <i r="1">
      <x v="203"/>
    </i>
    <i r="1">
      <x v="204"/>
    </i>
    <i r="1">
      <x v="214"/>
    </i>
    <i r="1">
      <x v="216"/>
    </i>
    <i r="1">
      <x v="217"/>
    </i>
    <i r="1">
      <x v="219"/>
    </i>
    <i r="1">
      <x v="221"/>
    </i>
    <i r="1">
      <x v="230"/>
    </i>
    <i r="1">
      <x v="231"/>
    </i>
    <i r="1">
      <x v="232"/>
    </i>
    <i r="1">
      <x v="233"/>
    </i>
    <i r="1">
      <x v="239"/>
    </i>
    <i r="1">
      <x v="240"/>
    </i>
    <i r="1">
      <x v="241"/>
    </i>
    <i r="1">
      <x v="242"/>
    </i>
    <i r="1">
      <x v="243"/>
    </i>
    <i r="1">
      <x v="268"/>
    </i>
    <i r="1">
      <x v="269"/>
    </i>
    <i r="1">
      <x v="270"/>
    </i>
    <i t="blank"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3" hier="-1"/>
  </pageFields>
  <dataFields count="2">
    <dataField name="Sum of FY23" fld="6" baseField="0" baseItem="0"/>
    <dataField name="Sum of FY23 Growth" fld="7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2-09-13T22:01:43.91" personId="{833CC8E5-5870-4205-9A59-6C399D7B95FB}" id="{3D5B7807-D074-4D1C-9E95-601706AF941E}">
    <text>Number provided by CSI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0F37-8A4E-48DF-BB63-CBF765280D95}">
  <dimension ref="A1:C541"/>
  <sheetViews>
    <sheetView workbookViewId="0">
      <selection activeCell="M30" sqref="M30"/>
    </sheetView>
  </sheetViews>
  <sheetFormatPr defaultRowHeight="14.5" x14ac:dyDescent="0.35"/>
  <cols>
    <col min="1" max="1" width="51.7265625" bestFit="1" customWidth="1"/>
    <col min="2" max="2" width="13.26953125" style="126" bestFit="1" customWidth="1"/>
    <col min="3" max="3" width="20.54296875" style="126" bestFit="1" customWidth="1"/>
  </cols>
  <sheetData>
    <row r="1" spans="1:3" x14ac:dyDescent="0.35">
      <c r="A1" s="267" t="s">
        <v>0</v>
      </c>
      <c r="B1" t="s">
        <v>1</v>
      </c>
    </row>
    <row r="3" spans="1:3" x14ac:dyDescent="0.35">
      <c r="A3" s="267" t="s">
        <v>2</v>
      </c>
      <c r="B3" s="125" t="s">
        <v>3</v>
      </c>
      <c r="C3" s="125" t="s">
        <v>4</v>
      </c>
    </row>
    <row r="4" spans="1:3" x14ac:dyDescent="0.35">
      <c r="A4" s="22" t="s">
        <v>5</v>
      </c>
      <c r="B4" s="125">
        <v>18665053</v>
      </c>
      <c r="C4" s="125">
        <v>19887586.400000002</v>
      </c>
    </row>
    <row r="5" spans="1:3" x14ac:dyDescent="0.35">
      <c r="A5" s="268" t="s">
        <v>6</v>
      </c>
      <c r="B5" s="125">
        <v>1329346</v>
      </c>
      <c r="C5" s="125">
        <v>1439722.8</v>
      </c>
    </row>
    <row r="6" spans="1:3" x14ac:dyDescent="0.35">
      <c r="A6" s="268" t="s">
        <v>7</v>
      </c>
      <c r="B6" s="125">
        <v>1110185</v>
      </c>
      <c r="C6" s="125">
        <v>1110185</v>
      </c>
    </row>
    <row r="7" spans="1:3" x14ac:dyDescent="0.35">
      <c r="A7" s="268" t="s">
        <v>8</v>
      </c>
      <c r="B7" s="125">
        <v>1560000</v>
      </c>
      <c r="C7" s="125">
        <v>1560000</v>
      </c>
    </row>
    <row r="8" spans="1:3" x14ac:dyDescent="0.35">
      <c r="A8" s="268" t="s">
        <v>9</v>
      </c>
      <c r="B8" s="125">
        <v>0</v>
      </c>
      <c r="C8" s="125">
        <v>0</v>
      </c>
    </row>
    <row r="9" spans="1:3" x14ac:dyDescent="0.35">
      <c r="A9" s="268" t="s">
        <v>10</v>
      </c>
      <c r="B9" s="125">
        <v>11528505</v>
      </c>
      <c r="C9" s="125">
        <v>12485550</v>
      </c>
    </row>
    <row r="10" spans="1:3" x14ac:dyDescent="0.35">
      <c r="A10" s="268" t="s">
        <v>11</v>
      </c>
      <c r="B10" s="125">
        <v>1867618</v>
      </c>
      <c r="C10" s="125">
        <v>2022729.5999999999</v>
      </c>
    </row>
    <row r="11" spans="1:3" x14ac:dyDescent="0.35">
      <c r="A11" s="268" t="s">
        <v>12</v>
      </c>
      <c r="B11" s="125">
        <v>219600</v>
      </c>
      <c r="C11" s="125">
        <v>219600</v>
      </c>
    </row>
    <row r="12" spans="1:3" x14ac:dyDescent="0.35">
      <c r="A12" s="268" t="s">
        <v>13</v>
      </c>
      <c r="B12" s="125">
        <v>0</v>
      </c>
      <c r="C12" s="125">
        <v>0</v>
      </c>
    </row>
    <row r="13" spans="1:3" x14ac:dyDescent="0.35">
      <c r="A13" s="268" t="s">
        <v>14</v>
      </c>
      <c r="B13" s="125">
        <v>70000</v>
      </c>
      <c r="C13" s="125">
        <v>70000</v>
      </c>
    </row>
    <row r="14" spans="1:3" x14ac:dyDescent="0.35">
      <c r="A14" s="268" t="s">
        <v>15</v>
      </c>
      <c r="B14" s="125">
        <v>0</v>
      </c>
      <c r="C14" s="125">
        <v>0</v>
      </c>
    </row>
    <row r="15" spans="1:3" x14ac:dyDescent="0.35">
      <c r="A15" s="268" t="s">
        <v>16</v>
      </c>
      <c r="B15" s="125">
        <v>0</v>
      </c>
      <c r="C15" s="125">
        <v>0</v>
      </c>
    </row>
    <row r="16" spans="1:3" x14ac:dyDescent="0.35">
      <c r="A16" s="268" t="s">
        <v>17</v>
      </c>
      <c r="B16" s="125">
        <v>0</v>
      </c>
      <c r="C16" s="125">
        <v>0</v>
      </c>
    </row>
    <row r="17" spans="1:3" x14ac:dyDescent="0.35">
      <c r="A17" s="268" t="s">
        <v>18</v>
      </c>
      <c r="B17" s="125">
        <v>443000</v>
      </c>
      <c r="C17" s="125">
        <v>443000</v>
      </c>
    </row>
    <row r="18" spans="1:3" x14ac:dyDescent="0.35">
      <c r="A18" s="268" t="s">
        <v>19</v>
      </c>
      <c r="B18" s="125">
        <v>212639</v>
      </c>
      <c r="C18" s="125">
        <v>212639</v>
      </c>
    </row>
    <row r="19" spans="1:3" x14ac:dyDescent="0.35">
      <c r="A19" s="268" t="s">
        <v>20</v>
      </c>
      <c r="B19" s="125">
        <v>0</v>
      </c>
      <c r="C19" s="125">
        <v>0</v>
      </c>
    </row>
    <row r="20" spans="1:3" x14ac:dyDescent="0.35">
      <c r="A20" s="268" t="s">
        <v>21</v>
      </c>
      <c r="B20" s="125">
        <v>214270</v>
      </c>
      <c r="C20" s="125">
        <v>214270</v>
      </c>
    </row>
    <row r="21" spans="1:3" x14ac:dyDescent="0.35">
      <c r="A21" s="268" t="s">
        <v>22</v>
      </c>
      <c r="B21" s="125">
        <v>38422</v>
      </c>
      <c r="C21" s="125">
        <v>38422</v>
      </c>
    </row>
    <row r="22" spans="1:3" x14ac:dyDescent="0.35">
      <c r="A22" s="268" t="s">
        <v>23</v>
      </c>
      <c r="B22" s="125">
        <v>50000</v>
      </c>
      <c r="C22" s="125">
        <v>50000</v>
      </c>
    </row>
    <row r="23" spans="1:3" x14ac:dyDescent="0.35">
      <c r="A23" s="268" t="s">
        <v>24</v>
      </c>
      <c r="B23" s="125">
        <v>21468</v>
      </c>
      <c r="C23" s="125">
        <v>21468</v>
      </c>
    </row>
    <row r="24" spans="1:3" x14ac:dyDescent="0.35">
      <c r="A24" s="268" t="s">
        <v>25</v>
      </c>
      <c r="B24" s="125">
        <v>0</v>
      </c>
      <c r="C24" s="125">
        <v>0</v>
      </c>
    </row>
    <row r="25" spans="1:3" x14ac:dyDescent="0.35">
      <c r="A25" s="22"/>
      <c r="B25" s="125"/>
      <c r="C25" s="125"/>
    </row>
    <row r="26" spans="1:3" x14ac:dyDescent="0.35">
      <c r="A26" s="22" t="s">
        <v>26</v>
      </c>
      <c r="B26" s="125">
        <v>15795776.228</v>
      </c>
      <c r="C26" s="125">
        <v>16094587.619999999</v>
      </c>
    </row>
    <row r="27" spans="1:3" x14ac:dyDescent="0.35">
      <c r="A27" s="268" t="s">
        <v>27</v>
      </c>
      <c r="B27" s="125">
        <v>250000</v>
      </c>
      <c r="C27" s="125">
        <v>250000</v>
      </c>
    </row>
    <row r="28" spans="1:3" x14ac:dyDescent="0.35">
      <c r="A28" s="268" t="s">
        <v>28</v>
      </c>
      <c r="B28" s="125">
        <v>30000</v>
      </c>
      <c r="C28" s="125">
        <v>30000</v>
      </c>
    </row>
    <row r="29" spans="1:3" x14ac:dyDescent="0.35">
      <c r="A29" s="268" t="s">
        <v>29</v>
      </c>
      <c r="B29" s="125">
        <v>1227000</v>
      </c>
      <c r="C29" s="125">
        <v>1225000</v>
      </c>
    </row>
    <row r="30" spans="1:3" x14ac:dyDescent="0.35">
      <c r="A30" s="268" t="s">
        <v>30</v>
      </c>
      <c r="B30" s="125">
        <v>15000</v>
      </c>
      <c r="C30" s="125">
        <v>15000</v>
      </c>
    </row>
    <row r="31" spans="1:3" x14ac:dyDescent="0.35">
      <c r="A31" s="268" t="s">
        <v>31</v>
      </c>
      <c r="B31" s="125">
        <v>0</v>
      </c>
      <c r="C31" s="125">
        <v>86150.016000000018</v>
      </c>
    </row>
    <row r="32" spans="1:3" x14ac:dyDescent="0.35">
      <c r="A32" s="268" t="s">
        <v>32</v>
      </c>
      <c r="B32" s="125">
        <v>500</v>
      </c>
      <c r="C32" s="125">
        <v>142.80000000000001</v>
      </c>
    </row>
    <row r="33" spans="1:3" x14ac:dyDescent="0.35">
      <c r="A33" s="268" t="s">
        <v>33</v>
      </c>
      <c r="B33" s="125">
        <v>17791.5</v>
      </c>
      <c r="C33" s="125">
        <v>17762.5</v>
      </c>
    </row>
    <row r="34" spans="1:3" x14ac:dyDescent="0.35">
      <c r="A34" s="268" t="s">
        <v>34</v>
      </c>
      <c r="B34" s="125">
        <v>1269000</v>
      </c>
      <c r="C34" s="125">
        <v>1269000</v>
      </c>
    </row>
    <row r="35" spans="1:3" x14ac:dyDescent="0.35">
      <c r="A35" s="268" t="s">
        <v>35</v>
      </c>
      <c r="B35" s="125">
        <v>598050</v>
      </c>
      <c r="C35" s="125">
        <v>598050</v>
      </c>
    </row>
    <row r="36" spans="1:3" x14ac:dyDescent="0.35">
      <c r="A36" s="268" t="s">
        <v>36</v>
      </c>
      <c r="B36" s="125">
        <v>2017493</v>
      </c>
      <c r="C36" s="125">
        <v>2633230</v>
      </c>
    </row>
    <row r="37" spans="1:3" x14ac:dyDescent="0.35">
      <c r="A37" s="268" t="s">
        <v>37</v>
      </c>
      <c r="B37" s="125">
        <v>22086</v>
      </c>
      <c r="C37" s="125">
        <v>22050</v>
      </c>
    </row>
    <row r="38" spans="1:3" x14ac:dyDescent="0.35">
      <c r="A38" s="268" t="s">
        <v>38</v>
      </c>
      <c r="B38" s="125">
        <v>9816</v>
      </c>
      <c r="C38" s="125">
        <v>9800</v>
      </c>
    </row>
    <row r="39" spans="1:3" x14ac:dyDescent="0.35">
      <c r="A39" s="268" t="s">
        <v>39</v>
      </c>
      <c r="B39" s="125">
        <v>15460.2</v>
      </c>
      <c r="C39" s="125">
        <v>15435</v>
      </c>
    </row>
    <row r="40" spans="1:3" x14ac:dyDescent="0.35">
      <c r="A40" s="268" t="s">
        <v>40</v>
      </c>
      <c r="B40" s="125">
        <v>40000</v>
      </c>
      <c r="C40" s="125">
        <v>40000</v>
      </c>
    </row>
    <row r="41" spans="1:3" x14ac:dyDescent="0.35">
      <c r="A41" s="268" t="s">
        <v>41</v>
      </c>
      <c r="B41" s="125">
        <v>20000</v>
      </c>
      <c r="C41" s="125">
        <v>20000</v>
      </c>
    </row>
    <row r="42" spans="1:3" x14ac:dyDescent="0.35">
      <c r="A42" s="268" t="s">
        <v>42</v>
      </c>
      <c r="B42" s="125">
        <v>0</v>
      </c>
      <c r="C42" s="125">
        <v>0</v>
      </c>
    </row>
    <row r="43" spans="1:3" x14ac:dyDescent="0.35">
      <c r="A43" s="268" t="s">
        <v>43</v>
      </c>
      <c r="B43" s="125">
        <v>50000</v>
      </c>
      <c r="C43" s="125">
        <v>50000</v>
      </c>
    </row>
    <row r="44" spans="1:3" x14ac:dyDescent="0.35">
      <c r="A44" s="268" t="s">
        <v>44</v>
      </c>
      <c r="B44" s="125">
        <v>338000</v>
      </c>
      <c r="C44" s="125">
        <v>338000</v>
      </c>
    </row>
    <row r="45" spans="1:3" x14ac:dyDescent="0.35">
      <c r="A45" s="268" t="s">
        <v>45</v>
      </c>
      <c r="B45" s="125">
        <v>225000</v>
      </c>
      <c r="C45" s="125">
        <v>225000</v>
      </c>
    </row>
    <row r="46" spans="1:3" x14ac:dyDescent="0.35">
      <c r="A46" s="268" t="s">
        <v>46</v>
      </c>
      <c r="B46" s="125">
        <v>75000</v>
      </c>
      <c r="C46" s="125">
        <v>75000</v>
      </c>
    </row>
    <row r="47" spans="1:3" x14ac:dyDescent="0.35">
      <c r="A47" s="268" t="s">
        <v>47</v>
      </c>
      <c r="B47" s="125">
        <v>50000</v>
      </c>
      <c r="C47" s="125">
        <v>50000</v>
      </c>
    </row>
    <row r="48" spans="1:3" x14ac:dyDescent="0.35">
      <c r="A48" s="268" t="s">
        <v>48</v>
      </c>
      <c r="B48" s="125">
        <v>20000</v>
      </c>
      <c r="C48" s="125">
        <v>20000</v>
      </c>
    </row>
    <row r="49" spans="1:3" x14ac:dyDescent="0.35">
      <c r="A49" s="268" t="s">
        <v>49</v>
      </c>
      <c r="B49" s="125">
        <v>50000</v>
      </c>
      <c r="C49" s="125">
        <v>80000</v>
      </c>
    </row>
    <row r="50" spans="1:3" x14ac:dyDescent="0.35">
      <c r="A50" s="268" t="s">
        <v>50</v>
      </c>
      <c r="B50" s="125">
        <v>30000</v>
      </c>
      <c r="C50" s="125">
        <v>30000</v>
      </c>
    </row>
    <row r="51" spans="1:3" x14ac:dyDescent="0.35">
      <c r="A51" s="268" t="s">
        <v>51</v>
      </c>
      <c r="B51" s="125">
        <v>30000</v>
      </c>
      <c r="C51" s="125">
        <v>30000</v>
      </c>
    </row>
    <row r="52" spans="1:3" x14ac:dyDescent="0.35">
      <c r="A52" s="268" t="s">
        <v>52</v>
      </c>
      <c r="B52" s="125">
        <v>80000</v>
      </c>
      <c r="C52" s="125">
        <v>80000</v>
      </c>
    </row>
    <row r="53" spans="1:3" x14ac:dyDescent="0.35">
      <c r="A53" s="268" t="s">
        <v>53</v>
      </c>
      <c r="B53" s="125">
        <v>140000</v>
      </c>
      <c r="C53" s="125">
        <v>140000</v>
      </c>
    </row>
    <row r="54" spans="1:3" x14ac:dyDescent="0.35">
      <c r="A54" s="268" t="s">
        <v>54</v>
      </c>
      <c r="B54" s="125">
        <v>14000</v>
      </c>
      <c r="C54" s="125">
        <v>14000</v>
      </c>
    </row>
    <row r="55" spans="1:3" x14ac:dyDescent="0.35">
      <c r="A55" s="268" t="s">
        <v>55</v>
      </c>
      <c r="B55" s="125">
        <v>70000</v>
      </c>
      <c r="C55" s="125">
        <v>70000</v>
      </c>
    </row>
    <row r="56" spans="1:3" x14ac:dyDescent="0.35">
      <c r="A56" s="268" t="s">
        <v>56</v>
      </c>
      <c r="B56" s="125">
        <v>14000</v>
      </c>
      <c r="C56" s="125">
        <v>14000</v>
      </c>
    </row>
    <row r="57" spans="1:3" x14ac:dyDescent="0.35">
      <c r="A57" s="268" t="s">
        <v>57</v>
      </c>
      <c r="B57" s="125">
        <v>562508.92800000007</v>
      </c>
      <c r="C57" s="125">
        <v>461155.96799999999</v>
      </c>
    </row>
    <row r="58" spans="1:3" x14ac:dyDescent="0.35">
      <c r="A58" s="268" t="s">
        <v>58</v>
      </c>
      <c r="B58" s="125">
        <v>182840</v>
      </c>
      <c r="C58" s="125">
        <v>242280</v>
      </c>
    </row>
    <row r="59" spans="1:3" x14ac:dyDescent="0.35">
      <c r="A59" s="268" t="s">
        <v>59</v>
      </c>
      <c r="B59" s="125">
        <v>3000</v>
      </c>
      <c r="C59" s="125">
        <v>764.4</v>
      </c>
    </row>
    <row r="60" spans="1:3" x14ac:dyDescent="0.35">
      <c r="A60" s="268" t="s">
        <v>60</v>
      </c>
      <c r="B60" s="125">
        <v>83796</v>
      </c>
      <c r="C60" s="125">
        <v>87826.5</v>
      </c>
    </row>
    <row r="61" spans="1:3" x14ac:dyDescent="0.35">
      <c r="A61" s="268" t="s">
        <v>61</v>
      </c>
      <c r="B61" s="125">
        <v>6579000</v>
      </c>
      <c r="C61" s="125">
        <v>6057000</v>
      </c>
    </row>
    <row r="62" spans="1:3" x14ac:dyDescent="0.35">
      <c r="A62" s="268" t="s">
        <v>62</v>
      </c>
      <c r="B62" s="125">
        <v>0</v>
      </c>
      <c r="C62" s="125">
        <v>0</v>
      </c>
    </row>
    <row r="63" spans="1:3" x14ac:dyDescent="0.35">
      <c r="A63" s="268" t="s">
        <v>63</v>
      </c>
      <c r="B63" s="125">
        <v>104022</v>
      </c>
      <c r="C63" s="125">
        <v>109025.99999999999</v>
      </c>
    </row>
    <row r="64" spans="1:3" x14ac:dyDescent="0.35">
      <c r="A64" s="268" t="s">
        <v>64</v>
      </c>
      <c r="B64" s="125">
        <v>46232</v>
      </c>
      <c r="C64" s="125">
        <v>48456</v>
      </c>
    </row>
    <row r="65" spans="1:3" x14ac:dyDescent="0.35">
      <c r="A65" s="268" t="s">
        <v>65</v>
      </c>
      <c r="B65" s="125">
        <v>72815</v>
      </c>
      <c r="C65" s="125">
        <v>76318.2</v>
      </c>
    </row>
    <row r="66" spans="1:3" x14ac:dyDescent="0.35">
      <c r="A66" s="268" t="s">
        <v>66</v>
      </c>
      <c r="B66" s="125">
        <v>56000</v>
      </c>
      <c r="C66" s="125">
        <v>56000</v>
      </c>
    </row>
    <row r="67" spans="1:3" x14ac:dyDescent="0.35">
      <c r="A67" s="268" t="s">
        <v>67</v>
      </c>
      <c r="B67" s="125">
        <v>20000</v>
      </c>
      <c r="C67" s="125">
        <v>20000</v>
      </c>
    </row>
    <row r="68" spans="1:3" x14ac:dyDescent="0.35">
      <c r="A68" s="268" t="s">
        <v>68</v>
      </c>
      <c r="B68" s="125">
        <v>80000</v>
      </c>
      <c r="C68" s="125">
        <v>80000</v>
      </c>
    </row>
    <row r="69" spans="1:3" x14ac:dyDescent="0.35">
      <c r="A69" s="268" t="s">
        <v>69</v>
      </c>
      <c r="B69" s="125">
        <v>30000</v>
      </c>
      <c r="C69" s="125">
        <v>30000</v>
      </c>
    </row>
    <row r="70" spans="1:3" x14ac:dyDescent="0.35">
      <c r="A70" s="268" t="s">
        <v>70</v>
      </c>
      <c r="B70" s="125">
        <v>10000</v>
      </c>
      <c r="C70" s="125">
        <v>10000</v>
      </c>
    </row>
    <row r="71" spans="1:3" x14ac:dyDescent="0.35">
      <c r="A71" s="268" t="s">
        <v>71</v>
      </c>
      <c r="B71" s="125">
        <v>10000</v>
      </c>
      <c r="C71" s="125">
        <v>10000</v>
      </c>
    </row>
    <row r="72" spans="1:3" x14ac:dyDescent="0.35">
      <c r="A72" s="268" t="s">
        <v>72</v>
      </c>
      <c r="B72" s="125">
        <v>30000</v>
      </c>
      <c r="C72" s="125">
        <v>30000</v>
      </c>
    </row>
    <row r="73" spans="1:3" x14ac:dyDescent="0.35">
      <c r="A73" s="268" t="s">
        <v>73</v>
      </c>
      <c r="B73" s="125">
        <v>120000</v>
      </c>
      <c r="C73" s="125">
        <v>120000</v>
      </c>
    </row>
    <row r="74" spans="1:3" x14ac:dyDescent="0.35">
      <c r="A74" s="268" t="s">
        <v>74</v>
      </c>
      <c r="B74" s="125">
        <v>5452</v>
      </c>
      <c r="C74" s="125">
        <v>6626.5</v>
      </c>
    </row>
    <row r="75" spans="1:3" x14ac:dyDescent="0.35">
      <c r="A75" s="268" t="s">
        <v>75</v>
      </c>
      <c r="B75" s="125">
        <v>4737.6000000000004</v>
      </c>
      <c r="C75" s="125">
        <v>5758.2</v>
      </c>
    </row>
    <row r="76" spans="1:3" x14ac:dyDescent="0.35">
      <c r="A76" s="268" t="s">
        <v>76</v>
      </c>
      <c r="B76" s="125">
        <v>0</v>
      </c>
      <c r="C76" s="125">
        <v>35473.536000000007</v>
      </c>
    </row>
    <row r="77" spans="1:3" x14ac:dyDescent="0.35">
      <c r="A77" s="268" t="s">
        <v>77</v>
      </c>
      <c r="B77" s="125">
        <v>376000</v>
      </c>
      <c r="C77" s="125">
        <v>457000</v>
      </c>
    </row>
    <row r="78" spans="1:3" x14ac:dyDescent="0.35">
      <c r="A78" s="268" t="s">
        <v>78</v>
      </c>
      <c r="B78" s="125">
        <v>120000</v>
      </c>
      <c r="C78" s="125">
        <v>120000</v>
      </c>
    </row>
    <row r="79" spans="1:3" x14ac:dyDescent="0.35">
      <c r="A79" s="268" t="s">
        <v>79</v>
      </c>
      <c r="B79" s="125">
        <v>75000</v>
      </c>
      <c r="C79" s="125">
        <v>75000</v>
      </c>
    </row>
    <row r="80" spans="1:3" x14ac:dyDescent="0.35">
      <c r="A80" s="268" t="s">
        <v>80</v>
      </c>
      <c r="B80" s="125">
        <v>30000</v>
      </c>
      <c r="C80" s="125">
        <v>30000</v>
      </c>
    </row>
    <row r="81" spans="1:3" x14ac:dyDescent="0.35">
      <c r="A81" s="268" t="s">
        <v>81</v>
      </c>
      <c r="B81" s="125">
        <v>20000</v>
      </c>
      <c r="C81" s="125">
        <v>20000</v>
      </c>
    </row>
    <row r="82" spans="1:3" x14ac:dyDescent="0.35">
      <c r="A82" s="268" t="s">
        <v>82</v>
      </c>
      <c r="B82" s="125">
        <v>30000</v>
      </c>
      <c r="C82" s="125">
        <v>30000</v>
      </c>
    </row>
    <row r="83" spans="1:3" x14ac:dyDescent="0.35">
      <c r="A83" s="268" t="s">
        <v>83</v>
      </c>
      <c r="B83" s="125">
        <v>26400</v>
      </c>
      <c r="C83" s="125">
        <v>26400</v>
      </c>
    </row>
    <row r="84" spans="1:3" x14ac:dyDescent="0.35">
      <c r="A84" s="268" t="s">
        <v>84</v>
      </c>
      <c r="B84" s="125">
        <v>350000</v>
      </c>
      <c r="C84" s="125">
        <v>350000</v>
      </c>
    </row>
    <row r="85" spans="1:3" x14ac:dyDescent="0.35">
      <c r="A85" s="268" t="s">
        <v>85</v>
      </c>
      <c r="B85" s="125">
        <v>15000</v>
      </c>
      <c r="C85" s="125">
        <v>15000</v>
      </c>
    </row>
    <row r="86" spans="1:3" x14ac:dyDescent="0.35">
      <c r="A86" s="268" t="s">
        <v>86</v>
      </c>
      <c r="B86" s="125">
        <v>25000</v>
      </c>
      <c r="C86" s="125">
        <v>25000</v>
      </c>
    </row>
    <row r="87" spans="1:3" x14ac:dyDescent="0.35">
      <c r="A87" s="268" t="s">
        <v>87</v>
      </c>
      <c r="B87" s="125">
        <v>6767.9999999999991</v>
      </c>
      <c r="C87" s="125">
        <v>8226</v>
      </c>
    </row>
    <row r="88" spans="1:3" x14ac:dyDescent="0.35">
      <c r="A88" s="268" t="s">
        <v>88</v>
      </c>
      <c r="B88" s="125">
        <v>3008</v>
      </c>
      <c r="C88" s="125">
        <v>3656</v>
      </c>
    </row>
    <row r="89" spans="1:3" x14ac:dyDescent="0.35">
      <c r="A89" s="268" t="s">
        <v>25</v>
      </c>
      <c r="B89" s="125">
        <v>0</v>
      </c>
      <c r="C89" s="125">
        <v>0</v>
      </c>
    </row>
    <row r="90" spans="1:3" x14ac:dyDescent="0.35">
      <c r="A90" s="22"/>
      <c r="B90" s="125"/>
      <c r="C90" s="125"/>
    </row>
    <row r="91" spans="1:3" x14ac:dyDescent="0.35">
      <c r="A91" s="22" t="s">
        <v>89</v>
      </c>
      <c r="B91" s="125">
        <v>34460829.228</v>
      </c>
      <c r="C91" s="125">
        <v>35982174.020000003</v>
      </c>
    </row>
    <row r="92" spans="1:3" x14ac:dyDescent="0.35">
      <c r="B92"/>
      <c r="C92"/>
    </row>
    <row r="93" spans="1:3" x14ac:dyDescent="0.35">
      <c r="B93"/>
      <c r="C93"/>
    </row>
    <row r="94" spans="1:3" x14ac:dyDescent="0.35">
      <c r="B94"/>
      <c r="C94"/>
    </row>
    <row r="95" spans="1:3" x14ac:dyDescent="0.35">
      <c r="B95"/>
      <c r="C95"/>
    </row>
    <row r="96" spans="1:3" x14ac:dyDescent="0.35">
      <c r="B96"/>
      <c r="C96"/>
    </row>
    <row r="97" spans="2:3" x14ac:dyDescent="0.35">
      <c r="B97"/>
      <c r="C97"/>
    </row>
    <row r="98" spans="2:3" x14ac:dyDescent="0.35">
      <c r="B98"/>
      <c r="C98"/>
    </row>
    <row r="99" spans="2:3" x14ac:dyDescent="0.35">
      <c r="B99"/>
      <c r="C99"/>
    </row>
    <row r="100" spans="2:3" x14ac:dyDescent="0.35">
      <c r="B100"/>
      <c r="C100"/>
    </row>
    <row r="101" spans="2:3" x14ac:dyDescent="0.35">
      <c r="B101"/>
      <c r="C101"/>
    </row>
    <row r="102" spans="2:3" x14ac:dyDescent="0.35">
      <c r="B102"/>
      <c r="C102"/>
    </row>
    <row r="103" spans="2:3" x14ac:dyDescent="0.35">
      <c r="B103"/>
      <c r="C103"/>
    </row>
    <row r="104" spans="2:3" x14ac:dyDescent="0.35">
      <c r="B104"/>
      <c r="C104"/>
    </row>
    <row r="105" spans="2:3" x14ac:dyDescent="0.35">
      <c r="B105"/>
      <c r="C105"/>
    </row>
    <row r="106" spans="2:3" x14ac:dyDescent="0.35">
      <c r="B106"/>
      <c r="C106"/>
    </row>
    <row r="107" spans="2:3" x14ac:dyDescent="0.35">
      <c r="B107"/>
      <c r="C107"/>
    </row>
    <row r="108" spans="2:3" x14ac:dyDescent="0.35">
      <c r="B108"/>
      <c r="C108"/>
    </row>
    <row r="109" spans="2:3" x14ac:dyDescent="0.35">
      <c r="B109"/>
      <c r="C109"/>
    </row>
    <row r="110" spans="2:3" x14ac:dyDescent="0.35">
      <c r="B110"/>
      <c r="C110"/>
    </row>
    <row r="111" spans="2:3" x14ac:dyDescent="0.35">
      <c r="B111"/>
      <c r="C111"/>
    </row>
    <row r="112" spans="2:3" x14ac:dyDescent="0.35">
      <c r="B112"/>
      <c r="C112"/>
    </row>
    <row r="113" spans="2:3" x14ac:dyDescent="0.35">
      <c r="B113"/>
      <c r="C113"/>
    </row>
    <row r="114" spans="2:3" x14ac:dyDescent="0.35">
      <c r="B114"/>
      <c r="C114"/>
    </row>
    <row r="115" spans="2:3" x14ac:dyDescent="0.35">
      <c r="B115"/>
      <c r="C115"/>
    </row>
    <row r="116" spans="2:3" x14ac:dyDescent="0.35">
      <c r="B116"/>
      <c r="C116"/>
    </row>
    <row r="117" spans="2:3" x14ac:dyDescent="0.35">
      <c r="B117"/>
      <c r="C117"/>
    </row>
    <row r="118" spans="2:3" x14ac:dyDescent="0.35">
      <c r="B118"/>
      <c r="C118"/>
    </row>
    <row r="119" spans="2:3" x14ac:dyDescent="0.35">
      <c r="B119"/>
      <c r="C119"/>
    </row>
    <row r="120" spans="2:3" x14ac:dyDescent="0.35">
      <c r="B120"/>
      <c r="C120"/>
    </row>
    <row r="121" spans="2:3" x14ac:dyDescent="0.35">
      <c r="B121"/>
      <c r="C121"/>
    </row>
    <row r="122" spans="2:3" x14ac:dyDescent="0.35">
      <c r="B122"/>
      <c r="C122"/>
    </row>
    <row r="123" spans="2:3" x14ac:dyDescent="0.35">
      <c r="B123"/>
      <c r="C123"/>
    </row>
    <row r="124" spans="2:3" x14ac:dyDescent="0.35">
      <c r="B124"/>
      <c r="C124"/>
    </row>
    <row r="125" spans="2:3" x14ac:dyDescent="0.35">
      <c r="B125"/>
      <c r="C125"/>
    </row>
    <row r="126" spans="2:3" x14ac:dyDescent="0.35">
      <c r="B126"/>
      <c r="C126"/>
    </row>
    <row r="127" spans="2:3" x14ac:dyDescent="0.35">
      <c r="B127"/>
      <c r="C127"/>
    </row>
    <row r="128" spans="2:3" x14ac:dyDescent="0.35">
      <c r="B128"/>
      <c r="C128"/>
    </row>
    <row r="129" spans="2:3" x14ac:dyDescent="0.35">
      <c r="B129"/>
      <c r="C129"/>
    </row>
    <row r="130" spans="2:3" x14ac:dyDescent="0.35">
      <c r="B130"/>
      <c r="C130"/>
    </row>
    <row r="131" spans="2:3" x14ac:dyDescent="0.35">
      <c r="B131"/>
      <c r="C131"/>
    </row>
    <row r="132" spans="2:3" x14ac:dyDescent="0.35">
      <c r="B132"/>
      <c r="C132"/>
    </row>
    <row r="133" spans="2:3" x14ac:dyDescent="0.35">
      <c r="B133"/>
      <c r="C133"/>
    </row>
    <row r="134" spans="2:3" x14ac:dyDescent="0.35">
      <c r="B134"/>
      <c r="C134"/>
    </row>
    <row r="135" spans="2:3" x14ac:dyDescent="0.35">
      <c r="B135"/>
      <c r="C135"/>
    </row>
    <row r="136" spans="2:3" x14ac:dyDescent="0.35">
      <c r="B136"/>
      <c r="C136"/>
    </row>
    <row r="137" spans="2:3" x14ac:dyDescent="0.35">
      <c r="B137"/>
      <c r="C137"/>
    </row>
    <row r="138" spans="2:3" x14ac:dyDescent="0.35">
      <c r="B138"/>
      <c r="C138"/>
    </row>
    <row r="139" spans="2:3" x14ac:dyDescent="0.35">
      <c r="B139"/>
      <c r="C139"/>
    </row>
    <row r="140" spans="2:3" x14ac:dyDescent="0.35">
      <c r="B140"/>
      <c r="C140"/>
    </row>
    <row r="141" spans="2:3" x14ac:dyDescent="0.35">
      <c r="B141"/>
      <c r="C141"/>
    </row>
    <row r="142" spans="2:3" x14ac:dyDescent="0.35">
      <c r="B142"/>
      <c r="C142"/>
    </row>
    <row r="143" spans="2:3" x14ac:dyDescent="0.35">
      <c r="B143"/>
      <c r="C143"/>
    </row>
    <row r="144" spans="2:3" x14ac:dyDescent="0.35">
      <c r="B144"/>
      <c r="C144"/>
    </row>
    <row r="145" spans="2:3" x14ac:dyDescent="0.35">
      <c r="B145"/>
      <c r="C145"/>
    </row>
    <row r="146" spans="2:3" x14ac:dyDescent="0.35">
      <c r="B146"/>
      <c r="C146"/>
    </row>
    <row r="147" spans="2:3" x14ac:dyDescent="0.35">
      <c r="B147"/>
      <c r="C147"/>
    </row>
    <row r="148" spans="2:3" x14ac:dyDescent="0.35">
      <c r="B148"/>
      <c r="C148"/>
    </row>
    <row r="149" spans="2:3" x14ac:dyDescent="0.35">
      <c r="B149"/>
      <c r="C149"/>
    </row>
    <row r="150" spans="2:3" x14ac:dyDescent="0.35">
      <c r="B150"/>
      <c r="C150"/>
    </row>
    <row r="151" spans="2:3" x14ac:dyDescent="0.35">
      <c r="B151"/>
      <c r="C151"/>
    </row>
    <row r="152" spans="2:3" x14ac:dyDescent="0.35">
      <c r="B152"/>
      <c r="C152"/>
    </row>
    <row r="153" spans="2:3" x14ac:dyDescent="0.35">
      <c r="B153"/>
      <c r="C153"/>
    </row>
    <row r="154" spans="2:3" x14ac:dyDescent="0.35">
      <c r="B154"/>
      <c r="C154"/>
    </row>
    <row r="155" spans="2:3" x14ac:dyDescent="0.35">
      <c r="B155"/>
      <c r="C155"/>
    </row>
    <row r="156" spans="2:3" x14ac:dyDescent="0.35">
      <c r="B156"/>
      <c r="C156"/>
    </row>
    <row r="157" spans="2:3" x14ac:dyDescent="0.35">
      <c r="B157"/>
      <c r="C157"/>
    </row>
    <row r="158" spans="2:3" x14ac:dyDescent="0.35">
      <c r="B158"/>
      <c r="C158"/>
    </row>
    <row r="159" spans="2:3" x14ac:dyDescent="0.35">
      <c r="B159"/>
      <c r="C159"/>
    </row>
    <row r="160" spans="2:3" x14ac:dyDescent="0.35">
      <c r="B160"/>
      <c r="C160"/>
    </row>
    <row r="161" spans="2:3" x14ac:dyDescent="0.35">
      <c r="B161"/>
      <c r="C161"/>
    </row>
    <row r="162" spans="2:3" x14ac:dyDescent="0.35">
      <c r="B162"/>
      <c r="C162"/>
    </row>
    <row r="163" spans="2:3" x14ac:dyDescent="0.35">
      <c r="B163"/>
      <c r="C163"/>
    </row>
    <row r="164" spans="2:3" x14ac:dyDescent="0.35">
      <c r="B164"/>
      <c r="C164"/>
    </row>
    <row r="165" spans="2:3" x14ac:dyDescent="0.35">
      <c r="B165"/>
      <c r="C165"/>
    </row>
    <row r="166" spans="2:3" x14ac:dyDescent="0.35">
      <c r="B166"/>
      <c r="C166"/>
    </row>
    <row r="167" spans="2:3" x14ac:dyDescent="0.35">
      <c r="B167"/>
      <c r="C167"/>
    </row>
    <row r="168" spans="2:3" x14ac:dyDescent="0.35">
      <c r="B168"/>
      <c r="C168"/>
    </row>
    <row r="169" spans="2:3" x14ac:dyDescent="0.35">
      <c r="B169"/>
      <c r="C169"/>
    </row>
    <row r="170" spans="2:3" x14ac:dyDescent="0.35">
      <c r="B170"/>
      <c r="C170"/>
    </row>
    <row r="171" spans="2:3" x14ac:dyDescent="0.35">
      <c r="B171"/>
      <c r="C171"/>
    </row>
    <row r="172" spans="2:3" x14ac:dyDescent="0.35">
      <c r="B172"/>
      <c r="C172"/>
    </row>
    <row r="173" spans="2:3" x14ac:dyDescent="0.35">
      <c r="B173"/>
      <c r="C173"/>
    </row>
    <row r="174" spans="2:3" x14ac:dyDescent="0.35">
      <c r="B174"/>
      <c r="C174"/>
    </row>
    <row r="175" spans="2:3" x14ac:dyDescent="0.35">
      <c r="B175"/>
      <c r="C175"/>
    </row>
    <row r="176" spans="2:3" x14ac:dyDescent="0.35">
      <c r="B176"/>
      <c r="C176"/>
    </row>
    <row r="177" spans="2:3" x14ac:dyDescent="0.35">
      <c r="B177"/>
      <c r="C177"/>
    </row>
    <row r="178" spans="2:3" x14ac:dyDescent="0.35">
      <c r="B178"/>
      <c r="C178"/>
    </row>
    <row r="179" spans="2:3" x14ac:dyDescent="0.35">
      <c r="B179"/>
      <c r="C179"/>
    </row>
    <row r="180" spans="2:3" x14ac:dyDescent="0.35">
      <c r="B180"/>
      <c r="C180"/>
    </row>
    <row r="181" spans="2:3" x14ac:dyDescent="0.35">
      <c r="B181"/>
      <c r="C181"/>
    </row>
    <row r="182" spans="2:3" x14ac:dyDescent="0.35">
      <c r="B182"/>
      <c r="C182"/>
    </row>
    <row r="183" spans="2:3" x14ac:dyDescent="0.35">
      <c r="B183"/>
      <c r="C183"/>
    </row>
    <row r="184" spans="2:3" x14ac:dyDescent="0.35">
      <c r="B184"/>
      <c r="C184"/>
    </row>
    <row r="185" spans="2:3" x14ac:dyDescent="0.35">
      <c r="B185"/>
      <c r="C185"/>
    </row>
    <row r="186" spans="2:3" x14ac:dyDescent="0.35">
      <c r="B186"/>
      <c r="C186"/>
    </row>
    <row r="187" spans="2:3" x14ac:dyDescent="0.35">
      <c r="B187"/>
      <c r="C187"/>
    </row>
    <row r="188" spans="2:3" x14ac:dyDescent="0.35">
      <c r="B188"/>
      <c r="C188"/>
    </row>
    <row r="189" spans="2:3" x14ac:dyDescent="0.35">
      <c r="B189"/>
      <c r="C189"/>
    </row>
    <row r="190" spans="2:3" x14ac:dyDescent="0.35">
      <c r="B190"/>
      <c r="C190"/>
    </row>
    <row r="191" spans="2:3" x14ac:dyDescent="0.35">
      <c r="B191"/>
      <c r="C191"/>
    </row>
    <row r="192" spans="2:3" x14ac:dyDescent="0.35">
      <c r="B192"/>
      <c r="C192"/>
    </row>
    <row r="193" spans="2:3" x14ac:dyDescent="0.35">
      <c r="B193"/>
      <c r="C193"/>
    </row>
    <row r="194" spans="2:3" x14ac:dyDescent="0.35">
      <c r="B194"/>
      <c r="C194"/>
    </row>
    <row r="195" spans="2:3" x14ac:dyDescent="0.35">
      <c r="B195"/>
      <c r="C195"/>
    </row>
    <row r="196" spans="2:3" x14ac:dyDescent="0.35">
      <c r="B196"/>
      <c r="C196"/>
    </row>
    <row r="197" spans="2:3" x14ac:dyDescent="0.35">
      <c r="B197"/>
      <c r="C197"/>
    </row>
    <row r="198" spans="2:3" x14ac:dyDescent="0.35">
      <c r="B198"/>
      <c r="C198"/>
    </row>
    <row r="199" spans="2:3" x14ac:dyDescent="0.35">
      <c r="B199"/>
      <c r="C199"/>
    </row>
    <row r="200" spans="2:3" x14ac:dyDescent="0.35">
      <c r="B200"/>
      <c r="C200"/>
    </row>
    <row r="201" spans="2:3" x14ac:dyDescent="0.35">
      <c r="B201"/>
      <c r="C201"/>
    </row>
    <row r="202" spans="2:3" x14ac:dyDescent="0.35">
      <c r="B202"/>
      <c r="C202"/>
    </row>
    <row r="203" spans="2:3" x14ac:dyDescent="0.35">
      <c r="B203"/>
      <c r="C203"/>
    </row>
    <row r="204" spans="2:3" x14ac:dyDescent="0.35">
      <c r="B204"/>
      <c r="C204"/>
    </row>
    <row r="205" spans="2:3" x14ac:dyDescent="0.35">
      <c r="B205"/>
      <c r="C205"/>
    </row>
    <row r="206" spans="2:3" x14ac:dyDescent="0.35">
      <c r="B206"/>
      <c r="C206"/>
    </row>
    <row r="207" spans="2:3" x14ac:dyDescent="0.35">
      <c r="B207"/>
      <c r="C207"/>
    </row>
    <row r="208" spans="2:3" x14ac:dyDescent="0.35">
      <c r="B208"/>
      <c r="C208"/>
    </row>
    <row r="209" spans="2:3" x14ac:dyDescent="0.35">
      <c r="B209"/>
      <c r="C209"/>
    </row>
    <row r="210" spans="2:3" x14ac:dyDescent="0.35">
      <c r="B210"/>
      <c r="C210"/>
    </row>
    <row r="211" spans="2:3" x14ac:dyDescent="0.35">
      <c r="B211"/>
      <c r="C211"/>
    </row>
    <row r="212" spans="2:3" x14ac:dyDescent="0.35">
      <c r="B212"/>
      <c r="C212"/>
    </row>
    <row r="213" spans="2:3" x14ac:dyDescent="0.35">
      <c r="B213"/>
      <c r="C213"/>
    </row>
    <row r="214" spans="2:3" x14ac:dyDescent="0.35">
      <c r="B214"/>
      <c r="C214"/>
    </row>
    <row r="215" spans="2:3" x14ac:dyDescent="0.35">
      <c r="B215"/>
      <c r="C215"/>
    </row>
    <row r="216" spans="2:3" x14ac:dyDescent="0.35">
      <c r="B216"/>
      <c r="C216"/>
    </row>
    <row r="217" spans="2:3" x14ac:dyDescent="0.35">
      <c r="B217"/>
      <c r="C217"/>
    </row>
    <row r="218" spans="2:3" x14ac:dyDescent="0.35">
      <c r="B218"/>
      <c r="C218"/>
    </row>
    <row r="219" spans="2:3" x14ac:dyDescent="0.35">
      <c r="B219"/>
      <c r="C219"/>
    </row>
    <row r="220" spans="2:3" x14ac:dyDescent="0.35">
      <c r="B220"/>
      <c r="C220"/>
    </row>
    <row r="221" spans="2:3" x14ac:dyDescent="0.35">
      <c r="B221"/>
      <c r="C221"/>
    </row>
    <row r="222" spans="2:3" x14ac:dyDescent="0.35">
      <c r="B222"/>
      <c r="C222"/>
    </row>
    <row r="223" spans="2:3" x14ac:dyDescent="0.35">
      <c r="B223"/>
      <c r="C223"/>
    </row>
    <row r="224" spans="2:3" x14ac:dyDescent="0.35">
      <c r="B224"/>
      <c r="C224"/>
    </row>
    <row r="225" spans="2:3" x14ac:dyDescent="0.35">
      <c r="B225"/>
      <c r="C225"/>
    </row>
    <row r="226" spans="2:3" x14ac:dyDescent="0.35">
      <c r="B226"/>
      <c r="C226"/>
    </row>
    <row r="227" spans="2:3" x14ac:dyDescent="0.35">
      <c r="B227"/>
      <c r="C227"/>
    </row>
    <row r="228" spans="2:3" x14ac:dyDescent="0.35">
      <c r="B228"/>
      <c r="C228"/>
    </row>
    <row r="229" spans="2:3" x14ac:dyDescent="0.35">
      <c r="B229"/>
      <c r="C229"/>
    </row>
    <row r="230" spans="2:3" x14ac:dyDescent="0.35">
      <c r="B230"/>
      <c r="C230"/>
    </row>
    <row r="231" spans="2:3" x14ac:dyDescent="0.35">
      <c r="B231"/>
      <c r="C231"/>
    </row>
    <row r="232" spans="2:3" x14ac:dyDescent="0.35">
      <c r="B232"/>
      <c r="C232"/>
    </row>
    <row r="233" spans="2:3" x14ac:dyDescent="0.35">
      <c r="B233"/>
      <c r="C233"/>
    </row>
    <row r="234" spans="2:3" x14ac:dyDescent="0.35">
      <c r="B234"/>
      <c r="C234"/>
    </row>
    <row r="235" spans="2:3" x14ac:dyDescent="0.35">
      <c r="B235"/>
      <c r="C235"/>
    </row>
    <row r="236" spans="2:3" x14ac:dyDescent="0.35">
      <c r="B236"/>
      <c r="C236"/>
    </row>
    <row r="237" spans="2:3" x14ac:dyDescent="0.35">
      <c r="B237"/>
      <c r="C237"/>
    </row>
    <row r="238" spans="2:3" x14ac:dyDescent="0.35">
      <c r="B238"/>
      <c r="C238"/>
    </row>
    <row r="239" spans="2:3" x14ac:dyDescent="0.35">
      <c r="B239"/>
      <c r="C239"/>
    </row>
    <row r="240" spans="2:3" x14ac:dyDescent="0.35">
      <c r="B240"/>
      <c r="C240"/>
    </row>
    <row r="241" spans="2:3" x14ac:dyDescent="0.35">
      <c r="B241"/>
      <c r="C241"/>
    </row>
    <row r="242" spans="2:3" x14ac:dyDescent="0.35">
      <c r="B242"/>
      <c r="C242"/>
    </row>
    <row r="243" spans="2:3" x14ac:dyDescent="0.35">
      <c r="B243"/>
      <c r="C243"/>
    </row>
    <row r="244" spans="2:3" x14ac:dyDescent="0.35">
      <c r="B244"/>
      <c r="C244"/>
    </row>
    <row r="245" spans="2:3" x14ac:dyDescent="0.35">
      <c r="B245"/>
      <c r="C245"/>
    </row>
    <row r="246" spans="2:3" x14ac:dyDescent="0.35">
      <c r="B246"/>
      <c r="C246"/>
    </row>
    <row r="247" spans="2:3" x14ac:dyDescent="0.35">
      <c r="B247"/>
      <c r="C247"/>
    </row>
    <row r="248" spans="2:3" x14ac:dyDescent="0.35">
      <c r="B248"/>
      <c r="C248"/>
    </row>
    <row r="249" spans="2:3" x14ac:dyDescent="0.35">
      <c r="B249"/>
      <c r="C249"/>
    </row>
    <row r="250" spans="2:3" x14ac:dyDescent="0.35">
      <c r="B250"/>
      <c r="C250"/>
    </row>
    <row r="251" spans="2:3" x14ac:dyDescent="0.35">
      <c r="B251"/>
      <c r="C251"/>
    </row>
    <row r="252" spans="2:3" x14ac:dyDescent="0.35">
      <c r="B252"/>
      <c r="C252"/>
    </row>
    <row r="253" spans="2:3" x14ac:dyDescent="0.35">
      <c r="B253"/>
      <c r="C253"/>
    </row>
    <row r="254" spans="2:3" x14ac:dyDescent="0.35">
      <c r="B254"/>
      <c r="C254"/>
    </row>
    <row r="255" spans="2:3" x14ac:dyDescent="0.35">
      <c r="B255"/>
      <c r="C255"/>
    </row>
    <row r="256" spans="2:3" x14ac:dyDescent="0.35">
      <c r="B256"/>
      <c r="C256"/>
    </row>
    <row r="257" spans="2:3" x14ac:dyDescent="0.35">
      <c r="B257"/>
      <c r="C257"/>
    </row>
    <row r="258" spans="2:3" x14ac:dyDescent="0.35">
      <c r="B258"/>
      <c r="C258"/>
    </row>
    <row r="259" spans="2:3" x14ac:dyDescent="0.35">
      <c r="B259"/>
      <c r="C259"/>
    </row>
    <row r="260" spans="2:3" x14ac:dyDescent="0.35">
      <c r="B260"/>
      <c r="C260"/>
    </row>
    <row r="261" spans="2:3" x14ac:dyDescent="0.35">
      <c r="B261"/>
      <c r="C261"/>
    </row>
    <row r="262" spans="2:3" x14ac:dyDescent="0.35">
      <c r="B262"/>
      <c r="C262"/>
    </row>
    <row r="263" spans="2:3" x14ac:dyDescent="0.35">
      <c r="B263"/>
      <c r="C263"/>
    </row>
    <row r="264" spans="2:3" x14ac:dyDescent="0.35">
      <c r="B264"/>
      <c r="C264"/>
    </row>
    <row r="265" spans="2:3" x14ac:dyDescent="0.35">
      <c r="B265"/>
      <c r="C265"/>
    </row>
    <row r="266" spans="2:3" x14ac:dyDescent="0.35">
      <c r="B266"/>
      <c r="C266"/>
    </row>
    <row r="267" spans="2:3" x14ac:dyDescent="0.35">
      <c r="B267"/>
      <c r="C267"/>
    </row>
    <row r="268" spans="2:3" x14ac:dyDescent="0.35">
      <c r="B268"/>
      <c r="C268"/>
    </row>
    <row r="269" spans="2:3" x14ac:dyDescent="0.35">
      <c r="B269"/>
      <c r="C269"/>
    </row>
    <row r="270" spans="2:3" x14ac:dyDescent="0.35">
      <c r="B270"/>
      <c r="C270"/>
    </row>
    <row r="271" spans="2:3" x14ac:dyDescent="0.35">
      <c r="B271"/>
      <c r="C271"/>
    </row>
    <row r="272" spans="2:3" x14ac:dyDescent="0.35">
      <c r="B272"/>
      <c r="C272"/>
    </row>
    <row r="273" spans="2:3" x14ac:dyDescent="0.35">
      <c r="B273"/>
      <c r="C273"/>
    </row>
    <row r="274" spans="2:3" x14ac:dyDescent="0.35">
      <c r="B274"/>
      <c r="C274"/>
    </row>
    <row r="275" spans="2:3" x14ac:dyDescent="0.35">
      <c r="B275"/>
      <c r="C275"/>
    </row>
    <row r="276" spans="2:3" x14ac:dyDescent="0.35">
      <c r="B276"/>
      <c r="C276"/>
    </row>
    <row r="277" spans="2:3" x14ac:dyDescent="0.35">
      <c r="B277"/>
      <c r="C277"/>
    </row>
    <row r="278" spans="2:3" x14ac:dyDescent="0.35">
      <c r="B278"/>
      <c r="C278"/>
    </row>
    <row r="279" spans="2:3" x14ac:dyDescent="0.35">
      <c r="B279"/>
      <c r="C279"/>
    </row>
    <row r="280" spans="2:3" x14ac:dyDescent="0.35">
      <c r="B280"/>
      <c r="C280"/>
    </row>
    <row r="281" spans="2:3" x14ac:dyDescent="0.35">
      <c r="B281"/>
      <c r="C281"/>
    </row>
    <row r="282" spans="2:3" x14ac:dyDescent="0.35">
      <c r="B282"/>
      <c r="C282"/>
    </row>
    <row r="283" spans="2:3" x14ac:dyDescent="0.35">
      <c r="B283"/>
      <c r="C283"/>
    </row>
    <row r="284" spans="2:3" x14ac:dyDescent="0.35">
      <c r="B284"/>
      <c r="C284"/>
    </row>
    <row r="285" spans="2:3" x14ac:dyDescent="0.35">
      <c r="B285"/>
      <c r="C285"/>
    </row>
    <row r="286" spans="2:3" x14ac:dyDescent="0.35">
      <c r="B286"/>
      <c r="C286"/>
    </row>
    <row r="287" spans="2:3" x14ac:dyDescent="0.35">
      <c r="B287"/>
      <c r="C287"/>
    </row>
    <row r="288" spans="2:3" x14ac:dyDescent="0.35">
      <c r="B288"/>
      <c r="C288"/>
    </row>
    <row r="289" spans="2:3" x14ac:dyDescent="0.35">
      <c r="B289"/>
      <c r="C289"/>
    </row>
    <row r="290" spans="2:3" x14ac:dyDescent="0.35">
      <c r="B290"/>
      <c r="C290"/>
    </row>
    <row r="291" spans="2:3" x14ac:dyDescent="0.35">
      <c r="B291"/>
      <c r="C291"/>
    </row>
    <row r="292" spans="2:3" x14ac:dyDescent="0.35">
      <c r="B292"/>
      <c r="C292"/>
    </row>
    <row r="293" spans="2:3" x14ac:dyDescent="0.35">
      <c r="B293"/>
      <c r="C293"/>
    </row>
    <row r="294" spans="2:3" x14ac:dyDescent="0.35">
      <c r="B294"/>
      <c r="C294"/>
    </row>
    <row r="295" spans="2:3" x14ac:dyDescent="0.35">
      <c r="B295"/>
      <c r="C295"/>
    </row>
    <row r="296" spans="2:3" x14ac:dyDescent="0.35">
      <c r="B296"/>
      <c r="C296"/>
    </row>
    <row r="297" spans="2:3" x14ac:dyDescent="0.35">
      <c r="B297"/>
      <c r="C297"/>
    </row>
    <row r="298" spans="2:3" x14ac:dyDescent="0.35">
      <c r="B298"/>
      <c r="C298"/>
    </row>
    <row r="299" spans="2:3" x14ac:dyDescent="0.35">
      <c r="B299"/>
      <c r="C299"/>
    </row>
    <row r="300" spans="2:3" x14ac:dyDescent="0.35">
      <c r="B300"/>
      <c r="C300"/>
    </row>
    <row r="301" spans="2:3" x14ac:dyDescent="0.35">
      <c r="B301"/>
      <c r="C301"/>
    </row>
    <row r="302" spans="2:3" x14ac:dyDescent="0.35">
      <c r="B302"/>
      <c r="C302"/>
    </row>
    <row r="303" spans="2:3" x14ac:dyDescent="0.35">
      <c r="B303"/>
      <c r="C303"/>
    </row>
    <row r="304" spans="2:3" x14ac:dyDescent="0.35">
      <c r="B304"/>
      <c r="C304"/>
    </row>
    <row r="305" spans="2:3" x14ac:dyDescent="0.35">
      <c r="B305"/>
      <c r="C305"/>
    </row>
    <row r="306" spans="2:3" x14ac:dyDescent="0.35">
      <c r="B306"/>
      <c r="C306"/>
    </row>
    <row r="307" spans="2:3" x14ac:dyDescent="0.35">
      <c r="B307"/>
      <c r="C307"/>
    </row>
    <row r="308" spans="2:3" x14ac:dyDescent="0.35">
      <c r="B308"/>
      <c r="C308"/>
    </row>
    <row r="309" spans="2:3" x14ac:dyDescent="0.35">
      <c r="B309"/>
      <c r="C309"/>
    </row>
    <row r="310" spans="2:3" x14ac:dyDescent="0.35">
      <c r="B310"/>
      <c r="C310"/>
    </row>
    <row r="311" spans="2:3" x14ac:dyDescent="0.35">
      <c r="B311"/>
      <c r="C311"/>
    </row>
    <row r="312" spans="2:3" x14ac:dyDescent="0.35">
      <c r="B312"/>
      <c r="C312"/>
    </row>
    <row r="313" spans="2:3" x14ac:dyDescent="0.35">
      <c r="B313"/>
      <c r="C313"/>
    </row>
    <row r="314" spans="2:3" x14ac:dyDescent="0.35">
      <c r="B314"/>
      <c r="C314"/>
    </row>
    <row r="315" spans="2:3" x14ac:dyDescent="0.35">
      <c r="B315"/>
      <c r="C315"/>
    </row>
    <row r="316" spans="2:3" x14ac:dyDescent="0.35">
      <c r="B316"/>
      <c r="C316"/>
    </row>
    <row r="317" spans="2:3" x14ac:dyDescent="0.35">
      <c r="B317"/>
      <c r="C317"/>
    </row>
    <row r="318" spans="2:3" x14ac:dyDescent="0.35">
      <c r="B318"/>
      <c r="C318"/>
    </row>
    <row r="319" spans="2:3" x14ac:dyDescent="0.35">
      <c r="B319"/>
      <c r="C319"/>
    </row>
    <row r="320" spans="2:3" x14ac:dyDescent="0.35">
      <c r="B320"/>
      <c r="C320"/>
    </row>
    <row r="321" spans="2:3" x14ac:dyDescent="0.35">
      <c r="B321"/>
      <c r="C321"/>
    </row>
    <row r="322" spans="2:3" x14ac:dyDescent="0.35">
      <c r="B322"/>
      <c r="C322"/>
    </row>
    <row r="323" spans="2:3" x14ac:dyDescent="0.35">
      <c r="B323"/>
      <c r="C323"/>
    </row>
    <row r="324" spans="2:3" x14ac:dyDescent="0.35">
      <c r="B324"/>
      <c r="C324"/>
    </row>
    <row r="325" spans="2:3" x14ac:dyDescent="0.35">
      <c r="B325"/>
      <c r="C325"/>
    </row>
    <row r="326" spans="2:3" x14ac:dyDescent="0.35">
      <c r="B326"/>
      <c r="C326"/>
    </row>
    <row r="327" spans="2:3" x14ac:dyDescent="0.35">
      <c r="B327"/>
      <c r="C327"/>
    </row>
    <row r="328" spans="2:3" x14ac:dyDescent="0.35">
      <c r="B328"/>
      <c r="C328"/>
    </row>
    <row r="329" spans="2:3" x14ac:dyDescent="0.35">
      <c r="B329"/>
      <c r="C329"/>
    </row>
    <row r="330" spans="2:3" x14ac:dyDescent="0.35">
      <c r="B330"/>
      <c r="C330"/>
    </row>
    <row r="331" spans="2:3" x14ac:dyDescent="0.35">
      <c r="B331"/>
      <c r="C331"/>
    </row>
    <row r="332" spans="2:3" x14ac:dyDescent="0.35">
      <c r="B332"/>
      <c r="C332"/>
    </row>
    <row r="333" spans="2:3" x14ac:dyDescent="0.35">
      <c r="B333"/>
      <c r="C333"/>
    </row>
    <row r="334" spans="2:3" x14ac:dyDescent="0.35">
      <c r="B334"/>
      <c r="C334"/>
    </row>
    <row r="335" spans="2:3" x14ac:dyDescent="0.35">
      <c r="B335"/>
      <c r="C335"/>
    </row>
    <row r="336" spans="2:3" x14ac:dyDescent="0.35">
      <c r="B336"/>
      <c r="C336"/>
    </row>
    <row r="337" spans="2:3" x14ac:dyDescent="0.35">
      <c r="B337"/>
      <c r="C337"/>
    </row>
    <row r="338" spans="2:3" x14ac:dyDescent="0.35">
      <c r="B338"/>
      <c r="C338"/>
    </row>
    <row r="339" spans="2:3" x14ac:dyDescent="0.35">
      <c r="B339"/>
      <c r="C339"/>
    </row>
    <row r="340" spans="2:3" x14ac:dyDescent="0.35">
      <c r="B340"/>
      <c r="C340"/>
    </row>
    <row r="341" spans="2:3" x14ac:dyDescent="0.35">
      <c r="B341"/>
      <c r="C341"/>
    </row>
    <row r="342" spans="2:3" x14ac:dyDescent="0.35">
      <c r="B342"/>
      <c r="C342"/>
    </row>
    <row r="343" spans="2:3" x14ac:dyDescent="0.35">
      <c r="B343"/>
      <c r="C343"/>
    </row>
    <row r="344" spans="2:3" x14ac:dyDescent="0.35">
      <c r="B344"/>
      <c r="C344"/>
    </row>
    <row r="345" spans="2:3" x14ac:dyDescent="0.35">
      <c r="B345"/>
      <c r="C345"/>
    </row>
    <row r="346" spans="2:3" x14ac:dyDescent="0.35">
      <c r="B346"/>
      <c r="C346"/>
    </row>
    <row r="347" spans="2:3" x14ac:dyDescent="0.35">
      <c r="B347"/>
      <c r="C347"/>
    </row>
    <row r="348" spans="2:3" x14ac:dyDescent="0.35">
      <c r="B348"/>
      <c r="C348"/>
    </row>
    <row r="349" spans="2:3" x14ac:dyDescent="0.35">
      <c r="B349"/>
      <c r="C349"/>
    </row>
    <row r="350" spans="2:3" x14ac:dyDescent="0.35">
      <c r="B350"/>
      <c r="C350"/>
    </row>
    <row r="351" spans="2:3" x14ac:dyDescent="0.35">
      <c r="B351"/>
      <c r="C351"/>
    </row>
    <row r="352" spans="2:3" x14ac:dyDescent="0.35">
      <c r="B352"/>
      <c r="C352"/>
    </row>
    <row r="353" spans="2:3" x14ac:dyDescent="0.35">
      <c r="B353"/>
      <c r="C353"/>
    </row>
    <row r="354" spans="2:3" x14ac:dyDescent="0.35">
      <c r="B354"/>
      <c r="C354"/>
    </row>
    <row r="355" spans="2:3" x14ac:dyDescent="0.35">
      <c r="B355"/>
      <c r="C355"/>
    </row>
    <row r="356" spans="2:3" x14ac:dyDescent="0.35">
      <c r="B356"/>
      <c r="C356"/>
    </row>
    <row r="357" spans="2:3" x14ac:dyDescent="0.35">
      <c r="B357"/>
      <c r="C357"/>
    </row>
    <row r="358" spans="2:3" x14ac:dyDescent="0.35">
      <c r="B358"/>
      <c r="C358"/>
    </row>
    <row r="359" spans="2:3" x14ac:dyDescent="0.35">
      <c r="B359"/>
      <c r="C359"/>
    </row>
    <row r="360" spans="2:3" x14ac:dyDescent="0.35">
      <c r="B360"/>
      <c r="C360"/>
    </row>
    <row r="361" spans="2:3" x14ac:dyDescent="0.35">
      <c r="B361"/>
      <c r="C361"/>
    </row>
    <row r="362" spans="2:3" x14ac:dyDescent="0.35">
      <c r="B362"/>
      <c r="C362"/>
    </row>
    <row r="363" spans="2:3" x14ac:dyDescent="0.35">
      <c r="B363"/>
      <c r="C363"/>
    </row>
    <row r="364" spans="2:3" x14ac:dyDescent="0.35">
      <c r="B364"/>
      <c r="C364"/>
    </row>
    <row r="365" spans="2:3" x14ac:dyDescent="0.35">
      <c r="B365"/>
      <c r="C365"/>
    </row>
    <row r="366" spans="2:3" x14ac:dyDescent="0.35">
      <c r="B366"/>
      <c r="C366"/>
    </row>
    <row r="367" spans="2:3" x14ac:dyDescent="0.35">
      <c r="B367"/>
      <c r="C367"/>
    </row>
    <row r="368" spans="2:3" x14ac:dyDescent="0.35">
      <c r="B368"/>
      <c r="C368"/>
    </row>
    <row r="369" spans="2:3" x14ac:dyDescent="0.35">
      <c r="B369"/>
      <c r="C369"/>
    </row>
    <row r="370" spans="2:3" x14ac:dyDescent="0.35">
      <c r="B370"/>
      <c r="C370"/>
    </row>
    <row r="371" spans="2:3" x14ac:dyDescent="0.35">
      <c r="B371"/>
      <c r="C371"/>
    </row>
    <row r="372" spans="2:3" x14ac:dyDescent="0.35">
      <c r="B372"/>
      <c r="C372"/>
    </row>
    <row r="373" spans="2:3" x14ac:dyDescent="0.35">
      <c r="B373"/>
      <c r="C373"/>
    </row>
    <row r="374" spans="2:3" x14ac:dyDescent="0.35">
      <c r="B374"/>
      <c r="C374"/>
    </row>
    <row r="375" spans="2:3" x14ac:dyDescent="0.35">
      <c r="B375"/>
      <c r="C375"/>
    </row>
    <row r="376" spans="2:3" x14ac:dyDescent="0.35">
      <c r="B376"/>
      <c r="C376"/>
    </row>
    <row r="377" spans="2:3" x14ac:dyDescent="0.35">
      <c r="B377"/>
      <c r="C377"/>
    </row>
    <row r="378" spans="2:3" x14ac:dyDescent="0.35">
      <c r="B378"/>
      <c r="C378"/>
    </row>
    <row r="379" spans="2:3" x14ac:dyDescent="0.35">
      <c r="B379"/>
      <c r="C379"/>
    </row>
    <row r="380" spans="2:3" x14ac:dyDescent="0.35">
      <c r="B380"/>
      <c r="C380"/>
    </row>
    <row r="381" spans="2:3" x14ac:dyDescent="0.35">
      <c r="B381"/>
      <c r="C381"/>
    </row>
    <row r="382" spans="2:3" x14ac:dyDescent="0.35">
      <c r="B382"/>
      <c r="C382"/>
    </row>
    <row r="383" spans="2:3" x14ac:dyDescent="0.35">
      <c r="B383"/>
      <c r="C383"/>
    </row>
    <row r="384" spans="2:3" x14ac:dyDescent="0.35">
      <c r="B384"/>
      <c r="C384"/>
    </row>
    <row r="385" spans="2:3" x14ac:dyDescent="0.35">
      <c r="B385"/>
      <c r="C385"/>
    </row>
    <row r="386" spans="2:3" x14ac:dyDescent="0.35">
      <c r="B386"/>
      <c r="C386"/>
    </row>
    <row r="387" spans="2:3" x14ac:dyDescent="0.35">
      <c r="B387"/>
      <c r="C387"/>
    </row>
    <row r="388" spans="2:3" x14ac:dyDescent="0.35">
      <c r="B388"/>
      <c r="C388"/>
    </row>
    <row r="389" spans="2:3" x14ac:dyDescent="0.35">
      <c r="B389"/>
      <c r="C389"/>
    </row>
    <row r="390" spans="2:3" x14ac:dyDescent="0.35">
      <c r="B390"/>
      <c r="C390"/>
    </row>
    <row r="391" spans="2:3" x14ac:dyDescent="0.35">
      <c r="B391"/>
      <c r="C391"/>
    </row>
    <row r="392" spans="2:3" x14ac:dyDescent="0.35">
      <c r="B392"/>
      <c r="C392"/>
    </row>
    <row r="393" spans="2:3" x14ac:dyDescent="0.35">
      <c r="B393"/>
      <c r="C393"/>
    </row>
    <row r="394" spans="2:3" x14ac:dyDescent="0.35">
      <c r="B394"/>
      <c r="C394"/>
    </row>
    <row r="395" spans="2:3" x14ac:dyDescent="0.35">
      <c r="B395"/>
      <c r="C395"/>
    </row>
    <row r="396" spans="2:3" x14ac:dyDescent="0.35">
      <c r="B396"/>
      <c r="C396"/>
    </row>
    <row r="397" spans="2:3" x14ac:dyDescent="0.35">
      <c r="B397"/>
      <c r="C397"/>
    </row>
    <row r="398" spans="2:3" x14ac:dyDescent="0.35">
      <c r="B398"/>
      <c r="C398"/>
    </row>
    <row r="399" spans="2:3" x14ac:dyDescent="0.35">
      <c r="B399"/>
      <c r="C399"/>
    </row>
    <row r="400" spans="2:3" x14ac:dyDescent="0.35">
      <c r="B400"/>
      <c r="C400"/>
    </row>
    <row r="401" spans="2:3" x14ac:dyDescent="0.35">
      <c r="B401"/>
      <c r="C401"/>
    </row>
    <row r="402" spans="2:3" x14ac:dyDescent="0.35">
      <c r="B402"/>
      <c r="C402"/>
    </row>
    <row r="403" spans="2:3" x14ac:dyDescent="0.35">
      <c r="B403"/>
      <c r="C403"/>
    </row>
    <row r="404" spans="2:3" x14ac:dyDescent="0.35">
      <c r="B404"/>
      <c r="C404"/>
    </row>
    <row r="405" spans="2:3" x14ac:dyDescent="0.35">
      <c r="B405"/>
      <c r="C405"/>
    </row>
    <row r="406" spans="2:3" x14ac:dyDescent="0.35">
      <c r="B406"/>
      <c r="C406"/>
    </row>
    <row r="407" spans="2:3" x14ac:dyDescent="0.35">
      <c r="B407"/>
      <c r="C407"/>
    </row>
    <row r="408" spans="2:3" x14ac:dyDescent="0.35">
      <c r="B408"/>
      <c r="C408"/>
    </row>
    <row r="409" spans="2:3" x14ac:dyDescent="0.35">
      <c r="B409"/>
      <c r="C409"/>
    </row>
    <row r="410" spans="2:3" x14ac:dyDescent="0.35">
      <c r="B410"/>
      <c r="C410"/>
    </row>
    <row r="411" spans="2:3" x14ac:dyDescent="0.35">
      <c r="B411"/>
      <c r="C411"/>
    </row>
    <row r="412" spans="2:3" x14ac:dyDescent="0.35">
      <c r="B412"/>
      <c r="C412"/>
    </row>
    <row r="413" spans="2:3" x14ac:dyDescent="0.35">
      <c r="B413"/>
      <c r="C413"/>
    </row>
    <row r="414" spans="2:3" x14ac:dyDescent="0.35">
      <c r="B414"/>
      <c r="C414"/>
    </row>
    <row r="415" spans="2:3" x14ac:dyDescent="0.35">
      <c r="B415"/>
      <c r="C415"/>
    </row>
    <row r="416" spans="2:3" x14ac:dyDescent="0.35">
      <c r="B416"/>
      <c r="C416"/>
    </row>
    <row r="417" spans="2:3" x14ac:dyDescent="0.35">
      <c r="B417"/>
      <c r="C417"/>
    </row>
    <row r="418" spans="2:3" x14ac:dyDescent="0.35">
      <c r="B418"/>
      <c r="C418"/>
    </row>
    <row r="419" spans="2:3" x14ac:dyDescent="0.35">
      <c r="B419"/>
      <c r="C419"/>
    </row>
    <row r="420" spans="2:3" x14ac:dyDescent="0.35">
      <c r="B420"/>
      <c r="C420"/>
    </row>
    <row r="421" spans="2:3" x14ac:dyDescent="0.35">
      <c r="B421"/>
      <c r="C421"/>
    </row>
    <row r="422" spans="2:3" x14ac:dyDescent="0.35">
      <c r="B422"/>
      <c r="C422"/>
    </row>
    <row r="423" spans="2:3" x14ac:dyDescent="0.35">
      <c r="B423"/>
      <c r="C423"/>
    </row>
    <row r="424" spans="2:3" x14ac:dyDescent="0.35">
      <c r="B424"/>
      <c r="C424"/>
    </row>
    <row r="425" spans="2:3" x14ac:dyDescent="0.35">
      <c r="B425"/>
      <c r="C425"/>
    </row>
    <row r="426" spans="2:3" x14ac:dyDescent="0.35">
      <c r="B426"/>
      <c r="C426"/>
    </row>
    <row r="427" spans="2:3" x14ac:dyDescent="0.35">
      <c r="B427"/>
      <c r="C427"/>
    </row>
    <row r="428" spans="2:3" x14ac:dyDescent="0.35">
      <c r="B428"/>
      <c r="C428"/>
    </row>
    <row r="429" spans="2:3" x14ac:dyDescent="0.35">
      <c r="B429"/>
      <c r="C429"/>
    </row>
    <row r="430" spans="2:3" x14ac:dyDescent="0.35">
      <c r="B430"/>
      <c r="C430"/>
    </row>
    <row r="431" spans="2:3" x14ac:dyDescent="0.35">
      <c r="B431"/>
      <c r="C431"/>
    </row>
    <row r="432" spans="2:3" x14ac:dyDescent="0.35">
      <c r="B432"/>
      <c r="C432"/>
    </row>
    <row r="433" spans="2:3" x14ac:dyDescent="0.35">
      <c r="B433"/>
      <c r="C433"/>
    </row>
    <row r="434" spans="2:3" x14ac:dyDescent="0.35">
      <c r="B434"/>
      <c r="C434"/>
    </row>
    <row r="435" spans="2:3" x14ac:dyDescent="0.35">
      <c r="B435"/>
      <c r="C435"/>
    </row>
    <row r="436" spans="2:3" x14ac:dyDescent="0.35">
      <c r="B436"/>
      <c r="C436"/>
    </row>
    <row r="437" spans="2:3" x14ac:dyDescent="0.35">
      <c r="B437"/>
      <c r="C437"/>
    </row>
    <row r="438" spans="2:3" x14ac:dyDescent="0.35">
      <c r="B438"/>
      <c r="C438"/>
    </row>
    <row r="439" spans="2:3" x14ac:dyDescent="0.35">
      <c r="B439"/>
      <c r="C439"/>
    </row>
    <row r="440" spans="2:3" x14ac:dyDescent="0.35">
      <c r="B440"/>
      <c r="C440"/>
    </row>
    <row r="441" spans="2:3" x14ac:dyDescent="0.35">
      <c r="B441"/>
      <c r="C441"/>
    </row>
    <row r="442" spans="2:3" x14ac:dyDescent="0.35">
      <c r="B442"/>
      <c r="C442"/>
    </row>
    <row r="443" spans="2:3" x14ac:dyDescent="0.35">
      <c r="B443"/>
      <c r="C443"/>
    </row>
    <row r="444" spans="2:3" x14ac:dyDescent="0.35">
      <c r="B444"/>
      <c r="C444"/>
    </row>
    <row r="445" spans="2:3" x14ac:dyDescent="0.35">
      <c r="B445"/>
      <c r="C445"/>
    </row>
    <row r="446" spans="2:3" x14ac:dyDescent="0.35">
      <c r="B446"/>
      <c r="C446"/>
    </row>
    <row r="447" spans="2:3" x14ac:dyDescent="0.35">
      <c r="B447"/>
      <c r="C447"/>
    </row>
    <row r="448" spans="2:3" x14ac:dyDescent="0.35">
      <c r="B448"/>
      <c r="C448"/>
    </row>
    <row r="449" spans="2:3" x14ac:dyDescent="0.35">
      <c r="B449"/>
      <c r="C449"/>
    </row>
    <row r="450" spans="2:3" x14ac:dyDescent="0.35">
      <c r="B450"/>
      <c r="C450"/>
    </row>
    <row r="451" spans="2:3" x14ac:dyDescent="0.35">
      <c r="B451"/>
      <c r="C451"/>
    </row>
    <row r="452" spans="2:3" x14ac:dyDescent="0.35">
      <c r="B452"/>
      <c r="C452"/>
    </row>
    <row r="453" spans="2:3" x14ac:dyDescent="0.35">
      <c r="B453"/>
      <c r="C453"/>
    </row>
    <row r="454" spans="2:3" x14ac:dyDescent="0.35">
      <c r="B454"/>
      <c r="C454"/>
    </row>
    <row r="455" spans="2:3" x14ac:dyDescent="0.35">
      <c r="B455"/>
      <c r="C455"/>
    </row>
    <row r="456" spans="2:3" x14ac:dyDescent="0.35">
      <c r="B456"/>
      <c r="C456"/>
    </row>
    <row r="457" spans="2:3" x14ac:dyDescent="0.35">
      <c r="B457"/>
      <c r="C457"/>
    </row>
    <row r="458" spans="2:3" x14ac:dyDescent="0.35">
      <c r="B458"/>
      <c r="C458"/>
    </row>
    <row r="459" spans="2:3" x14ac:dyDescent="0.35">
      <c r="B459"/>
      <c r="C459"/>
    </row>
    <row r="460" spans="2:3" x14ac:dyDescent="0.35">
      <c r="B460"/>
      <c r="C460"/>
    </row>
    <row r="461" spans="2:3" x14ac:dyDescent="0.35">
      <c r="B461"/>
      <c r="C461"/>
    </row>
    <row r="462" spans="2:3" x14ac:dyDescent="0.35">
      <c r="B462"/>
      <c r="C462"/>
    </row>
    <row r="463" spans="2:3" x14ac:dyDescent="0.35">
      <c r="B463"/>
      <c r="C463"/>
    </row>
    <row r="464" spans="2:3" x14ac:dyDescent="0.35">
      <c r="B464"/>
      <c r="C464"/>
    </row>
    <row r="465" spans="2:3" x14ac:dyDescent="0.35">
      <c r="B465"/>
      <c r="C465"/>
    </row>
    <row r="466" spans="2:3" x14ac:dyDescent="0.35">
      <c r="B466"/>
      <c r="C466"/>
    </row>
    <row r="467" spans="2:3" x14ac:dyDescent="0.35">
      <c r="B467"/>
      <c r="C467"/>
    </row>
    <row r="468" spans="2:3" x14ac:dyDescent="0.35">
      <c r="B468"/>
      <c r="C468"/>
    </row>
    <row r="469" spans="2:3" x14ac:dyDescent="0.35">
      <c r="B469"/>
      <c r="C469"/>
    </row>
    <row r="470" spans="2:3" x14ac:dyDescent="0.35">
      <c r="B470"/>
      <c r="C470"/>
    </row>
    <row r="471" spans="2:3" x14ac:dyDescent="0.35">
      <c r="B471"/>
      <c r="C471"/>
    </row>
    <row r="472" spans="2:3" x14ac:dyDescent="0.35">
      <c r="B472"/>
      <c r="C472"/>
    </row>
    <row r="473" spans="2:3" x14ac:dyDescent="0.35">
      <c r="B473"/>
      <c r="C473"/>
    </row>
    <row r="474" spans="2:3" x14ac:dyDescent="0.35">
      <c r="B474"/>
      <c r="C474"/>
    </row>
    <row r="475" spans="2:3" x14ac:dyDescent="0.35">
      <c r="B475"/>
      <c r="C475"/>
    </row>
    <row r="476" spans="2:3" x14ac:dyDescent="0.35">
      <c r="B476"/>
      <c r="C476"/>
    </row>
    <row r="477" spans="2:3" x14ac:dyDescent="0.35">
      <c r="B477"/>
      <c r="C477"/>
    </row>
    <row r="478" spans="2:3" x14ac:dyDescent="0.35">
      <c r="B478"/>
      <c r="C478"/>
    </row>
    <row r="479" spans="2:3" x14ac:dyDescent="0.35">
      <c r="B479"/>
      <c r="C479"/>
    </row>
    <row r="480" spans="2:3" x14ac:dyDescent="0.35">
      <c r="B480"/>
      <c r="C480"/>
    </row>
    <row r="481" spans="2:3" x14ac:dyDescent="0.35">
      <c r="B481"/>
      <c r="C481"/>
    </row>
    <row r="482" spans="2:3" x14ac:dyDescent="0.35">
      <c r="B482"/>
      <c r="C482"/>
    </row>
    <row r="483" spans="2:3" x14ac:dyDescent="0.35">
      <c r="B483"/>
      <c r="C483"/>
    </row>
    <row r="484" spans="2:3" x14ac:dyDescent="0.35">
      <c r="B484"/>
      <c r="C484"/>
    </row>
    <row r="485" spans="2:3" x14ac:dyDescent="0.35">
      <c r="B485"/>
      <c r="C485"/>
    </row>
    <row r="486" spans="2:3" x14ac:dyDescent="0.35">
      <c r="B486"/>
      <c r="C486"/>
    </row>
    <row r="487" spans="2:3" x14ac:dyDescent="0.35">
      <c r="B487"/>
      <c r="C487"/>
    </row>
    <row r="488" spans="2:3" x14ac:dyDescent="0.35">
      <c r="B488"/>
      <c r="C488"/>
    </row>
    <row r="489" spans="2:3" x14ac:dyDescent="0.35">
      <c r="B489"/>
      <c r="C489"/>
    </row>
    <row r="490" spans="2:3" x14ac:dyDescent="0.35">
      <c r="B490"/>
      <c r="C490"/>
    </row>
    <row r="491" spans="2:3" x14ac:dyDescent="0.35">
      <c r="B491"/>
      <c r="C491"/>
    </row>
    <row r="492" spans="2:3" x14ac:dyDescent="0.35">
      <c r="B492"/>
      <c r="C492"/>
    </row>
    <row r="493" spans="2:3" x14ac:dyDescent="0.35">
      <c r="B493"/>
      <c r="C493"/>
    </row>
    <row r="494" spans="2:3" x14ac:dyDescent="0.35">
      <c r="B494"/>
      <c r="C494"/>
    </row>
    <row r="495" spans="2:3" x14ac:dyDescent="0.35">
      <c r="B495"/>
      <c r="C495"/>
    </row>
    <row r="496" spans="2:3" x14ac:dyDescent="0.35">
      <c r="B496"/>
      <c r="C496"/>
    </row>
    <row r="497" spans="2:3" x14ac:dyDescent="0.35">
      <c r="B497"/>
      <c r="C497"/>
    </row>
    <row r="498" spans="2:3" x14ac:dyDescent="0.35">
      <c r="B498"/>
      <c r="C498"/>
    </row>
    <row r="499" spans="2:3" x14ac:dyDescent="0.35">
      <c r="B499"/>
      <c r="C499"/>
    </row>
    <row r="500" spans="2:3" x14ac:dyDescent="0.35">
      <c r="B500"/>
      <c r="C500"/>
    </row>
    <row r="501" spans="2:3" x14ac:dyDescent="0.35">
      <c r="B501"/>
      <c r="C501"/>
    </row>
    <row r="502" spans="2:3" x14ac:dyDescent="0.35">
      <c r="B502"/>
      <c r="C502"/>
    </row>
    <row r="503" spans="2:3" x14ac:dyDescent="0.35">
      <c r="B503"/>
      <c r="C503"/>
    </row>
    <row r="504" spans="2:3" x14ac:dyDescent="0.35">
      <c r="B504"/>
      <c r="C504"/>
    </row>
    <row r="505" spans="2:3" x14ac:dyDescent="0.35">
      <c r="B505"/>
      <c r="C505"/>
    </row>
    <row r="506" spans="2:3" x14ac:dyDescent="0.35">
      <c r="B506"/>
      <c r="C506"/>
    </row>
    <row r="507" spans="2:3" x14ac:dyDescent="0.35">
      <c r="B507"/>
      <c r="C507"/>
    </row>
    <row r="508" spans="2:3" x14ac:dyDescent="0.35">
      <c r="B508"/>
      <c r="C508"/>
    </row>
    <row r="509" spans="2:3" x14ac:dyDescent="0.35">
      <c r="B509"/>
      <c r="C509"/>
    </row>
    <row r="510" spans="2:3" x14ac:dyDescent="0.35">
      <c r="B510"/>
      <c r="C510"/>
    </row>
    <row r="511" spans="2:3" x14ac:dyDescent="0.35">
      <c r="B511"/>
      <c r="C511"/>
    </row>
    <row r="512" spans="2:3" x14ac:dyDescent="0.35">
      <c r="B512"/>
      <c r="C512"/>
    </row>
    <row r="513" spans="2:3" x14ac:dyDescent="0.35">
      <c r="B513"/>
      <c r="C513"/>
    </row>
    <row r="514" spans="2:3" x14ac:dyDescent="0.35">
      <c r="B514"/>
      <c r="C514"/>
    </row>
    <row r="515" spans="2:3" x14ac:dyDescent="0.35">
      <c r="B515"/>
      <c r="C515"/>
    </row>
    <row r="516" spans="2:3" x14ac:dyDescent="0.35">
      <c r="B516"/>
      <c r="C516"/>
    </row>
    <row r="517" spans="2:3" x14ac:dyDescent="0.35">
      <c r="B517"/>
      <c r="C517"/>
    </row>
    <row r="518" spans="2:3" x14ac:dyDescent="0.35">
      <c r="B518"/>
      <c r="C518"/>
    </row>
    <row r="519" spans="2:3" x14ac:dyDescent="0.35">
      <c r="B519"/>
      <c r="C519"/>
    </row>
    <row r="520" spans="2:3" x14ac:dyDescent="0.35">
      <c r="B520"/>
      <c r="C520"/>
    </row>
    <row r="521" spans="2:3" x14ac:dyDescent="0.35">
      <c r="B521"/>
      <c r="C521"/>
    </row>
    <row r="522" spans="2:3" x14ac:dyDescent="0.35">
      <c r="B522"/>
      <c r="C522"/>
    </row>
    <row r="523" spans="2:3" x14ac:dyDescent="0.35">
      <c r="B523"/>
      <c r="C523"/>
    </row>
    <row r="524" spans="2:3" x14ac:dyDescent="0.35">
      <c r="B524"/>
      <c r="C524"/>
    </row>
    <row r="525" spans="2:3" x14ac:dyDescent="0.35">
      <c r="B525"/>
      <c r="C525"/>
    </row>
    <row r="526" spans="2:3" x14ac:dyDescent="0.35">
      <c r="B526"/>
      <c r="C526"/>
    </row>
    <row r="527" spans="2:3" x14ac:dyDescent="0.35">
      <c r="B527"/>
      <c r="C527"/>
    </row>
    <row r="528" spans="2:3" x14ac:dyDescent="0.35">
      <c r="B528"/>
      <c r="C528"/>
    </row>
    <row r="529" spans="2:3" x14ac:dyDescent="0.35">
      <c r="B529"/>
      <c r="C529"/>
    </row>
    <row r="530" spans="2:3" x14ac:dyDescent="0.35">
      <c r="B530"/>
      <c r="C530"/>
    </row>
    <row r="531" spans="2:3" x14ac:dyDescent="0.35">
      <c r="B531"/>
      <c r="C531"/>
    </row>
    <row r="532" spans="2:3" x14ac:dyDescent="0.35">
      <c r="B532"/>
      <c r="C532"/>
    </row>
    <row r="533" spans="2:3" x14ac:dyDescent="0.35">
      <c r="B533"/>
      <c r="C533"/>
    </row>
    <row r="534" spans="2:3" x14ac:dyDescent="0.35">
      <c r="B534"/>
      <c r="C534"/>
    </row>
    <row r="535" spans="2:3" x14ac:dyDescent="0.35">
      <c r="B535"/>
      <c r="C535"/>
    </row>
    <row r="536" spans="2:3" x14ac:dyDescent="0.35">
      <c r="B536"/>
      <c r="C536"/>
    </row>
    <row r="537" spans="2:3" x14ac:dyDescent="0.35">
      <c r="B537"/>
      <c r="C537"/>
    </row>
    <row r="538" spans="2:3" x14ac:dyDescent="0.35">
      <c r="B538"/>
      <c r="C538"/>
    </row>
    <row r="539" spans="2:3" x14ac:dyDescent="0.35">
      <c r="B539"/>
      <c r="C539"/>
    </row>
    <row r="540" spans="2:3" x14ac:dyDescent="0.35">
      <c r="B540"/>
      <c r="C540"/>
    </row>
    <row r="541" spans="2:3" x14ac:dyDescent="0.35">
      <c r="B541"/>
      <c r="C5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00D1-C4C7-47B7-9024-395E7C1DF921}">
  <sheetPr>
    <tabColor theme="7" tint="0.79998168889431442"/>
  </sheetPr>
  <dimension ref="A1:O138"/>
  <sheetViews>
    <sheetView topLeftCell="B119" zoomScale="90" zoomScaleNormal="90" workbookViewId="0">
      <selection activeCell="P140" sqref="P140"/>
    </sheetView>
  </sheetViews>
  <sheetFormatPr defaultRowHeight="14.5" x14ac:dyDescent="0.35"/>
  <cols>
    <col min="1" max="1" width="0" hidden="1" customWidth="1"/>
    <col min="2" max="2" width="30.453125" bestFit="1" customWidth="1"/>
    <col min="3" max="3" width="44" bestFit="1" customWidth="1"/>
    <col min="4" max="5" width="18.54296875" customWidth="1"/>
    <col min="6" max="9" width="18.54296875" hidden="1" customWidth="1"/>
    <col min="11" max="11" width="45" bestFit="1" customWidth="1"/>
    <col min="12" max="13" width="10.54296875" bestFit="1" customWidth="1"/>
    <col min="15" max="15" width="11" bestFit="1" customWidth="1"/>
  </cols>
  <sheetData>
    <row r="1" spans="1:11" ht="18.5" x14ac:dyDescent="0.45">
      <c r="B1" s="1260" t="s">
        <v>595</v>
      </c>
      <c r="C1" s="1260"/>
      <c r="D1" s="1260"/>
      <c r="E1" s="1260"/>
      <c r="F1" s="1260"/>
      <c r="G1" s="1260"/>
      <c r="H1" s="1260"/>
      <c r="I1" s="1260"/>
    </row>
    <row r="2" spans="1:11" s="74" customFormat="1" ht="15.65" customHeight="1" x14ac:dyDescent="0.35">
      <c r="B2" s="136" t="s">
        <v>596</v>
      </c>
      <c r="C2" s="136"/>
      <c r="D2" s="136"/>
      <c r="E2" s="295" t="s">
        <v>535</v>
      </c>
      <c r="F2" s="136"/>
      <c r="G2" s="136"/>
      <c r="H2" s="136"/>
      <c r="I2" s="136"/>
    </row>
    <row r="3" spans="1:11" x14ac:dyDescent="0.35">
      <c r="E3" s="129" t="s">
        <v>536</v>
      </c>
    </row>
    <row r="4" spans="1:11" x14ac:dyDescent="0.35">
      <c r="A4" t="s">
        <v>597</v>
      </c>
      <c r="B4" s="17" t="s">
        <v>93</v>
      </c>
      <c r="C4" s="9" t="s">
        <v>94</v>
      </c>
      <c r="D4" s="50" t="s">
        <v>598</v>
      </c>
      <c r="E4" s="50" t="s">
        <v>96</v>
      </c>
      <c r="F4" s="50" t="s">
        <v>538</v>
      </c>
      <c r="G4" s="50" t="s">
        <v>539</v>
      </c>
      <c r="H4" s="50" t="s">
        <v>540</v>
      </c>
      <c r="I4" s="50" t="s">
        <v>541</v>
      </c>
    </row>
    <row r="5" spans="1:11" x14ac:dyDescent="0.35">
      <c r="C5" s="92" t="s">
        <v>599</v>
      </c>
      <c r="D5" s="112">
        <v>0.94</v>
      </c>
      <c r="E5" s="112">
        <v>0.94</v>
      </c>
    </row>
    <row r="6" spans="1:11" x14ac:dyDescent="0.35">
      <c r="C6" s="19" t="s">
        <v>348</v>
      </c>
      <c r="D6" s="46">
        <v>900</v>
      </c>
      <c r="E6" s="303">
        <v>900</v>
      </c>
      <c r="F6" s="43">
        <v>925</v>
      </c>
      <c r="G6" s="43">
        <v>950</v>
      </c>
      <c r="H6" s="43">
        <v>975</v>
      </c>
      <c r="I6" s="43">
        <v>1000</v>
      </c>
    </row>
    <row r="7" spans="1:11" x14ac:dyDescent="0.35">
      <c r="C7" s="19" t="s">
        <v>349</v>
      </c>
      <c r="D7" s="46">
        <v>900</v>
      </c>
      <c r="E7" s="46">
        <v>900</v>
      </c>
      <c r="F7" s="43">
        <v>925</v>
      </c>
      <c r="G7" s="43">
        <v>950</v>
      </c>
      <c r="H7" s="43">
        <v>975</v>
      </c>
      <c r="I7" s="43">
        <v>1000</v>
      </c>
    </row>
    <row r="8" spans="1:11" x14ac:dyDescent="0.35">
      <c r="C8" s="19" t="s">
        <v>350</v>
      </c>
      <c r="D8" s="107">
        <v>10380</v>
      </c>
      <c r="E8" s="239">
        <v>10292.27</v>
      </c>
      <c r="F8" s="44">
        <f>D8+(D8*0.03)</f>
        <v>10691.4</v>
      </c>
      <c r="G8" s="44">
        <f>F8+(F8*0.03)</f>
        <v>11012.142</v>
      </c>
      <c r="H8" s="44">
        <f>G8+(G8*0.03)</f>
        <v>11342.50626</v>
      </c>
      <c r="I8" s="44">
        <f>H8+(H8*0.03)</f>
        <v>11682.7814478</v>
      </c>
      <c r="K8" t="s">
        <v>600</v>
      </c>
    </row>
    <row r="9" spans="1:11" x14ac:dyDescent="0.35">
      <c r="B9" s="29"/>
      <c r="C9" s="30"/>
      <c r="D9" s="31"/>
      <c r="E9" s="31"/>
    </row>
    <row r="10" spans="1:11" x14ac:dyDescent="0.35">
      <c r="A10">
        <v>1</v>
      </c>
      <c r="B10" s="286" t="s">
        <v>7</v>
      </c>
      <c r="C10" s="286" t="s">
        <v>7</v>
      </c>
      <c r="D10" s="287">
        <v>1823958</v>
      </c>
      <c r="E10" s="287">
        <v>1823958</v>
      </c>
      <c r="F10" s="35">
        <f>D131</f>
        <v>3334233</v>
      </c>
      <c r="G10" s="35">
        <f>F131</f>
        <v>2963866.2378000007</v>
      </c>
      <c r="H10" s="35">
        <f>G131</f>
        <v>3139720.352934001</v>
      </c>
      <c r="I10" s="35">
        <f>H131</f>
        <v>3438458.2570420159</v>
      </c>
    </row>
    <row r="11" spans="1:11" x14ac:dyDescent="0.35">
      <c r="A11">
        <v>2</v>
      </c>
      <c r="B11" t="s">
        <v>98</v>
      </c>
      <c r="C11" t="s">
        <v>99</v>
      </c>
      <c r="D11" s="119">
        <v>25000</v>
      </c>
      <c r="E11" s="119">
        <v>25000</v>
      </c>
      <c r="F11" s="34">
        <f>D11+(D11*0.03)</f>
        <v>25750</v>
      </c>
      <c r="G11" s="34">
        <f>F11+(F11*0.03)</f>
        <v>26522.5</v>
      </c>
      <c r="H11" s="34">
        <f>G11+(G11*0.03)</f>
        <v>27318.174999999999</v>
      </c>
      <c r="I11" s="34">
        <f>H11+(H11*0.03)</f>
        <v>28137.720249999998</v>
      </c>
    </row>
    <row r="12" spans="1:11" x14ac:dyDescent="0.35">
      <c r="A12">
        <v>3</v>
      </c>
      <c r="B12" t="s">
        <v>100</v>
      </c>
      <c r="C12" t="s">
        <v>16</v>
      </c>
      <c r="D12" s="119">
        <v>200000</v>
      </c>
      <c r="E12" s="119">
        <v>200000</v>
      </c>
      <c r="F12" s="35">
        <v>200000</v>
      </c>
      <c r="G12" s="35">
        <v>200000</v>
      </c>
      <c r="H12" s="35">
        <v>200000</v>
      </c>
      <c r="I12" s="35">
        <v>200000</v>
      </c>
    </row>
    <row r="13" spans="1:11" x14ac:dyDescent="0.35">
      <c r="A13">
        <v>4</v>
      </c>
      <c r="B13" t="s">
        <v>100</v>
      </c>
      <c r="C13" t="s">
        <v>101</v>
      </c>
      <c r="D13" s="119"/>
      <c r="E13" s="119"/>
      <c r="F13" s="34"/>
      <c r="G13" s="34"/>
      <c r="H13" s="34"/>
      <c r="I13" s="34"/>
    </row>
    <row r="14" spans="1:11" x14ac:dyDescent="0.35">
      <c r="A14">
        <v>5</v>
      </c>
      <c r="B14" t="s">
        <v>102</v>
      </c>
      <c r="C14" t="s">
        <v>103</v>
      </c>
      <c r="D14" s="119">
        <v>277170</v>
      </c>
      <c r="E14" s="190">
        <v>275101.96999999997</v>
      </c>
      <c r="F14" s="34">
        <f>D14+(D14*0.03)</f>
        <v>285485.09999999998</v>
      </c>
      <c r="G14" s="34">
        <f t="shared" ref="G14:I73" si="0">F14+(F14*0.03)</f>
        <v>294049.65299999999</v>
      </c>
      <c r="H14" s="34">
        <f t="shared" si="0"/>
        <v>302871.14259</v>
      </c>
      <c r="I14" s="34">
        <f t="shared" si="0"/>
        <v>311957.27686769998</v>
      </c>
    </row>
    <row r="15" spans="1:11" x14ac:dyDescent="0.35">
      <c r="A15">
        <v>6</v>
      </c>
      <c r="B15" t="s">
        <v>102</v>
      </c>
      <c r="C15" t="s">
        <v>104</v>
      </c>
      <c r="D15" s="119">
        <v>0</v>
      </c>
      <c r="E15" s="119">
        <v>0</v>
      </c>
      <c r="F15" s="34">
        <v>0</v>
      </c>
      <c r="G15" s="34">
        <v>0</v>
      </c>
      <c r="H15" s="34">
        <v>0</v>
      </c>
      <c r="I15" s="34">
        <v>0</v>
      </c>
    </row>
    <row r="16" spans="1:11" x14ac:dyDescent="0.35">
      <c r="A16">
        <v>7</v>
      </c>
      <c r="B16" t="s">
        <v>102</v>
      </c>
      <c r="C16" t="s">
        <v>105</v>
      </c>
      <c r="D16" s="119">
        <v>0</v>
      </c>
      <c r="E16" s="119">
        <v>0</v>
      </c>
      <c r="F16" s="34">
        <v>0</v>
      </c>
      <c r="G16" s="34">
        <v>0</v>
      </c>
      <c r="H16" s="34">
        <v>0</v>
      </c>
      <c r="I16" s="34">
        <v>0</v>
      </c>
    </row>
    <row r="17" spans="1:11" x14ac:dyDescent="0.35">
      <c r="A17">
        <v>8</v>
      </c>
      <c r="B17" t="s">
        <v>102</v>
      </c>
      <c r="C17" t="s">
        <v>106</v>
      </c>
      <c r="D17" s="119">
        <v>0</v>
      </c>
      <c r="E17" s="119">
        <v>0</v>
      </c>
      <c r="F17" s="34">
        <v>0</v>
      </c>
      <c r="G17" s="34">
        <v>0</v>
      </c>
      <c r="H17" s="34">
        <v>0</v>
      </c>
      <c r="I17" s="34">
        <v>0</v>
      </c>
    </row>
    <row r="18" spans="1:11" x14ac:dyDescent="0.35">
      <c r="A18">
        <v>9</v>
      </c>
      <c r="B18" t="s">
        <v>102</v>
      </c>
      <c r="C18" t="s">
        <v>107</v>
      </c>
      <c r="D18" s="119">
        <v>105373</v>
      </c>
      <c r="E18" s="119">
        <v>105373</v>
      </c>
      <c r="F18" s="34">
        <f>D18+(D18*0.03)</f>
        <v>108534.19</v>
      </c>
      <c r="G18" s="34">
        <f t="shared" si="0"/>
        <v>111790.2157</v>
      </c>
      <c r="H18" s="34">
        <f t="shared" si="0"/>
        <v>115143.922171</v>
      </c>
      <c r="I18" s="34">
        <f t="shared" si="0"/>
        <v>118598.23983613</v>
      </c>
    </row>
    <row r="19" spans="1:11" x14ac:dyDescent="0.35">
      <c r="A19">
        <v>10</v>
      </c>
      <c r="B19" t="s">
        <v>102</v>
      </c>
      <c r="C19" t="s">
        <v>108</v>
      </c>
      <c r="D19" s="119">
        <v>48142</v>
      </c>
      <c r="E19" s="119">
        <v>48142</v>
      </c>
      <c r="F19" s="34">
        <f>D19+(D19*0.03)</f>
        <v>49586.26</v>
      </c>
      <c r="G19" s="34">
        <f t="shared" si="0"/>
        <v>51073.847800000003</v>
      </c>
      <c r="H19" s="34">
        <f t="shared" si="0"/>
        <v>52606.063234000001</v>
      </c>
      <c r="I19" s="34">
        <f t="shared" si="0"/>
        <v>54184.245131019998</v>
      </c>
    </row>
    <row r="20" spans="1:11" x14ac:dyDescent="0.35">
      <c r="A20">
        <v>11</v>
      </c>
      <c r="B20" t="s">
        <v>102</v>
      </c>
      <c r="C20" t="s">
        <v>109</v>
      </c>
      <c r="D20" s="119">
        <v>0</v>
      </c>
      <c r="E20" s="119">
        <v>0</v>
      </c>
      <c r="F20" s="34">
        <v>0</v>
      </c>
      <c r="G20" s="34">
        <v>0</v>
      </c>
      <c r="H20" s="34">
        <v>0</v>
      </c>
      <c r="I20" s="34">
        <v>0</v>
      </c>
    </row>
    <row r="21" spans="1:11" x14ac:dyDescent="0.35">
      <c r="A21">
        <v>12</v>
      </c>
      <c r="B21" t="s">
        <v>110</v>
      </c>
      <c r="C21" t="s">
        <v>111</v>
      </c>
      <c r="D21" s="119">
        <v>30000</v>
      </c>
      <c r="E21" s="119">
        <v>30000</v>
      </c>
      <c r="F21" s="34">
        <f>D21+(D21*0.03)</f>
        <v>30900</v>
      </c>
      <c r="G21" s="34">
        <f t="shared" si="0"/>
        <v>31827</v>
      </c>
      <c r="H21" s="34">
        <f t="shared" si="0"/>
        <v>32781.81</v>
      </c>
      <c r="I21" s="34">
        <f t="shared" si="0"/>
        <v>33765.264299999995</v>
      </c>
    </row>
    <row r="22" spans="1:11" x14ac:dyDescent="0.35">
      <c r="A22">
        <v>13</v>
      </c>
      <c r="B22" t="s">
        <v>110</v>
      </c>
      <c r="C22" t="s">
        <v>218</v>
      </c>
      <c r="D22" s="119">
        <v>0</v>
      </c>
      <c r="E22" s="119">
        <v>0</v>
      </c>
      <c r="F22" s="34">
        <v>0</v>
      </c>
      <c r="G22" s="34">
        <v>0</v>
      </c>
      <c r="H22" s="34">
        <v>0</v>
      </c>
      <c r="I22" s="34">
        <v>0</v>
      </c>
    </row>
    <row r="23" spans="1:11" x14ac:dyDescent="0.35">
      <c r="A23">
        <v>14</v>
      </c>
      <c r="B23" t="s">
        <v>110</v>
      </c>
      <c r="C23" t="s">
        <v>357</v>
      </c>
      <c r="D23" s="119">
        <v>0</v>
      </c>
      <c r="E23" s="119">
        <v>0</v>
      </c>
      <c r="F23" s="34">
        <v>0</v>
      </c>
      <c r="G23" s="34">
        <v>0</v>
      </c>
      <c r="H23" s="34">
        <v>0</v>
      </c>
      <c r="I23" s="34">
        <v>0</v>
      </c>
    </row>
    <row r="24" spans="1:11" x14ac:dyDescent="0.35">
      <c r="A24">
        <v>15</v>
      </c>
      <c r="B24" t="s">
        <v>110</v>
      </c>
      <c r="C24" t="s">
        <v>219</v>
      </c>
      <c r="D24" s="119">
        <v>0</v>
      </c>
      <c r="E24" s="119">
        <v>0</v>
      </c>
      <c r="F24" s="34">
        <v>0</v>
      </c>
      <c r="G24" s="34">
        <v>0</v>
      </c>
      <c r="H24" s="34">
        <v>0</v>
      </c>
      <c r="I24" s="34">
        <v>0</v>
      </c>
    </row>
    <row r="25" spans="1:11" x14ac:dyDescent="0.35">
      <c r="A25">
        <v>16</v>
      </c>
      <c r="B25" t="s">
        <v>110</v>
      </c>
      <c r="C25" t="s">
        <v>230</v>
      </c>
      <c r="D25" s="119">
        <v>35619</v>
      </c>
      <c r="E25" s="119">
        <v>35619</v>
      </c>
      <c r="F25" s="34">
        <f>D25+(D25*0.03)</f>
        <v>36687.57</v>
      </c>
      <c r="G25" s="34">
        <f t="shared" si="0"/>
        <v>37788.197099999998</v>
      </c>
      <c r="H25" s="34">
        <f t="shared" si="0"/>
        <v>38921.843012999998</v>
      </c>
      <c r="I25" s="34">
        <f t="shared" si="0"/>
        <v>40089.498303389999</v>
      </c>
    </row>
    <row r="26" spans="1:11" x14ac:dyDescent="0.35">
      <c r="A26">
        <v>17</v>
      </c>
      <c r="B26" t="s">
        <v>110</v>
      </c>
      <c r="C26" t="s">
        <v>359</v>
      </c>
      <c r="D26" s="119">
        <v>0</v>
      </c>
      <c r="E26" s="119">
        <v>0</v>
      </c>
      <c r="F26" s="34">
        <v>0</v>
      </c>
      <c r="G26" s="34">
        <v>0</v>
      </c>
      <c r="H26" s="34">
        <v>0</v>
      </c>
      <c r="I26" s="34">
        <v>0</v>
      </c>
    </row>
    <row r="27" spans="1:11" x14ac:dyDescent="0.35">
      <c r="A27">
        <v>18</v>
      </c>
      <c r="B27" t="s">
        <v>110</v>
      </c>
      <c r="C27" t="s">
        <v>260</v>
      </c>
      <c r="D27" s="119">
        <v>22770</v>
      </c>
      <c r="E27" s="119">
        <v>22770</v>
      </c>
      <c r="F27" s="34">
        <f>D27+(D27*0.03)</f>
        <v>23453.1</v>
      </c>
      <c r="G27" s="34">
        <f t="shared" si="0"/>
        <v>24156.692999999999</v>
      </c>
      <c r="H27" s="34">
        <f t="shared" si="0"/>
        <v>24881.393789999998</v>
      </c>
      <c r="I27" s="34">
        <f t="shared" si="0"/>
        <v>25627.835603699998</v>
      </c>
    </row>
    <row r="28" spans="1:11" x14ac:dyDescent="0.35">
      <c r="A28">
        <v>19</v>
      </c>
      <c r="B28" t="s">
        <v>110</v>
      </c>
      <c r="C28" t="s">
        <v>12</v>
      </c>
      <c r="D28" s="119">
        <v>0</v>
      </c>
      <c r="E28" s="119">
        <v>0</v>
      </c>
      <c r="F28" s="34">
        <v>0</v>
      </c>
      <c r="G28" s="34">
        <v>0</v>
      </c>
      <c r="H28" s="34">
        <v>0</v>
      </c>
      <c r="I28" s="34">
        <v>0</v>
      </c>
    </row>
    <row r="29" spans="1:11" x14ac:dyDescent="0.35">
      <c r="A29">
        <v>20</v>
      </c>
      <c r="B29" t="s">
        <v>110</v>
      </c>
      <c r="C29" t="s">
        <v>8</v>
      </c>
      <c r="D29" s="119">
        <v>1134497</v>
      </c>
      <c r="E29" s="190">
        <v>1043138</v>
      </c>
      <c r="F29" s="34">
        <v>300000</v>
      </c>
      <c r="G29" s="34">
        <v>0</v>
      </c>
      <c r="H29" s="34">
        <v>0</v>
      </c>
      <c r="I29" s="34">
        <v>0</v>
      </c>
      <c r="K29" s="235" t="s">
        <v>601</v>
      </c>
    </row>
    <row r="30" spans="1:11" x14ac:dyDescent="0.35">
      <c r="A30">
        <v>21</v>
      </c>
      <c r="B30" t="s">
        <v>110</v>
      </c>
      <c r="C30" t="s">
        <v>117</v>
      </c>
      <c r="D30" s="119">
        <v>156249</v>
      </c>
      <c r="E30" s="190">
        <v>34301</v>
      </c>
      <c r="F30" s="34">
        <v>0</v>
      </c>
      <c r="G30" s="34">
        <v>0</v>
      </c>
      <c r="H30" s="34">
        <v>0</v>
      </c>
      <c r="I30" s="34">
        <v>0</v>
      </c>
      <c r="K30" s="235" t="s">
        <v>602</v>
      </c>
    </row>
    <row r="31" spans="1:11" x14ac:dyDescent="0.35">
      <c r="A31">
        <v>22</v>
      </c>
      <c r="B31" t="s">
        <v>110</v>
      </c>
      <c r="C31" t="s">
        <v>118</v>
      </c>
      <c r="D31" s="119">
        <v>329000</v>
      </c>
      <c r="E31" s="190">
        <v>89797.17</v>
      </c>
      <c r="F31" s="34"/>
      <c r="G31" s="34"/>
      <c r="H31" s="34"/>
      <c r="I31" s="34"/>
    </row>
    <row r="32" spans="1:11" x14ac:dyDescent="0.35">
      <c r="A32">
        <v>23</v>
      </c>
      <c r="B32" t="s">
        <v>110</v>
      </c>
      <c r="C32" t="s">
        <v>603</v>
      </c>
      <c r="D32" s="119">
        <v>0</v>
      </c>
      <c r="E32" s="119">
        <v>0</v>
      </c>
      <c r="F32" s="34">
        <v>0</v>
      </c>
      <c r="G32" s="34">
        <v>0</v>
      </c>
      <c r="H32" s="34">
        <v>0</v>
      </c>
      <c r="I32" s="34">
        <v>0</v>
      </c>
    </row>
    <row r="33" spans="1:15" x14ac:dyDescent="0.35">
      <c r="A33">
        <v>24</v>
      </c>
      <c r="B33" t="s">
        <v>110</v>
      </c>
      <c r="C33" t="s">
        <v>604</v>
      </c>
      <c r="D33" s="117">
        <v>0</v>
      </c>
      <c r="E33" s="117">
        <v>0</v>
      </c>
      <c r="F33" s="34">
        <v>0</v>
      </c>
      <c r="G33" s="34">
        <v>0</v>
      </c>
      <c r="H33" s="34">
        <v>0</v>
      </c>
      <c r="I33" s="34">
        <v>0</v>
      </c>
    </row>
    <row r="34" spans="1:15" x14ac:dyDescent="0.35">
      <c r="A34">
        <v>25</v>
      </c>
      <c r="B34" t="s">
        <v>102</v>
      </c>
      <c r="C34" t="s">
        <v>119</v>
      </c>
      <c r="D34" s="117">
        <v>2462019</v>
      </c>
      <c r="E34" s="128">
        <v>2374263</v>
      </c>
      <c r="F34" s="34">
        <f>D34+(D34*0.03)</f>
        <v>2535879.5699999998</v>
      </c>
      <c r="G34" s="34">
        <f t="shared" si="0"/>
        <v>2611955.9570999998</v>
      </c>
      <c r="H34" s="34">
        <f t="shared" si="0"/>
        <v>2690314.6358129997</v>
      </c>
      <c r="I34" s="34">
        <f t="shared" si="0"/>
        <v>2771024.0748873898</v>
      </c>
    </row>
    <row r="35" spans="1:15" x14ac:dyDescent="0.35">
      <c r="A35">
        <v>26</v>
      </c>
      <c r="B35" t="s">
        <v>102</v>
      </c>
      <c r="C35" t="s">
        <v>120</v>
      </c>
      <c r="D35" s="117">
        <v>9341892</v>
      </c>
      <c r="E35" s="305">
        <v>9263043</v>
      </c>
      <c r="F35" s="34">
        <f t="shared" ref="F35:I36" si="1">F6*F7</f>
        <v>855625</v>
      </c>
      <c r="G35" s="34">
        <f t="shared" si="1"/>
        <v>902500</v>
      </c>
      <c r="H35" s="34">
        <f t="shared" si="1"/>
        <v>950625</v>
      </c>
      <c r="I35" s="34">
        <f t="shared" si="1"/>
        <v>1000000</v>
      </c>
      <c r="K35" s="235" t="s">
        <v>605</v>
      </c>
      <c r="O35" s="48"/>
    </row>
    <row r="36" spans="1:15" ht="15" thickBot="1" x14ac:dyDescent="0.4">
      <c r="A36">
        <v>27</v>
      </c>
      <c r="B36" t="s">
        <v>102</v>
      </c>
      <c r="C36" t="s">
        <v>121</v>
      </c>
      <c r="D36" s="192"/>
      <c r="E36" s="192">
        <v>36541</v>
      </c>
      <c r="F36" s="34">
        <f t="shared" si="1"/>
        <v>9889545</v>
      </c>
      <c r="G36" s="34">
        <f t="shared" si="1"/>
        <v>10461534.9</v>
      </c>
      <c r="H36" s="34">
        <f t="shared" si="1"/>
        <v>11058943.603499999</v>
      </c>
      <c r="I36" s="34">
        <f t="shared" si="1"/>
        <v>11682781.447799999</v>
      </c>
      <c r="O36" s="48"/>
    </row>
    <row r="37" spans="1:15" ht="16" thickBot="1" x14ac:dyDescent="0.4">
      <c r="B37" s="270"/>
      <c r="C37" s="271" t="s">
        <v>371</v>
      </c>
      <c r="D37" s="272">
        <f>SUM(D10:D36)</f>
        <v>15991689</v>
      </c>
      <c r="E37" s="273">
        <f>SUM(E10:E36)</f>
        <v>15407047.140000001</v>
      </c>
      <c r="F37" s="269">
        <f>SUM(F11:F36)</f>
        <v>14341445.789999999</v>
      </c>
      <c r="G37" s="36">
        <f>SUM(G11:G36)</f>
        <v>14753198.9637</v>
      </c>
      <c r="H37" s="36">
        <f>SUM(H11:H36)</f>
        <v>15494407.589110998</v>
      </c>
      <c r="I37" s="36">
        <f>SUM(I11:I36)</f>
        <v>16266165.602979328</v>
      </c>
    </row>
    <row r="38" spans="1:15" ht="15" thickBot="1" x14ac:dyDescent="0.4">
      <c r="D38" s="493"/>
      <c r="E38" s="493"/>
      <c r="F38" s="34"/>
      <c r="G38" s="34"/>
      <c r="H38" s="34"/>
      <c r="I38" s="34"/>
    </row>
    <row r="39" spans="1:15" x14ac:dyDescent="0.35">
      <c r="A39">
        <v>1</v>
      </c>
      <c r="B39" s="494" t="s">
        <v>122</v>
      </c>
      <c r="C39" s="495" t="s">
        <v>123</v>
      </c>
      <c r="D39" s="496">
        <v>3778000</v>
      </c>
      <c r="E39" s="497">
        <f>'23-24 AAL Staffing'!F40</f>
        <v>3743000</v>
      </c>
      <c r="F39" s="492">
        <f>D39+(D39*0.03)</f>
        <v>3891340</v>
      </c>
      <c r="G39" s="35">
        <f>F39+(F39*0.04)</f>
        <v>4046993.6</v>
      </c>
      <c r="H39" s="52">
        <f>G39+(G39*0.04)+220000</f>
        <v>4428873.3440000005</v>
      </c>
      <c r="I39" s="34">
        <f>H39+(H39*0.04)</f>
        <v>4606028.2777600009</v>
      </c>
    </row>
    <row r="40" spans="1:15" x14ac:dyDescent="0.35">
      <c r="A40">
        <v>2</v>
      </c>
      <c r="B40" s="453" t="s">
        <v>122</v>
      </c>
      <c r="C40" t="s">
        <v>153</v>
      </c>
      <c r="D40" s="117">
        <v>20000</v>
      </c>
      <c r="E40" s="498">
        <v>20000</v>
      </c>
      <c r="F40" s="492">
        <f>D40+(D40*0.03)</f>
        <v>20600</v>
      </c>
      <c r="G40" s="34">
        <f t="shared" si="0"/>
        <v>21218</v>
      </c>
      <c r="H40" s="34">
        <f t="shared" si="0"/>
        <v>21854.54</v>
      </c>
      <c r="I40" s="34">
        <f t="shared" si="0"/>
        <v>22510.176200000002</v>
      </c>
    </row>
    <row r="41" spans="1:15" x14ac:dyDescent="0.35">
      <c r="A41">
        <v>3</v>
      </c>
      <c r="B41" s="453" t="s">
        <v>122</v>
      </c>
      <c r="C41" s="2" t="s">
        <v>154</v>
      </c>
      <c r="D41" s="119">
        <f>2963000*0.04</f>
        <v>118520</v>
      </c>
      <c r="E41" s="499">
        <f>E39*0.04</f>
        <v>149720</v>
      </c>
      <c r="F41" s="492">
        <f>D41+(D41*0.03)</f>
        <v>122075.6</v>
      </c>
      <c r="G41" s="34">
        <f t="shared" si="0"/>
        <v>125737.868</v>
      </c>
      <c r="H41" s="34">
        <f t="shared" si="0"/>
        <v>129510.00404</v>
      </c>
      <c r="I41" s="34">
        <f t="shared" si="0"/>
        <v>133395.30416120001</v>
      </c>
    </row>
    <row r="42" spans="1:15" x14ac:dyDescent="0.35">
      <c r="A42">
        <v>4</v>
      </c>
      <c r="B42" s="453" t="s">
        <v>155</v>
      </c>
      <c r="C42" t="s">
        <v>606</v>
      </c>
      <c r="D42" s="119">
        <v>1281476</v>
      </c>
      <c r="E42" s="500" t="e">
        <f>'23-24 AAL Staffing'!#REF!</f>
        <v>#REF!</v>
      </c>
      <c r="F42" s="492">
        <v>0</v>
      </c>
      <c r="G42" s="34">
        <v>0</v>
      </c>
      <c r="H42" s="34">
        <v>0</v>
      </c>
      <c r="I42" s="34">
        <v>0</v>
      </c>
      <c r="M42" s="125"/>
    </row>
    <row r="43" spans="1:15" x14ac:dyDescent="0.35">
      <c r="A43">
        <v>10</v>
      </c>
      <c r="B43" s="453" t="s">
        <v>122</v>
      </c>
      <c r="C43" t="s">
        <v>378</v>
      </c>
      <c r="D43" s="119">
        <v>207000</v>
      </c>
      <c r="E43" s="501">
        <f>'23-24 AAL Staffing'!F42</f>
        <v>213000</v>
      </c>
      <c r="F43" s="492">
        <f>D43+(D43*0.03)</f>
        <v>213210</v>
      </c>
      <c r="G43" s="34">
        <f t="shared" si="0"/>
        <v>219606.3</v>
      </c>
      <c r="H43" s="34">
        <f t="shared" si="0"/>
        <v>226194.489</v>
      </c>
      <c r="I43" s="34">
        <f t="shared" si="0"/>
        <v>232980.32367000001</v>
      </c>
    </row>
    <row r="44" spans="1:15" x14ac:dyDescent="0.35">
      <c r="A44">
        <v>11</v>
      </c>
      <c r="B44" s="453" t="s">
        <v>155</v>
      </c>
      <c r="C44" t="s">
        <v>607</v>
      </c>
      <c r="D44" s="117">
        <v>47300</v>
      </c>
      <c r="E44" s="501" t="e">
        <f>'23-24 AAL Staffing'!#REF!</f>
        <v>#REF!</v>
      </c>
      <c r="F44" s="492">
        <v>0</v>
      </c>
      <c r="G44" s="34">
        <v>0</v>
      </c>
      <c r="H44" s="34">
        <v>0</v>
      </c>
      <c r="I44" s="34">
        <v>0</v>
      </c>
    </row>
    <row r="45" spans="1:15" x14ac:dyDescent="0.35">
      <c r="A45">
        <v>13</v>
      </c>
      <c r="B45" s="453" t="s">
        <v>122</v>
      </c>
      <c r="C45" t="s">
        <v>164</v>
      </c>
      <c r="D45" s="117">
        <v>715000</v>
      </c>
      <c r="E45" s="499">
        <f>'23-24 AAL Staffing'!F55</f>
        <v>890000</v>
      </c>
      <c r="F45" s="492">
        <f>D45+(D45*0.03)</f>
        <v>736450</v>
      </c>
      <c r="G45" s="34">
        <f t="shared" si="0"/>
        <v>758543.5</v>
      </c>
      <c r="H45" s="34">
        <f t="shared" si="0"/>
        <v>781299.80500000005</v>
      </c>
      <c r="I45" s="34">
        <f t="shared" si="0"/>
        <v>804738.79915000009</v>
      </c>
    </row>
    <row r="46" spans="1:15" x14ac:dyDescent="0.35">
      <c r="A46">
        <v>14</v>
      </c>
      <c r="B46" s="453" t="s">
        <v>122</v>
      </c>
      <c r="C46" t="s">
        <v>165</v>
      </c>
      <c r="D46" s="117">
        <v>0</v>
      </c>
      <c r="E46" s="498">
        <v>0</v>
      </c>
      <c r="F46" s="492">
        <v>0</v>
      </c>
      <c r="G46" s="34">
        <v>0</v>
      </c>
      <c r="H46" s="34">
        <v>0</v>
      </c>
      <c r="I46" s="34">
        <v>0</v>
      </c>
    </row>
    <row r="47" spans="1:15" x14ac:dyDescent="0.35">
      <c r="A47">
        <v>15</v>
      </c>
      <c r="B47" s="453" t="s">
        <v>122</v>
      </c>
      <c r="C47" t="s">
        <v>166</v>
      </c>
      <c r="D47" s="117">
        <v>20000</v>
      </c>
      <c r="E47" s="498">
        <v>20000</v>
      </c>
      <c r="F47" s="492">
        <f>D47+(D47*0.03)</f>
        <v>20600</v>
      </c>
      <c r="G47" s="34">
        <f t="shared" si="0"/>
        <v>21218</v>
      </c>
      <c r="H47" s="34">
        <f t="shared" si="0"/>
        <v>21854.54</v>
      </c>
      <c r="I47" s="34">
        <f t="shared" si="0"/>
        <v>22510.176200000002</v>
      </c>
    </row>
    <row r="48" spans="1:15" x14ac:dyDescent="0.35">
      <c r="B48" s="453" t="s">
        <v>155</v>
      </c>
      <c r="C48" t="s">
        <v>608</v>
      </c>
      <c r="D48" s="117">
        <v>163378</v>
      </c>
      <c r="E48" s="498" t="e">
        <f>'23-24 AAL Staffing'!#REF!</f>
        <v>#REF!</v>
      </c>
      <c r="F48" s="492"/>
      <c r="G48" s="34"/>
      <c r="H48" s="34"/>
      <c r="I48" s="34"/>
      <c r="L48" s="125"/>
    </row>
    <row r="49" spans="1:12" ht="15" thickBot="1" x14ac:dyDescent="0.4">
      <c r="A49">
        <v>18</v>
      </c>
      <c r="B49" s="502" t="s">
        <v>155</v>
      </c>
      <c r="C49" s="503" t="s">
        <v>121</v>
      </c>
      <c r="D49" s="504">
        <v>35160</v>
      </c>
      <c r="E49" s="505">
        <v>36541</v>
      </c>
      <c r="F49" s="492"/>
      <c r="G49" s="34"/>
      <c r="H49" s="34"/>
      <c r="I49" s="34"/>
    </row>
    <row r="50" spans="1:12" x14ac:dyDescent="0.35">
      <c r="A50">
        <v>19</v>
      </c>
      <c r="B50" t="s">
        <v>169</v>
      </c>
      <c r="C50" t="s">
        <v>170</v>
      </c>
      <c r="D50" s="264">
        <v>10000</v>
      </c>
      <c r="E50" s="264">
        <v>10000</v>
      </c>
      <c r="F50" s="34">
        <f>D50+(D50*0.03)</f>
        <v>10300</v>
      </c>
      <c r="G50" s="34">
        <f t="shared" si="0"/>
        <v>10609</v>
      </c>
      <c r="H50" s="34">
        <f t="shared" si="0"/>
        <v>10927.27</v>
      </c>
      <c r="I50" s="34">
        <f t="shared" si="0"/>
        <v>11255.088100000001</v>
      </c>
    </row>
    <row r="51" spans="1:12" x14ac:dyDescent="0.35">
      <c r="A51">
        <v>20</v>
      </c>
      <c r="B51" t="s">
        <v>169</v>
      </c>
      <c r="C51" t="s">
        <v>171</v>
      </c>
      <c r="D51" s="117">
        <v>5000</v>
      </c>
      <c r="E51" s="117">
        <v>5000</v>
      </c>
      <c r="F51" s="34">
        <f>D51+(D51*0.03)</f>
        <v>5150</v>
      </c>
      <c r="G51" s="34">
        <f t="shared" si="0"/>
        <v>5304.5</v>
      </c>
      <c r="H51" s="34">
        <f t="shared" si="0"/>
        <v>5463.6350000000002</v>
      </c>
      <c r="I51" s="34">
        <f t="shared" si="0"/>
        <v>5627.5440500000004</v>
      </c>
    </row>
    <row r="52" spans="1:12" x14ac:dyDescent="0.35">
      <c r="A52">
        <v>21</v>
      </c>
      <c r="B52" t="s">
        <v>172</v>
      </c>
      <c r="C52" t="s">
        <v>173</v>
      </c>
      <c r="D52" s="117">
        <v>0</v>
      </c>
      <c r="E52" s="302">
        <v>40000</v>
      </c>
      <c r="F52" s="34">
        <v>0</v>
      </c>
      <c r="G52" s="34">
        <v>0</v>
      </c>
      <c r="H52" s="34">
        <v>0</v>
      </c>
      <c r="I52" s="34">
        <v>0</v>
      </c>
    </row>
    <row r="53" spans="1:12" x14ac:dyDescent="0.35">
      <c r="A53">
        <v>22</v>
      </c>
      <c r="B53" t="s">
        <v>172</v>
      </c>
      <c r="C53" t="s">
        <v>174</v>
      </c>
      <c r="D53" s="117">
        <v>0</v>
      </c>
      <c r="E53" s="117">
        <v>0</v>
      </c>
      <c r="F53" s="34">
        <v>0</v>
      </c>
      <c r="G53" s="34">
        <v>0</v>
      </c>
      <c r="H53" s="34">
        <v>0</v>
      </c>
      <c r="I53" s="34">
        <v>0</v>
      </c>
    </row>
    <row r="54" spans="1:12" x14ac:dyDescent="0.35">
      <c r="A54">
        <v>23</v>
      </c>
      <c r="B54" t="s">
        <v>172</v>
      </c>
      <c r="C54" t="s">
        <v>175</v>
      </c>
      <c r="D54" s="117">
        <v>30000</v>
      </c>
      <c r="E54" s="117">
        <v>30000</v>
      </c>
      <c r="F54" s="34">
        <f>D54+(D54*0.03)</f>
        <v>30900</v>
      </c>
      <c r="G54" s="34">
        <f t="shared" si="0"/>
        <v>31827</v>
      </c>
      <c r="H54" s="34">
        <f t="shared" si="0"/>
        <v>32781.81</v>
      </c>
      <c r="I54" s="34">
        <f t="shared" si="0"/>
        <v>33765.264299999995</v>
      </c>
    </row>
    <row r="55" spans="1:12" x14ac:dyDescent="0.35">
      <c r="A55">
        <v>24</v>
      </c>
      <c r="B55" t="s">
        <v>172</v>
      </c>
      <c r="C55" t="s">
        <v>176</v>
      </c>
      <c r="D55" s="117">
        <v>0</v>
      </c>
      <c r="E55" s="302">
        <v>50000</v>
      </c>
      <c r="F55" s="34">
        <v>0</v>
      </c>
      <c r="G55" s="34">
        <v>0</v>
      </c>
      <c r="H55" s="34">
        <v>0</v>
      </c>
      <c r="I55" s="34">
        <v>0</v>
      </c>
    </row>
    <row r="56" spans="1:12" x14ac:dyDescent="0.35">
      <c r="A56">
        <v>25</v>
      </c>
      <c r="B56" t="s">
        <v>172</v>
      </c>
      <c r="C56" s="2" t="s">
        <v>177</v>
      </c>
      <c r="D56" s="120">
        <v>10000</v>
      </c>
      <c r="E56" s="120">
        <v>10000</v>
      </c>
      <c r="F56" s="34">
        <f t="shared" ref="F56:F77" si="2">D56+(D56*0.03)</f>
        <v>10300</v>
      </c>
      <c r="G56" s="34">
        <f t="shared" si="0"/>
        <v>10609</v>
      </c>
      <c r="H56" s="34">
        <f t="shared" si="0"/>
        <v>10927.27</v>
      </c>
      <c r="I56" s="34">
        <f t="shared" si="0"/>
        <v>11255.088100000001</v>
      </c>
    </row>
    <row r="57" spans="1:12" x14ac:dyDescent="0.35">
      <c r="A57">
        <v>26</v>
      </c>
      <c r="B57" t="s">
        <v>172</v>
      </c>
      <c r="C57" s="2" t="s">
        <v>178</v>
      </c>
      <c r="D57" s="120">
        <v>10000</v>
      </c>
      <c r="E57" s="120">
        <v>10000</v>
      </c>
      <c r="F57" s="34">
        <f t="shared" si="2"/>
        <v>10300</v>
      </c>
      <c r="G57" s="34">
        <f>F57+(F57*0.03)</f>
        <v>10609</v>
      </c>
      <c r="H57" s="34">
        <f>G57+(G57*0.03)</f>
        <v>10927.27</v>
      </c>
      <c r="I57" s="34">
        <f>H57+(H57*0.03)</f>
        <v>11255.088100000001</v>
      </c>
      <c r="J57" s="49"/>
      <c r="K57" s="49"/>
      <c r="L57" s="49"/>
    </row>
    <row r="58" spans="1:12" x14ac:dyDescent="0.35">
      <c r="A58">
        <v>27</v>
      </c>
      <c r="B58" t="s">
        <v>172</v>
      </c>
      <c r="C58" t="s">
        <v>179</v>
      </c>
      <c r="D58" s="117">
        <v>15000</v>
      </c>
      <c r="E58" s="117">
        <v>15000</v>
      </c>
      <c r="F58" s="34">
        <f t="shared" si="2"/>
        <v>15450</v>
      </c>
      <c r="G58" s="34">
        <f t="shared" si="0"/>
        <v>15913.5</v>
      </c>
      <c r="H58" s="34">
        <f t="shared" si="0"/>
        <v>16390.904999999999</v>
      </c>
      <c r="I58" s="34">
        <f t="shared" si="0"/>
        <v>16882.632149999998</v>
      </c>
    </row>
    <row r="59" spans="1:12" x14ac:dyDescent="0.35">
      <c r="A59">
        <v>28</v>
      </c>
      <c r="B59" t="s">
        <v>172</v>
      </c>
      <c r="C59" t="s">
        <v>180</v>
      </c>
      <c r="D59" s="117">
        <v>0</v>
      </c>
      <c r="E59" s="117">
        <v>0</v>
      </c>
      <c r="F59" s="34">
        <f t="shared" si="2"/>
        <v>0</v>
      </c>
      <c r="G59" s="34">
        <f t="shared" si="0"/>
        <v>0</v>
      </c>
      <c r="H59" s="34">
        <f t="shared" si="0"/>
        <v>0</v>
      </c>
      <c r="I59" s="34">
        <f t="shared" si="0"/>
        <v>0</v>
      </c>
      <c r="J59" s="49"/>
    </row>
    <row r="60" spans="1:12" x14ac:dyDescent="0.35">
      <c r="A60">
        <v>29</v>
      </c>
      <c r="B60" t="s">
        <v>181</v>
      </c>
      <c r="C60" t="s">
        <v>182</v>
      </c>
      <c r="D60" s="117">
        <v>0</v>
      </c>
      <c r="E60" s="117">
        <v>0</v>
      </c>
      <c r="F60" s="34">
        <f t="shared" si="2"/>
        <v>0</v>
      </c>
      <c r="G60" s="34">
        <f t="shared" si="0"/>
        <v>0</v>
      </c>
      <c r="H60" s="34">
        <f t="shared" si="0"/>
        <v>0</v>
      </c>
      <c r="I60" s="34">
        <f t="shared" si="0"/>
        <v>0</v>
      </c>
    </row>
    <row r="61" spans="1:12" x14ac:dyDescent="0.35">
      <c r="A61">
        <v>30</v>
      </c>
      <c r="B61" t="s">
        <v>181</v>
      </c>
      <c r="C61" t="s">
        <v>183</v>
      </c>
      <c r="D61" s="117">
        <v>40000</v>
      </c>
      <c r="E61" s="117">
        <v>40000</v>
      </c>
      <c r="F61" s="34">
        <f t="shared" si="2"/>
        <v>41200</v>
      </c>
      <c r="G61" s="34">
        <f t="shared" si="0"/>
        <v>42436</v>
      </c>
      <c r="H61" s="34">
        <f t="shared" si="0"/>
        <v>43709.08</v>
      </c>
      <c r="I61" s="34">
        <f t="shared" si="0"/>
        <v>45020.352400000003</v>
      </c>
    </row>
    <row r="62" spans="1:12" x14ac:dyDescent="0.35">
      <c r="A62">
        <v>31</v>
      </c>
      <c r="B62" t="s">
        <v>181</v>
      </c>
      <c r="C62" t="s">
        <v>184</v>
      </c>
      <c r="D62" s="117">
        <v>40000</v>
      </c>
      <c r="E62" s="117">
        <v>40000</v>
      </c>
      <c r="F62" s="34">
        <f t="shared" si="2"/>
        <v>41200</v>
      </c>
      <c r="G62" s="34">
        <f t="shared" si="0"/>
        <v>42436</v>
      </c>
      <c r="H62" s="34">
        <f t="shared" si="0"/>
        <v>43709.08</v>
      </c>
      <c r="I62" s="34">
        <f t="shared" si="0"/>
        <v>45020.352400000003</v>
      </c>
    </row>
    <row r="63" spans="1:12" x14ac:dyDescent="0.35">
      <c r="A63">
        <v>32</v>
      </c>
      <c r="B63" t="s">
        <v>181</v>
      </c>
      <c r="C63" t="s">
        <v>185</v>
      </c>
      <c r="D63" s="117">
        <v>80000</v>
      </c>
      <c r="E63" s="117">
        <v>80000</v>
      </c>
      <c r="F63" s="34">
        <f t="shared" si="2"/>
        <v>82400</v>
      </c>
      <c r="G63" s="34">
        <f t="shared" si="0"/>
        <v>84872</v>
      </c>
      <c r="H63" s="34">
        <f t="shared" si="0"/>
        <v>87418.16</v>
      </c>
      <c r="I63" s="34">
        <f t="shared" si="0"/>
        <v>90040.704800000007</v>
      </c>
    </row>
    <row r="64" spans="1:12" x14ac:dyDescent="0.35">
      <c r="A64">
        <v>33</v>
      </c>
      <c r="B64" t="s">
        <v>181</v>
      </c>
      <c r="C64" t="s">
        <v>186</v>
      </c>
      <c r="D64" s="117">
        <v>22000</v>
      </c>
      <c r="E64" s="117">
        <v>22000</v>
      </c>
      <c r="F64" s="34">
        <f t="shared" si="2"/>
        <v>22660</v>
      </c>
      <c r="G64" s="34">
        <f t="shared" si="0"/>
        <v>23339.8</v>
      </c>
      <c r="H64" s="34">
        <f t="shared" si="0"/>
        <v>24039.993999999999</v>
      </c>
      <c r="I64" s="34">
        <f t="shared" si="0"/>
        <v>24761.19382</v>
      </c>
    </row>
    <row r="65" spans="1:10" x14ac:dyDescent="0.35">
      <c r="A65">
        <v>34</v>
      </c>
      <c r="B65" t="s">
        <v>181</v>
      </c>
      <c r="C65" t="s">
        <v>187</v>
      </c>
      <c r="D65" s="117">
        <v>5000</v>
      </c>
      <c r="E65" s="117">
        <v>5000</v>
      </c>
      <c r="F65" s="34">
        <f t="shared" si="2"/>
        <v>5150</v>
      </c>
      <c r="G65" s="34">
        <f t="shared" si="0"/>
        <v>5304.5</v>
      </c>
      <c r="H65" s="34">
        <f t="shared" si="0"/>
        <v>5463.6350000000002</v>
      </c>
      <c r="I65" s="34">
        <f t="shared" si="0"/>
        <v>5627.5440500000004</v>
      </c>
    </row>
    <row r="66" spans="1:10" x14ac:dyDescent="0.35">
      <c r="A66">
        <v>35</v>
      </c>
      <c r="B66" t="s">
        <v>181</v>
      </c>
      <c r="C66" t="s">
        <v>188</v>
      </c>
      <c r="D66" s="117">
        <v>0</v>
      </c>
      <c r="E66" s="117">
        <v>0</v>
      </c>
      <c r="F66" s="34">
        <f t="shared" si="2"/>
        <v>0</v>
      </c>
      <c r="G66" s="34">
        <f t="shared" si="0"/>
        <v>0</v>
      </c>
      <c r="H66" s="34">
        <f t="shared" si="0"/>
        <v>0</v>
      </c>
      <c r="I66" s="34">
        <f t="shared" si="0"/>
        <v>0</v>
      </c>
    </row>
    <row r="67" spans="1:10" x14ac:dyDescent="0.35">
      <c r="A67">
        <v>36</v>
      </c>
      <c r="B67" t="s">
        <v>181</v>
      </c>
      <c r="C67" t="s">
        <v>189</v>
      </c>
      <c r="D67" s="117">
        <v>40000</v>
      </c>
      <c r="E67" s="117">
        <v>40000</v>
      </c>
      <c r="F67" s="34">
        <f t="shared" si="2"/>
        <v>41200</v>
      </c>
      <c r="G67" s="34">
        <f t="shared" si="0"/>
        <v>42436</v>
      </c>
      <c r="H67" s="34">
        <f t="shared" si="0"/>
        <v>43709.08</v>
      </c>
      <c r="I67" s="34">
        <f t="shared" si="0"/>
        <v>45020.352400000003</v>
      </c>
    </row>
    <row r="68" spans="1:10" x14ac:dyDescent="0.35">
      <c r="A68">
        <v>37</v>
      </c>
      <c r="B68" t="s">
        <v>181</v>
      </c>
      <c r="C68" t="s">
        <v>190</v>
      </c>
      <c r="D68" s="117">
        <v>40000</v>
      </c>
      <c r="E68" s="117">
        <v>40000</v>
      </c>
      <c r="F68" s="34">
        <f t="shared" si="2"/>
        <v>41200</v>
      </c>
      <c r="G68" s="34">
        <f t="shared" si="0"/>
        <v>42436</v>
      </c>
      <c r="H68" s="34">
        <f t="shared" si="0"/>
        <v>43709.08</v>
      </c>
      <c r="I68" s="34">
        <f t="shared" si="0"/>
        <v>45020.352400000003</v>
      </c>
    </row>
    <row r="69" spans="1:10" x14ac:dyDescent="0.35">
      <c r="A69">
        <v>38</v>
      </c>
      <c r="B69" t="s">
        <v>181</v>
      </c>
      <c r="C69" t="s">
        <v>191</v>
      </c>
      <c r="D69" s="117">
        <v>40000</v>
      </c>
      <c r="E69" s="117">
        <v>40000</v>
      </c>
      <c r="F69" s="34">
        <f t="shared" si="2"/>
        <v>41200</v>
      </c>
      <c r="G69" s="34">
        <f t="shared" si="0"/>
        <v>42436</v>
      </c>
      <c r="H69" s="34">
        <f t="shared" si="0"/>
        <v>43709.08</v>
      </c>
      <c r="I69" s="34">
        <f t="shared" si="0"/>
        <v>45020.352400000003</v>
      </c>
    </row>
    <row r="70" spans="1:10" x14ac:dyDescent="0.35">
      <c r="A70">
        <v>39</v>
      </c>
      <c r="B70" t="s">
        <v>181</v>
      </c>
      <c r="C70" t="s">
        <v>192</v>
      </c>
      <c r="D70" s="117">
        <v>115000</v>
      </c>
      <c r="E70" s="117">
        <v>115000</v>
      </c>
      <c r="F70" s="34">
        <f t="shared" si="2"/>
        <v>118450</v>
      </c>
      <c r="G70" s="34">
        <f t="shared" si="0"/>
        <v>122003.5</v>
      </c>
      <c r="H70" s="34">
        <f t="shared" si="0"/>
        <v>125663.605</v>
      </c>
      <c r="I70" s="34">
        <f t="shared" si="0"/>
        <v>129433.51315</v>
      </c>
    </row>
    <row r="71" spans="1:10" x14ac:dyDescent="0.35">
      <c r="A71">
        <v>40</v>
      </c>
      <c r="B71" t="s">
        <v>181</v>
      </c>
      <c r="C71" t="s">
        <v>193</v>
      </c>
      <c r="D71" s="117">
        <v>0</v>
      </c>
      <c r="E71" s="117">
        <v>0</v>
      </c>
      <c r="F71" s="34">
        <f t="shared" si="2"/>
        <v>0</v>
      </c>
      <c r="G71" s="34">
        <f t="shared" si="0"/>
        <v>0</v>
      </c>
      <c r="H71" s="34">
        <f t="shared" si="0"/>
        <v>0</v>
      </c>
      <c r="I71" s="34">
        <f t="shared" si="0"/>
        <v>0</v>
      </c>
    </row>
    <row r="72" spans="1:10" x14ac:dyDescent="0.35">
      <c r="A72">
        <v>41</v>
      </c>
      <c r="B72" t="s">
        <v>181</v>
      </c>
      <c r="C72" t="s">
        <v>194</v>
      </c>
      <c r="D72" s="117">
        <v>0</v>
      </c>
      <c r="E72" s="117">
        <v>0</v>
      </c>
      <c r="F72" s="34">
        <f t="shared" si="2"/>
        <v>0</v>
      </c>
      <c r="G72" s="34">
        <f t="shared" si="0"/>
        <v>0</v>
      </c>
      <c r="H72" s="34">
        <f t="shared" si="0"/>
        <v>0</v>
      </c>
      <c r="I72" s="34">
        <f t="shared" si="0"/>
        <v>0</v>
      </c>
    </row>
    <row r="73" spans="1:10" x14ac:dyDescent="0.35">
      <c r="A73">
        <v>42</v>
      </c>
      <c r="B73" t="s">
        <v>169</v>
      </c>
      <c r="C73" t="s">
        <v>195</v>
      </c>
      <c r="D73" s="117">
        <v>6500</v>
      </c>
      <c r="E73" s="117">
        <v>6500</v>
      </c>
      <c r="F73" s="34">
        <f t="shared" si="2"/>
        <v>6695</v>
      </c>
      <c r="G73" s="34">
        <f t="shared" si="0"/>
        <v>6895.85</v>
      </c>
      <c r="H73" s="34">
        <f t="shared" si="0"/>
        <v>7102.7255000000005</v>
      </c>
      <c r="I73" s="34">
        <f t="shared" si="0"/>
        <v>7315.8072650000004</v>
      </c>
    </row>
    <row r="74" spans="1:10" x14ac:dyDescent="0.35">
      <c r="A74">
        <v>43</v>
      </c>
      <c r="B74" t="s">
        <v>169</v>
      </c>
      <c r="C74" t="s">
        <v>495</v>
      </c>
      <c r="D74" s="119">
        <v>514788</v>
      </c>
      <c r="E74" s="190">
        <v>515916</v>
      </c>
      <c r="F74" s="34">
        <f t="shared" si="2"/>
        <v>530231.64</v>
      </c>
      <c r="G74" s="34">
        <f t="shared" ref="G74:I86" si="3">F74+(F74*0.03)</f>
        <v>546138.58920000005</v>
      </c>
      <c r="H74" s="34">
        <f t="shared" si="3"/>
        <v>562522.74687600008</v>
      </c>
      <c r="I74" s="34">
        <f t="shared" si="3"/>
        <v>579398.42928228003</v>
      </c>
    </row>
    <row r="75" spans="1:10" x14ac:dyDescent="0.35">
      <c r="A75">
        <v>45</v>
      </c>
      <c r="B75" t="s">
        <v>169</v>
      </c>
      <c r="C75" t="s">
        <v>198</v>
      </c>
      <c r="D75" s="119">
        <v>0</v>
      </c>
      <c r="E75" s="119">
        <v>0</v>
      </c>
      <c r="F75" s="34">
        <f t="shared" si="2"/>
        <v>0</v>
      </c>
      <c r="G75" s="34">
        <f t="shared" si="3"/>
        <v>0</v>
      </c>
      <c r="H75" s="34">
        <f t="shared" si="3"/>
        <v>0</v>
      </c>
      <c r="I75" s="34">
        <f t="shared" si="3"/>
        <v>0</v>
      </c>
    </row>
    <row r="76" spans="1:10" x14ac:dyDescent="0.35">
      <c r="A76">
        <v>46</v>
      </c>
      <c r="B76" t="s">
        <v>199</v>
      </c>
      <c r="C76" t="s">
        <v>504</v>
      </c>
      <c r="D76" s="119">
        <v>161000</v>
      </c>
      <c r="E76" s="190">
        <v>164124</v>
      </c>
      <c r="F76" s="34">
        <f t="shared" si="2"/>
        <v>165830</v>
      </c>
      <c r="G76" s="34">
        <f t="shared" si="3"/>
        <v>170804.9</v>
      </c>
      <c r="H76" s="34">
        <f t="shared" si="3"/>
        <v>175929.04699999999</v>
      </c>
      <c r="I76" s="34">
        <f t="shared" si="3"/>
        <v>181206.91840999998</v>
      </c>
    </row>
    <row r="77" spans="1:10" x14ac:dyDescent="0.35">
      <c r="A77">
        <v>47</v>
      </c>
      <c r="B77" t="s">
        <v>199</v>
      </c>
      <c r="C77" t="s">
        <v>505</v>
      </c>
      <c r="D77" s="119">
        <v>221000</v>
      </c>
      <c r="E77" s="190">
        <v>231579</v>
      </c>
      <c r="F77" s="34">
        <f t="shared" si="2"/>
        <v>227630</v>
      </c>
      <c r="G77" s="34">
        <f t="shared" si="3"/>
        <v>234458.9</v>
      </c>
      <c r="H77" s="34">
        <f t="shared" si="3"/>
        <v>241492.66699999999</v>
      </c>
      <c r="I77" s="34">
        <f t="shared" si="3"/>
        <v>248737.44700999997</v>
      </c>
    </row>
    <row r="78" spans="1:10" x14ac:dyDescent="0.35">
      <c r="B78" t="s">
        <v>199</v>
      </c>
      <c r="C78" t="s">
        <v>506</v>
      </c>
      <c r="D78" s="119"/>
      <c r="E78" s="190">
        <v>377737</v>
      </c>
      <c r="F78" s="34"/>
      <c r="G78" s="34"/>
      <c r="H78" s="34"/>
      <c r="I78" s="34"/>
    </row>
    <row r="79" spans="1:10" x14ac:dyDescent="0.35">
      <c r="B79" t="s">
        <v>199</v>
      </c>
      <c r="C79" t="s">
        <v>507</v>
      </c>
      <c r="D79" s="119"/>
      <c r="E79" s="190">
        <v>10209</v>
      </c>
      <c r="F79" s="34"/>
      <c r="G79" s="34"/>
      <c r="H79" s="34"/>
      <c r="I79" s="34"/>
    </row>
    <row r="80" spans="1:10" x14ac:dyDescent="0.35">
      <c r="A80">
        <v>48</v>
      </c>
      <c r="B80" s="312" t="s">
        <v>199</v>
      </c>
      <c r="C80" s="312" t="s">
        <v>202</v>
      </c>
      <c r="D80" s="119">
        <v>1700000</v>
      </c>
      <c r="E80" s="119">
        <f>J80*(E35+E34)</f>
        <v>1745595.9</v>
      </c>
      <c r="F80" s="45">
        <v>1600000</v>
      </c>
      <c r="G80" s="45">
        <v>1500000</v>
      </c>
      <c r="H80" s="45">
        <v>1400000</v>
      </c>
      <c r="I80" s="45">
        <v>1400000</v>
      </c>
      <c r="J80" s="315">
        <v>0.15</v>
      </c>
    </row>
    <row r="81" spans="1:9" x14ac:dyDescent="0.35">
      <c r="A81">
        <v>49</v>
      </c>
      <c r="B81" t="s">
        <v>199</v>
      </c>
      <c r="C81" t="s">
        <v>508</v>
      </c>
      <c r="D81" s="119">
        <v>2000</v>
      </c>
      <c r="E81" s="190">
        <v>4119</v>
      </c>
      <c r="F81" s="34">
        <f t="shared" ref="F81:F109" si="4">D81+(D81*0.03)</f>
        <v>2060</v>
      </c>
      <c r="G81" s="34">
        <f t="shared" si="3"/>
        <v>2121.8000000000002</v>
      </c>
      <c r="H81" s="34">
        <f t="shared" si="3"/>
        <v>2185.4540000000002</v>
      </c>
      <c r="I81" s="34">
        <f t="shared" si="3"/>
        <v>2251.0176200000001</v>
      </c>
    </row>
    <row r="82" spans="1:9" x14ac:dyDescent="0.35">
      <c r="A82">
        <v>50</v>
      </c>
      <c r="B82" t="s">
        <v>199</v>
      </c>
      <c r="C82" t="s">
        <v>204</v>
      </c>
      <c r="D82" s="119">
        <v>30000</v>
      </c>
      <c r="E82" s="119">
        <v>30000</v>
      </c>
      <c r="F82" s="34">
        <f t="shared" si="4"/>
        <v>30900</v>
      </c>
      <c r="G82" s="34">
        <f t="shared" si="3"/>
        <v>31827</v>
      </c>
      <c r="H82" s="34">
        <f t="shared" si="3"/>
        <v>32781.81</v>
      </c>
      <c r="I82" s="34">
        <f t="shared" si="3"/>
        <v>33765.264299999995</v>
      </c>
    </row>
    <row r="83" spans="1:9" x14ac:dyDescent="0.35">
      <c r="A83">
        <v>51</v>
      </c>
      <c r="B83" t="s">
        <v>199</v>
      </c>
      <c r="C83" t="s">
        <v>205</v>
      </c>
      <c r="D83" s="119">
        <v>80000</v>
      </c>
      <c r="E83" s="119">
        <v>80000</v>
      </c>
      <c r="F83" s="34">
        <f t="shared" si="4"/>
        <v>82400</v>
      </c>
      <c r="G83" s="34">
        <f t="shared" si="3"/>
        <v>84872</v>
      </c>
      <c r="H83" s="34">
        <f t="shared" si="3"/>
        <v>87418.16</v>
      </c>
      <c r="I83" s="34">
        <f t="shared" si="3"/>
        <v>90040.704800000007</v>
      </c>
    </row>
    <row r="84" spans="1:9" x14ac:dyDescent="0.35">
      <c r="A84">
        <v>52</v>
      </c>
      <c r="B84" t="s">
        <v>199</v>
      </c>
      <c r="C84" t="s">
        <v>206</v>
      </c>
      <c r="D84" s="119">
        <v>15000</v>
      </c>
      <c r="E84" s="119">
        <v>15000</v>
      </c>
      <c r="F84" s="34">
        <f t="shared" si="4"/>
        <v>15450</v>
      </c>
      <c r="G84" s="34">
        <f t="shared" si="3"/>
        <v>15913.5</v>
      </c>
      <c r="H84" s="34">
        <f t="shared" si="3"/>
        <v>16390.904999999999</v>
      </c>
      <c r="I84" s="34">
        <f t="shared" si="3"/>
        <v>16882.632149999998</v>
      </c>
    </row>
    <row r="85" spans="1:9" x14ac:dyDescent="0.35">
      <c r="A85">
        <v>53</v>
      </c>
      <c r="B85" t="s">
        <v>199</v>
      </c>
      <c r="C85" t="s">
        <v>207</v>
      </c>
      <c r="D85" s="119">
        <v>250000</v>
      </c>
      <c r="E85" s="119">
        <v>250000</v>
      </c>
      <c r="F85" s="34">
        <f t="shared" si="4"/>
        <v>257500</v>
      </c>
      <c r="G85" s="34">
        <f t="shared" si="3"/>
        <v>265225</v>
      </c>
      <c r="H85" s="34">
        <f t="shared" si="3"/>
        <v>273181.75</v>
      </c>
      <c r="I85" s="34">
        <f t="shared" si="3"/>
        <v>281377.20250000001</v>
      </c>
    </row>
    <row r="86" spans="1:9" x14ac:dyDescent="0.35">
      <c r="A86">
        <v>54</v>
      </c>
      <c r="B86" t="s">
        <v>199</v>
      </c>
      <c r="C86" t="s">
        <v>208</v>
      </c>
      <c r="D86" s="119">
        <v>0</v>
      </c>
      <c r="E86" s="119">
        <v>0</v>
      </c>
      <c r="F86" s="34">
        <f t="shared" si="4"/>
        <v>0</v>
      </c>
      <c r="G86" s="34">
        <f t="shared" si="3"/>
        <v>0</v>
      </c>
      <c r="H86" s="34">
        <f t="shared" si="3"/>
        <v>0</v>
      </c>
      <c r="I86" s="34">
        <f t="shared" si="3"/>
        <v>0</v>
      </c>
    </row>
    <row r="87" spans="1:9" x14ac:dyDescent="0.35">
      <c r="A87">
        <v>55</v>
      </c>
      <c r="B87" t="s">
        <v>199</v>
      </c>
      <c r="C87" t="s">
        <v>427</v>
      </c>
      <c r="D87" s="119">
        <v>7400</v>
      </c>
      <c r="E87" s="190">
        <v>6975</v>
      </c>
      <c r="F87" s="34">
        <f t="shared" si="4"/>
        <v>7622</v>
      </c>
      <c r="G87" s="34">
        <f t="shared" ref="G87:I109" si="5">F87+(F87*0.03)</f>
        <v>7850.66</v>
      </c>
      <c r="H87" s="34">
        <f t="shared" si="5"/>
        <v>8086.1797999999999</v>
      </c>
      <c r="I87" s="34">
        <f t="shared" si="5"/>
        <v>8328.7651939999996</v>
      </c>
    </row>
    <row r="88" spans="1:9" x14ac:dyDescent="0.35">
      <c r="A88">
        <v>56</v>
      </c>
      <c r="B88" t="s">
        <v>199</v>
      </c>
      <c r="C88" t="s">
        <v>428</v>
      </c>
      <c r="D88" s="119">
        <v>0</v>
      </c>
      <c r="E88" s="190">
        <v>15596.88</v>
      </c>
      <c r="F88" s="34">
        <f t="shared" si="4"/>
        <v>0</v>
      </c>
      <c r="G88" s="34">
        <f t="shared" si="5"/>
        <v>0</v>
      </c>
      <c r="H88" s="34">
        <f t="shared" si="5"/>
        <v>0</v>
      </c>
      <c r="I88" s="34">
        <f t="shared" si="5"/>
        <v>0</v>
      </c>
    </row>
    <row r="89" spans="1:9" x14ac:dyDescent="0.35">
      <c r="A89">
        <v>57</v>
      </c>
      <c r="B89" t="s">
        <v>199</v>
      </c>
      <c r="C89" t="s">
        <v>211</v>
      </c>
      <c r="D89" s="117">
        <v>45000</v>
      </c>
      <c r="E89" s="117">
        <v>45000</v>
      </c>
      <c r="F89" s="34">
        <f t="shared" si="4"/>
        <v>46350</v>
      </c>
      <c r="G89" s="34">
        <f t="shared" si="5"/>
        <v>47740.5</v>
      </c>
      <c r="H89" s="34">
        <f t="shared" si="5"/>
        <v>49172.714999999997</v>
      </c>
      <c r="I89" s="34">
        <f t="shared" si="5"/>
        <v>50647.896449999993</v>
      </c>
    </row>
    <row r="90" spans="1:9" x14ac:dyDescent="0.35">
      <c r="A90">
        <v>58</v>
      </c>
      <c r="B90" t="s">
        <v>199</v>
      </c>
      <c r="C90" t="s">
        <v>212</v>
      </c>
      <c r="D90" s="117">
        <v>0</v>
      </c>
      <c r="E90" s="117">
        <v>0</v>
      </c>
      <c r="F90" s="34">
        <f t="shared" si="4"/>
        <v>0</v>
      </c>
      <c r="G90" s="34">
        <f t="shared" si="5"/>
        <v>0</v>
      </c>
      <c r="H90" s="34">
        <f t="shared" si="5"/>
        <v>0</v>
      </c>
      <c r="I90" s="34">
        <f t="shared" si="5"/>
        <v>0</v>
      </c>
    </row>
    <row r="91" spans="1:9" x14ac:dyDescent="0.35">
      <c r="A91">
        <v>59</v>
      </c>
      <c r="B91" t="s">
        <v>199</v>
      </c>
      <c r="C91" t="s">
        <v>213</v>
      </c>
      <c r="D91" s="117">
        <v>65000</v>
      </c>
      <c r="E91" s="117">
        <v>65000</v>
      </c>
      <c r="F91" s="34">
        <f t="shared" si="4"/>
        <v>66950</v>
      </c>
      <c r="G91" s="34">
        <f t="shared" si="5"/>
        <v>68958.5</v>
      </c>
      <c r="H91" s="34">
        <f t="shared" si="5"/>
        <v>71027.255000000005</v>
      </c>
      <c r="I91" s="34">
        <f t="shared" si="5"/>
        <v>73158.072650000002</v>
      </c>
    </row>
    <row r="92" spans="1:9" x14ac:dyDescent="0.35">
      <c r="A92">
        <v>60</v>
      </c>
      <c r="B92" t="s">
        <v>199</v>
      </c>
      <c r="C92" t="s">
        <v>214</v>
      </c>
      <c r="D92" s="117">
        <v>8700</v>
      </c>
      <c r="E92" s="117">
        <v>8700</v>
      </c>
      <c r="F92" s="34">
        <f t="shared" si="4"/>
        <v>8961</v>
      </c>
      <c r="G92" s="34">
        <f t="shared" si="5"/>
        <v>9229.83</v>
      </c>
      <c r="H92" s="34">
        <f t="shared" si="5"/>
        <v>9506.7248999999993</v>
      </c>
      <c r="I92" s="34">
        <f t="shared" si="5"/>
        <v>9791.9266469999984</v>
      </c>
    </row>
    <row r="93" spans="1:9" x14ac:dyDescent="0.35">
      <c r="A93">
        <v>61</v>
      </c>
      <c r="B93" t="s">
        <v>124</v>
      </c>
      <c r="C93" t="s">
        <v>125</v>
      </c>
      <c r="D93" s="117">
        <v>0</v>
      </c>
      <c r="E93" s="117">
        <v>0</v>
      </c>
      <c r="F93" s="34">
        <f t="shared" si="4"/>
        <v>0</v>
      </c>
      <c r="G93" s="34">
        <f t="shared" si="5"/>
        <v>0</v>
      </c>
      <c r="H93" s="34">
        <f t="shared" si="5"/>
        <v>0</v>
      </c>
      <c r="I93" s="34">
        <f t="shared" si="5"/>
        <v>0</v>
      </c>
    </row>
    <row r="94" spans="1:9" x14ac:dyDescent="0.35">
      <c r="A94">
        <v>62</v>
      </c>
      <c r="B94" t="s">
        <v>124</v>
      </c>
      <c r="C94" t="s">
        <v>67</v>
      </c>
      <c r="D94" s="117">
        <v>48000</v>
      </c>
      <c r="E94" s="117">
        <v>48000</v>
      </c>
      <c r="F94" s="34">
        <f t="shared" si="4"/>
        <v>49440</v>
      </c>
      <c r="G94" s="34">
        <f t="shared" si="5"/>
        <v>50923.199999999997</v>
      </c>
      <c r="H94" s="34">
        <f t="shared" si="5"/>
        <v>52450.895999999993</v>
      </c>
      <c r="I94" s="34">
        <f t="shared" si="5"/>
        <v>54024.422879999991</v>
      </c>
    </row>
    <row r="95" spans="1:9" x14ac:dyDescent="0.35">
      <c r="A95">
        <v>63</v>
      </c>
      <c r="B95" t="s">
        <v>124</v>
      </c>
      <c r="C95" t="s">
        <v>126</v>
      </c>
      <c r="D95" s="117">
        <v>13000</v>
      </c>
      <c r="E95" s="117">
        <v>13000</v>
      </c>
      <c r="F95" s="34">
        <f t="shared" si="4"/>
        <v>13390</v>
      </c>
      <c r="G95" s="34">
        <f t="shared" si="5"/>
        <v>13791.7</v>
      </c>
      <c r="H95" s="34">
        <f t="shared" si="5"/>
        <v>14205.451000000001</v>
      </c>
      <c r="I95" s="34">
        <f t="shared" si="5"/>
        <v>14631.614530000001</v>
      </c>
    </row>
    <row r="96" spans="1:9" x14ac:dyDescent="0.35">
      <c r="A96">
        <v>64</v>
      </c>
      <c r="B96" t="s">
        <v>124</v>
      </c>
      <c r="C96" t="s">
        <v>127</v>
      </c>
      <c r="D96" s="117">
        <v>45400</v>
      </c>
      <c r="E96" s="117">
        <v>45400</v>
      </c>
      <c r="F96" s="34">
        <f t="shared" si="4"/>
        <v>46762</v>
      </c>
      <c r="G96" s="34">
        <f t="shared" si="5"/>
        <v>48164.86</v>
      </c>
      <c r="H96" s="34">
        <f t="shared" si="5"/>
        <v>49609.805800000002</v>
      </c>
      <c r="I96" s="34">
        <f t="shared" si="5"/>
        <v>51098.099974000004</v>
      </c>
    </row>
    <row r="97" spans="1:9" x14ac:dyDescent="0.35">
      <c r="A97">
        <v>65</v>
      </c>
      <c r="B97" t="s">
        <v>124</v>
      </c>
      <c r="C97" t="s">
        <v>128</v>
      </c>
      <c r="D97" s="119">
        <v>170000</v>
      </c>
      <c r="E97" s="119">
        <v>170000</v>
      </c>
      <c r="F97" s="34">
        <f t="shared" si="4"/>
        <v>175100</v>
      </c>
      <c r="G97" s="34">
        <f t="shared" si="5"/>
        <v>180353</v>
      </c>
      <c r="H97" s="34">
        <f t="shared" si="5"/>
        <v>185763.59</v>
      </c>
      <c r="I97" s="34">
        <f t="shared" si="5"/>
        <v>191336.49770000001</v>
      </c>
    </row>
    <row r="98" spans="1:9" x14ac:dyDescent="0.35">
      <c r="A98">
        <v>66</v>
      </c>
      <c r="B98" t="s">
        <v>124</v>
      </c>
      <c r="C98" t="s">
        <v>129</v>
      </c>
      <c r="D98" s="119">
        <v>20000</v>
      </c>
      <c r="E98" s="119">
        <v>20000</v>
      </c>
      <c r="F98" s="34">
        <f t="shared" si="4"/>
        <v>20600</v>
      </c>
      <c r="G98" s="34">
        <f t="shared" si="5"/>
        <v>21218</v>
      </c>
      <c r="H98" s="34">
        <f t="shared" si="5"/>
        <v>21854.54</v>
      </c>
      <c r="I98" s="34">
        <f t="shared" si="5"/>
        <v>22510.176200000002</v>
      </c>
    </row>
    <row r="99" spans="1:9" x14ac:dyDescent="0.35">
      <c r="A99">
        <v>67</v>
      </c>
      <c r="B99" t="s">
        <v>124</v>
      </c>
      <c r="C99" t="s">
        <v>130</v>
      </c>
      <c r="D99" s="119">
        <v>65000</v>
      </c>
      <c r="E99" s="119">
        <v>65000</v>
      </c>
      <c r="F99" s="34">
        <f t="shared" si="4"/>
        <v>66950</v>
      </c>
      <c r="G99" s="34">
        <f t="shared" si="5"/>
        <v>68958.5</v>
      </c>
      <c r="H99" s="34">
        <f t="shared" si="5"/>
        <v>71027.255000000005</v>
      </c>
      <c r="I99" s="34">
        <f t="shared" si="5"/>
        <v>73158.072650000002</v>
      </c>
    </row>
    <row r="100" spans="1:9" x14ac:dyDescent="0.35">
      <c r="A100">
        <v>68</v>
      </c>
      <c r="B100" t="s">
        <v>124</v>
      </c>
      <c r="C100" t="s">
        <v>131</v>
      </c>
      <c r="D100" s="119">
        <v>27000</v>
      </c>
      <c r="E100" s="119">
        <v>27000</v>
      </c>
      <c r="F100" s="34">
        <f t="shared" si="4"/>
        <v>27810</v>
      </c>
      <c r="G100" s="34">
        <f t="shared" si="5"/>
        <v>28644.3</v>
      </c>
      <c r="H100" s="34">
        <f t="shared" si="5"/>
        <v>29503.629000000001</v>
      </c>
      <c r="I100" s="34">
        <f t="shared" si="5"/>
        <v>30388.737870000001</v>
      </c>
    </row>
    <row r="101" spans="1:9" x14ac:dyDescent="0.35">
      <c r="A101">
        <v>69</v>
      </c>
      <c r="B101" t="s">
        <v>124</v>
      </c>
      <c r="C101" t="s">
        <v>132</v>
      </c>
      <c r="D101" s="119">
        <v>30000</v>
      </c>
      <c r="E101" s="119">
        <v>30000</v>
      </c>
      <c r="F101" s="34">
        <f t="shared" si="4"/>
        <v>30900</v>
      </c>
      <c r="G101" s="34">
        <f t="shared" si="5"/>
        <v>31827</v>
      </c>
      <c r="H101" s="34">
        <f t="shared" si="5"/>
        <v>32781.81</v>
      </c>
      <c r="I101" s="34">
        <f t="shared" si="5"/>
        <v>33765.264299999995</v>
      </c>
    </row>
    <row r="102" spans="1:9" x14ac:dyDescent="0.35">
      <c r="A102">
        <v>70</v>
      </c>
      <c r="B102" t="s">
        <v>124</v>
      </c>
      <c r="C102" t="s">
        <v>41</v>
      </c>
      <c r="D102" s="119">
        <v>7500</v>
      </c>
      <c r="E102" s="190">
        <v>10450</v>
      </c>
      <c r="F102" s="34">
        <f t="shared" si="4"/>
        <v>7725</v>
      </c>
      <c r="G102" s="34">
        <f t="shared" si="5"/>
        <v>7956.75</v>
      </c>
      <c r="H102" s="34">
        <f t="shared" si="5"/>
        <v>8195.4524999999994</v>
      </c>
      <c r="I102" s="34">
        <f t="shared" si="5"/>
        <v>8441.3160749999988</v>
      </c>
    </row>
    <row r="103" spans="1:9" x14ac:dyDescent="0.35">
      <c r="A103">
        <v>71</v>
      </c>
      <c r="B103" t="s">
        <v>124</v>
      </c>
      <c r="C103" t="s">
        <v>133</v>
      </c>
      <c r="D103" s="119">
        <v>3000</v>
      </c>
      <c r="E103" s="119">
        <v>3000</v>
      </c>
      <c r="F103" s="34">
        <f t="shared" si="4"/>
        <v>3090</v>
      </c>
      <c r="G103" s="34">
        <f t="shared" si="5"/>
        <v>3182.7</v>
      </c>
      <c r="H103" s="34">
        <f t="shared" si="5"/>
        <v>3278.1809999999996</v>
      </c>
      <c r="I103" s="34">
        <f t="shared" si="5"/>
        <v>3376.5264299999994</v>
      </c>
    </row>
    <row r="104" spans="1:9" x14ac:dyDescent="0.35">
      <c r="A104">
        <v>72</v>
      </c>
      <c r="B104" t="s">
        <v>124</v>
      </c>
      <c r="C104" t="s">
        <v>134</v>
      </c>
      <c r="D104" s="119">
        <v>5000</v>
      </c>
      <c r="E104" s="119">
        <v>5000</v>
      </c>
      <c r="F104" s="34">
        <f t="shared" si="4"/>
        <v>5150</v>
      </c>
      <c r="G104" s="34">
        <f t="shared" si="5"/>
        <v>5304.5</v>
      </c>
      <c r="H104" s="34">
        <f t="shared" si="5"/>
        <v>5463.6350000000002</v>
      </c>
      <c r="I104" s="34">
        <f t="shared" si="5"/>
        <v>5627.5440500000004</v>
      </c>
    </row>
    <row r="105" spans="1:9" x14ac:dyDescent="0.35">
      <c r="A105">
        <v>73</v>
      </c>
      <c r="B105" t="s">
        <v>124</v>
      </c>
      <c r="C105" t="s">
        <v>135</v>
      </c>
      <c r="D105" s="119">
        <v>1550</v>
      </c>
      <c r="E105" s="119">
        <v>1550</v>
      </c>
      <c r="F105" s="34">
        <f t="shared" si="4"/>
        <v>1596.5</v>
      </c>
      <c r="G105" s="34">
        <f t="shared" si="5"/>
        <v>1644.395</v>
      </c>
      <c r="H105" s="34">
        <f t="shared" si="5"/>
        <v>1693.72685</v>
      </c>
      <c r="I105" s="34">
        <f t="shared" si="5"/>
        <v>1744.5386555</v>
      </c>
    </row>
    <row r="106" spans="1:9" x14ac:dyDescent="0.35">
      <c r="A106">
        <v>74</v>
      </c>
      <c r="B106" t="s">
        <v>124</v>
      </c>
      <c r="C106" t="s">
        <v>136</v>
      </c>
      <c r="D106" s="119">
        <v>75000</v>
      </c>
      <c r="E106" s="119">
        <v>75000</v>
      </c>
      <c r="F106" s="34">
        <f t="shared" si="4"/>
        <v>77250</v>
      </c>
      <c r="G106" s="34">
        <f t="shared" si="5"/>
        <v>79567.5</v>
      </c>
      <c r="H106" s="34">
        <f t="shared" si="5"/>
        <v>81954.524999999994</v>
      </c>
      <c r="I106" s="34">
        <f t="shared" si="5"/>
        <v>84413.160749999995</v>
      </c>
    </row>
    <row r="107" spans="1:9" x14ac:dyDescent="0.35">
      <c r="A107">
        <v>75</v>
      </c>
      <c r="B107" t="s">
        <v>124</v>
      </c>
      <c r="C107" t="s">
        <v>124</v>
      </c>
      <c r="D107" s="119">
        <v>10000</v>
      </c>
      <c r="E107" s="119">
        <v>10000</v>
      </c>
      <c r="F107" s="34">
        <f t="shared" si="4"/>
        <v>10300</v>
      </c>
      <c r="G107" s="34">
        <f t="shared" si="5"/>
        <v>10609</v>
      </c>
      <c r="H107" s="34">
        <f t="shared" si="5"/>
        <v>10927.27</v>
      </c>
      <c r="I107" s="34">
        <f t="shared" si="5"/>
        <v>11255.088100000001</v>
      </c>
    </row>
    <row r="108" spans="1:9" x14ac:dyDescent="0.35">
      <c r="A108">
        <v>76</v>
      </c>
      <c r="B108" t="s">
        <v>137</v>
      </c>
      <c r="C108" t="s">
        <v>138</v>
      </c>
      <c r="D108" s="119">
        <v>110000</v>
      </c>
      <c r="E108" s="119">
        <v>110000</v>
      </c>
      <c r="F108" s="34">
        <f t="shared" si="4"/>
        <v>113300</v>
      </c>
      <c r="G108" s="34">
        <f t="shared" si="5"/>
        <v>116699</v>
      </c>
      <c r="H108" s="34">
        <f t="shared" si="5"/>
        <v>120199.97</v>
      </c>
      <c r="I108" s="34">
        <f t="shared" si="5"/>
        <v>123805.9691</v>
      </c>
    </row>
    <row r="109" spans="1:9" x14ac:dyDescent="0.35">
      <c r="A109">
        <v>77</v>
      </c>
      <c r="B109" t="s">
        <v>137</v>
      </c>
      <c r="C109" t="s">
        <v>139</v>
      </c>
      <c r="D109" s="119">
        <v>32000</v>
      </c>
      <c r="E109" s="119">
        <v>32000</v>
      </c>
      <c r="F109" s="34">
        <f t="shared" si="4"/>
        <v>32960</v>
      </c>
      <c r="G109" s="34">
        <f t="shared" si="5"/>
        <v>33948.800000000003</v>
      </c>
      <c r="H109" s="34">
        <f t="shared" si="5"/>
        <v>34967.264000000003</v>
      </c>
      <c r="I109" s="34">
        <f t="shared" si="5"/>
        <v>36016.281920000001</v>
      </c>
    </row>
    <row r="110" spans="1:9" x14ac:dyDescent="0.35">
      <c r="A110">
        <v>78</v>
      </c>
      <c r="B110" t="s">
        <v>137</v>
      </c>
      <c r="C110" t="s">
        <v>140</v>
      </c>
      <c r="D110" s="119">
        <v>18000</v>
      </c>
      <c r="E110" s="119">
        <v>18000</v>
      </c>
      <c r="F110" s="34"/>
      <c r="G110" s="34"/>
      <c r="H110" s="34"/>
      <c r="I110" s="34"/>
    </row>
    <row r="111" spans="1:9" x14ac:dyDescent="0.35">
      <c r="A111">
        <v>79</v>
      </c>
      <c r="B111" t="s">
        <v>137</v>
      </c>
      <c r="C111" t="s">
        <v>141</v>
      </c>
      <c r="D111" s="119">
        <v>270000</v>
      </c>
      <c r="E111" s="119">
        <v>270000</v>
      </c>
      <c r="F111" s="34"/>
      <c r="G111" s="34"/>
      <c r="H111" s="34"/>
      <c r="I111" s="34"/>
    </row>
    <row r="112" spans="1:9" x14ac:dyDescent="0.35">
      <c r="A112">
        <v>80</v>
      </c>
      <c r="B112" t="s">
        <v>137</v>
      </c>
      <c r="C112" t="s">
        <v>142</v>
      </c>
      <c r="D112" s="119">
        <v>0</v>
      </c>
      <c r="E112" s="119">
        <v>0</v>
      </c>
      <c r="F112" s="34">
        <f t="shared" ref="F112:F117" si="6">D112+(D112*0.03)</f>
        <v>0</v>
      </c>
      <c r="G112" s="34">
        <f t="shared" ref="G112:I117" si="7">F112+(F112*0.03)</f>
        <v>0</v>
      </c>
      <c r="H112" s="34">
        <f t="shared" si="7"/>
        <v>0</v>
      </c>
      <c r="I112" s="34">
        <f t="shared" si="7"/>
        <v>0</v>
      </c>
    </row>
    <row r="113" spans="1:11" x14ac:dyDescent="0.35">
      <c r="A113">
        <v>81</v>
      </c>
      <c r="B113" t="s">
        <v>137</v>
      </c>
      <c r="C113" t="s">
        <v>143</v>
      </c>
      <c r="D113" s="119">
        <v>275000</v>
      </c>
      <c r="E113" s="119">
        <v>275000</v>
      </c>
      <c r="F113" s="34">
        <f t="shared" si="6"/>
        <v>283250</v>
      </c>
      <c r="G113" s="34">
        <f t="shared" si="7"/>
        <v>291747.5</v>
      </c>
      <c r="H113" s="34">
        <f t="shared" si="7"/>
        <v>300499.92499999999</v>
      </c>
      <c r="I113" s="34">
        <f t="shared" si="7"/>
        <v>309514.92274999997</v>
      </c>
    </row>
    <row r="114" spans="1:11" x14ac:dyDescent="0.35">
      <c r="A114">
        <v>82</v>
      </c>
      <c r="B114" t="s">
        <v>137</v>
      </c>
      <c r="C114" t="s">
        <v>144</v>
      </c>
      <c r="D114" s="119">
        <v>25000</v>
      </c>
      <c r="E114" s="119">
        <v>25000</v>
      </c>
      <c r="F114" s="34">
        <f t="shared" si="6"/>
        <v>25750</v>
      </c>
      <c r="G114" s="34">
        <f t="shared" si="7"/>
        <v>26522.5</v>
      </c>
      <c r="H114" s="34">
        <f t="shared" si="7"/>
        <v>27318.174999999999</v>
      </c>
      <c r="I114" s="34">
        <f t="shared" si="7"/>
        <v>28137.720249999998</v>
      </c>
    </row>
    <row r="115" spans="1:11" x14ac:dyDescent="0.35">
      <c r="A115">
        <v>83</v>
      </c>
      <c r="B115" t="s">
        <v>137</v>
      </c>
      <c r="C115" t="s">
        <v>145</v>
      </c>
      <c r="D115" s="119"/>
      <c r="E115" s="119"/>
      <c r="F115" s="34">
        <f t="shared" si="6"/>
        <v>0</v>
      </c>
      <c r="G115" s="34">
        <f t="shared" si="7"/>
        <v>0</v>
      </c>
      <c r="H115" s="34">
        <f t="shared" si="7"/>
        <v>0</v>
      </c>
      <c r="I115" s="34">
        <f t="shared" si="7"/>
        <v>0</v>
      </c>
    </row>
    <row r="116" spans="1:11" x14ac:dyDescent="0.35">
      <c r="A116">
        <v>84</v>
      </c>
      <c r="B116" t="s">
        <v>137</v>
      </c>
      <c r="C116" t="s">
        <v>146</v>
      </c>
      <c r="D116" s="119"/>
      <c r="E116" s="119"/>
      <c r="F116" s="34">
        <f t="shared" si="6"/>
        <v>0</v>
      </c>
      <c r="G116" s="34">
        <f t="shared" si="7"/>
        <v>0</v>
      </c>
      <c r="H116" s="34">
        <f t="shared" si="7"/>
        <v>0</v>
      </c>
      <c r="I116" s="34">
        <f t="shared" si="7"/>
        <v>0</v>
      </c>
    </row>
    <row r="117" spans="1:11" x14ac:dyDescent="0.35">
      <c r="A117">
        <v>85</v>
      </c>
      <c r="B117" t="s">
        <v>137</v>
      </c>
      <c r="C117" t="s">
        <v>147</v>
      </c>
      <c r="D117" s="119">
        <v>40000</v>
      </c>
      <c r="E117" s="119">
        <v>40000</v>
      </c>
      <c r="F117" s="34">
        <f t="shared" si="6"/>
        <v>41200</v>
      </c>
      <c r="G117" s="34">
        <f t="shared" si="7"/>
        <v>42436</v>
      </c>
      <c r="H117" s="34">
        <f t="shared" si="7"/>
        <v>43709.08</v>
      </c>
      <c r="I117" s="34">
        <f t="shared" si="7"/>
        <v>45020.352400000003</v>
      </c>
    </row>
    <row r="118" spans="1:11" x14ac:dyDescent="0.35">
      <c r="A118">
        <v>86</v>
      </c>
      <c r="B118" t="s">
        <v>137</v>
      </c>
      <c r="C118" t="s">
        <v>148</v>
      </c>
      <c r="D118" s="119">
        <v>824284</v>
      </c>
      <c r="E118" s="119">
        <v>824284</v>
      </c>
      <c r="F118" s="34">
        <v>875000</v>
      </c>
      <c r="G118" s="34">
        <v>902779</v>
      </c>
      <c r="H118" s="34">
        <v>904179</v>
      </c>
      <c r="I118" s="34">
        <v>924463</v>
      </c>
    </row>
    <row r="119" spans="1:11" x14ac:dyDescent="0.35">
      <c r="A119">
        <v>87</v>
      </c>
      <c r="B119" t="s">
        <v>137</v>
      </c>
      <c r="C119" t="s">
        <v>149</v>
      </c>
      <c r="D119" s="119">
        <v>540000</v>
      </c>
      <c r="E119" s="119">
        <v>540000</v>
      </c>
      <c r="F119" s="34">
        <v>560000</v>
      </c>
      <c r="G119" s="34">
        <v>582000</v>
      </c>
      <c r="H119" s="34">
        <v>601000</v>
      </c>
      <c r="I119" s="34">
        <v>619800</v>
      </c>
    </row>
    <row r="120" spans="1:11" x14ac:dyDescent="0.35">
      <c r="A120">
        <v>89</v>
      </c>
      <c r="B120" t="s">
        <v>137</v>
      </c>
      <c r="C120" t="s">
        <v>151</v>
      </c>
      <c r="D120" s="117">
        <v>7000</v>
      </c>
      <c r="E120" s="117">
        <v>7000</v>
      </c>
      <c r="F120" s="34">
        <f>D120+(D120*0.03)</f>
        <v>7210</v>
      </c>
      <c r="G120" s="34">
        <f t="shared" ref="G120:I121" si="8">F120+(F120*0.03)</f>
        <v>7426.3</v>
      </c>
      <c r="H120" s="34">
        <f t="shared" si="8"/>
        <v>7649.0889999999999</v>
      </c>
      <c r="I120" s="34">
        <f t="shared" si="8"/>
        <v>7878.56167</v>
      </c>
    </row>
    <row r="121" spans="1:11" ht="15" thickBot="1" x14ac:dyDescent="0.4">
      <c r="A121">
        <v>90</v>
      </c>
      <c r="B121" t="s">
        <v>137</v>
      </c>
      <c r="C121" t="s">
        <v>152</v>
      </c>
      <c r="D121" s="192">
        <v>1500</v>
      </c>
      <c r="E121" s="192">
        <v>1500</v>
      </c>
      <c r="F121" s="34">
        <f>D121+(D121*0.03)</f>
        <v>1545</v>
      </c>
      <c r="G121" s="34">
        <f t="shared" si="8"/>
        <v>1591.35</v>
      </c>
      <c r="H121" s="34">
        <f t="shared" si="8"/>
        <v>1639.0904999999998</v>
      </c>
      <c r="I121" s="34">
        <f t="shared" si="8"/>
        <v>1688.2632149999997</v>
      </c>
    </row>
    <row r="122" spans="1:11" ht="16" thickBot="1" x14ac:dyDescent="0.4">
      <c r="B122" s="270"/>
      <c r="C122" s="274" t="s">
        <v>518</v>
      </c>
      <c r="D122" s="195">
        <f t="shared" ref="D122:I122" si="9">SUM(D39:D121)</f>
        <v>12657456</v>
      </c>
      <c r="E122" s="196" t="e">
        <f t="shared" si="9"/>
        <v>#REF!</v>
      </c>
      <c r="F122" s="191">
        <f t="shared" si="9"/>
        <v>11046193.739999998</v>
      </c>
      <c r="G122" s="38">
        <f t="shared" si="9"/>
        <v>11275221.952199999</v>
      </c>
      <c r="H122" s="38">
        <f t="shared" si="9"/>
        <v>11704805.176766003</v>
      </c>
      <c r="I122" s="38">
        <f t="shared" si="9"/>
        <v>12052166.695508987</v>
      </c>
    </row>
    <row r="123" spans="1:11" x14ac:dyDescent="0.35">
      <c r="D123" s="121"/>
      <c r="E123" s="121"/>
      <c r="F123" s="8"/>
      <c r="G123" s="8"/>
      <c r="H123" s="8"/>
      <c r="I123" s="8"/>
    </row>
    <row r="124" spans="1:11" ht="15" thickBot="1" x14ac:dyDescent="0.4">
      <c r="B124" s="5"/>
      <c r="C124" s="6" t="s">
        <v>558</v>
      </c>
      <c r="D124" s="122">
        <f t="shared" ref="D124:I124" si="10">D37-D122</f>
        <v>3334233</v>
      </c>
      <c r="E124" s="122" t="e">
        <f t="shared" si="10"/>
        <v>#REF!</v>
      </c>
      <c r="F124" s="39">
        <f t="shared" si="10"/>
        <v>3295252.0500000007</v>
      </c>
      <c r="G124" s="39">
        <f t="shared" si="10"/>
        <v>3477977.011500001</v>
      </c>
      <c r="H124" s="39">
        <f t="shared" si="10"/>
        <v>3789602.4123449959</v>
      </c>
      <c r="I124" s="39">
        <f t="shared" si="10"/>
        <v>4213998.9074703418</v>
      </c>
    </row>
    <row r="125" spans="1:11" x14ac:dyDescent="0.35">
      <c r="B125" s="11"/>
      <c r="C125" s="12"/>
      <c r="D125" s="123"/>
      <c r="E125" s="123"/>
      <c r="F125" s="8"/>
      <c r="G125" s="8"/>
      <c r="H125" s="8"/>
      <c r="I125" s="8"/>
    </row>
    <row r="126" spans="1:11" x14ac:dyDescent="0.35">
      <c r="B126" s="11"/>
      <c r="C126" s="12" t="s">
        <v>609</v>
      </c>
      <c r="D126" s="124">
        <f t="shared" ref="D126:I126" si="11">D122*0.03</f>
        <v>379723.68</v>
      </c>
      <c r="E126" s="124" t="e">
        <f t="shared" si="11"/>
        <v>#REF!</v>
      </c>
      <c r="F126" s="41">
        <f t="shared" si="11"/>
        <v>331385.81219999993</v>
      </c>
      <c r="G126" s="41">
        <f t="shared" si="11"/>
        <v>338256.65856599994</v>
      </c>
      <c r="H126" s="41">
        <f t="shared" si="11"/>
        <v>351144.15530298004</v>
      </c>
      <c r="I126" s="41">
        <f t="shared" si="11"/>
        <v>361565.00086526957</v>
      </c>
    </row>
    <row r="127" spans="1:11" x14ac:dyDescent="0.35">
      <c r="B127" s="11"/>
      <c r="C127" s="12" t="s">
        <v>610</v>
      </c>
      <c r="D127" s="124">
        <f>D122*0.01</f>
        <v>126574.56</v>
      </c>
      <c r="E127" s="124" t="e">
        <f>E122*0.01</f>
        <v>#REF!</v>
      </c>
      <c r="F127" s="105"/>
      <c r="G127" s="105"/>
      <c r="H127" s="105"/>
      <c r="I127" s="105"/>
      <c r="K127" t="s">
        <v>611</v>
      </c>
    </row>
    <row r="128" spans="1:11" x14ac:dyDescent="0.35">
      <c r="B128" s="11"/>
      <c r="C128" s="12" t="s">
        <v>612</v>
      </c>
      <c r="D128" s="124">
        <f>D126+D127</f>
        <v>506298.24</v>
      </c>
      <c r="E128" s="124" t="e">
        <f>E126+E127</f>
        <v>#REF!</v>
      </c>
      <c r="F128" s="105"/>
      <c r="G128" s="105"/>
      <c r="H128" s="105"/>
      <c r="I128" s="105"/>
    </row>
    <row r="129" spans="2:11" x14ac:dyDescent="0.35">
      <c r="B129" s="11"/>
      <c r="C129" s="12" t="s">
        <v>613</v>
      </c>
      <c r="D129" s="124">
        <f>D124-D128</f>
        <v>2827934.76</v>
      </c>
      <c r="E129" s="124" t="e">
        <f>E124-E128</f>
        <v>#REF!</v>
      </c>
      <c r="F129" s="105"/>
      <c r="G129" s="105"/>
      <c r="H129" s="105"/>
      <c r="I129" s="105"/>
      <c r="K129" t="s">
        <v>614</v>
      </c>
    </row>
    <row r="130" spans="2:11" ht="15" thickBot="1" x14ac:dyDescent="0.4">
      <c r="B130" s="11"/>
      <c r="C130" s="12"/>
      <c r="D130" s="40"/>
      <c r="E130" s="40"/>
      <c r="F130" s="8"/>
      <c r="G130" s="8"/>
      <c r="H130" s="8"/>
      <c r="I130" s="8"/>
    </row>
    <row r="131" spans="2:11" ht="16" thickBot="1" x14ac:dyDescent="0.4">
      <c r="B131" s="197"/>
      <c r="C131" s="276" t="s">
        <v>615</v>
      </c>
      <c r="D131" s="277">
        <f>D124</f>
        <v>3334233</v>
      </c>
      <c r="E131" s="278" t="e">
        <f>E124</f>
        <v>#REF!</v>
      </c>
      <c r="F131" s="275">
        <f>F124-F126</f>
        <v>2963866.2378000007</v>
      </c>
      <c r="G131" s="42">
        <f>G124-G126</f>
        <v>3139720.352934001</v>
      </c>
      <c r="H131" s="42">
        <f>H124-H126</f>
        <v>3438458.2570420159</v>
      </c>
      <c r="I131" s="42">
        <f>I124-I126</f>
        <v>3852433.9066050723</v>
      </c>
    </row>
    <row r="135" spans="2:11" x14ac:dyDescent="0.35">
      <c r="B135" s="253" t="s">
        <v>560</v>
      </c>
      <c r="C135" s="253" t="s">
        <v>561</v>
      </c>
      <c r="D135" s="253" t="s">
        <v>562</v>
      </c>
      <c r="E135" s="253" t="s">
        <v>563</v>
      </c>
      <c r="I135" t="s">
        <v>563</v>
      </c>
    </row>
    <row r="136" spans="2:11" x14ac:dyDescent="0.35">
      <c r="B136" t="s">
        <v>7</v>
      </c>
      <c r="C136" s="13">
        <f>E10</f>
        <v>1823958</v>
      </c>
      <c r="D136" s="480">
        <f>'Master Budgets'!F3</f>
        <v>1823958</v>
      </c>
      <c r="E136" t="str">
        <f>IF(C136=D136,"YEA","NOPE")</f>
        <v>YEA</v>
      </c>
      <c r="I136" t="str">
        <f>IF(C136=D136,"YEA We Balance","NOPE")</f>
        <v>YEA We Balance</v>
      </c>
    </row>
    <row r="137" spans="2:11" x14ac:dyDescent="0.35">
      <c r="B137" t="s">
        <v>564</v>
      </c>
      <c r="C137" s="13">
        <f>E37</f>
        <v>15407047.140000001</v>
      </c>
      <c r="D137" s="480">
        <f>'Master Budgets'!F42</f>
        <v>15407047.140000001</v>
      </c>
      <c r="E137" t="str">
        <f>IF(C137=D137,"YEA","NOPE")</f>
        <v>YEA</v>
      </c>
      <c r="I137" t="str">
        <f>IF(C137=D137,"YEA We Balance","NOPE")</f>
        <v>YEA We Balance</v>
      </c>
    </row>
    <row r="138" spans="2:11" x14ac:dyDescent="0.35">
      <c r="B138" t="s">
        <v>565</v>
      </c>
      <c r="C138" s="4" t="e">
        <f>E122</f>
        <v>#REF!</v>
      </c>
      <c r="D138" s="508" t="e">
        <f>'Master Budgets'!F176</f>
        <v>#REF!</v>
      </c>
      <c r="E138" t="e">
        <f>IF(C138=D138,"YEA","NOPE")</f>
        <v>#REF!</v>
      </c>
      <c r="I138" t="e">
        <f>IF(C138=D138,"YEA We Balance","NOPE")</f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E8 D5:D131" name="Range1"/>
  </protectedRanges>
  <autoFilter ref="B38:J122" xr:uid="{D4DA00D1-C4C7-47B7-9024-395E7C1DF921}"/>
  <mergeCells count="1">
    <mergeCell ref="B1:I1"/>
  </mergeCells>
  <phoneticPr fontId="18" type="noConversion"/>
  <dataValidations count="1">
    <dataValidation type="list" allowBlank="1" showInputMessage="1" showErrorMessage="1" sqref="B49" xr:uid="{89FDEBF4-F327-4263-B2D7-E1C11ADB9D69}">
      <formula1>#REF!</formula1>
    </dataValidation>
  </dataValidations>
  <pageMargins left="0.7" right="0.7" top="0.75" bottom="0.75" header="0.3" footer="0.3"/>
  <pageSetup scale="76" orientation="portrait" r:id="rId1"/>
  <rowBreaks count="2" manualBreakCount="2">
    <brk id="43" min="1" max="3" man="1"/>
    <brk id="81" min="1" max="3" man="1"/>
  </rowBreaks>
  <ignoredErrors>
    <ignoredError sqref="F36 H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D174-F149-4204-AED6-5B87768CE4B4}">
  <dimension ref="A2:G15"/>
  <sheetViews>
    <sheetView workbookViewId="0">
      <selection activeCell="G25" sqref="G25"/>
    </sheetView>
  </sheetViews>
  <sheetFormatPr defaultRowHeight="14.5" x14ac:dyDescent="0.35"/>
  <cols>
    <col min="1" max="1" width="21.26953125" customWidth="1"/>
    <col min="2" max="2" width="11.453125" hidden="1" customWidth="1"/>
    <col min="3" max="3" width="14.54296875" hidden="1" customWidth="1"/>
    <col min="4" max="4" width="9.1796875" hidden="1" customWidth="1"/>
    <col min="5" max="5" width="18.81640625" bestFit="1" customWidth="1"/>
    <col min="7" max="7" width="16" customWidth="1"/>
  </cols>
  <sheetData>
    <row r="2" spans="1:7" ht="29.5" thickBot="1" x14ac:dyDescent="0.4">
      <c r="B2" s="1126" t="s">
        <v>467</v>
      </c>
      <c r="C2" s="1127" t="s">
        <v>616</v>
      </c>
      <c r="E2" s="57" t="s">
        <v>617</v>
      </c>
      <c r="F2" s="1128" t="s">
        <v>618</v>
      </c>
      <c r="G2" s="57" t="s">
        <v>619</v>
      </c>
    </row>
    <row r="3" spans="1:7" x14ac:dyDescent="0.35">
      <c r="A3" s="1137" t="s">
        <v>97</v>
      </c>
      <c r="B3" s="1138">
        <v>787</v>
      </c>
      <c r="C3" s="1139">
        <f>B3*2045</f>
        <v>1609415</v>
      </c>
      <c r="D3" s="1140"/>
      <c r="E3" s="1141">
        <v>12462439.540000001</v>
      </c>
      <c r="F3" s="1142">
        <v>0.1</v>
      </c>
      <c r="G3" s="1143">
        <f>E3*F3</f>
        <v>1246243.9540000001</v>
      </c>
    </row>
    <row r="4" spans="1:7" x14ac:dyDescent="0.35">
      <c r="A4" s="526" t="s">
        <v>113</v>
      </c>
      <c r="B4" s="1129">
        <v>298</v>
      </c>
      <c r="C4" s="1130">
        <f t="shared" ref="C4:C9" si="0">B4*2045</f>
        <v>609410</v>
      </c>
      <c r="E4" s="1130">
        <f>'[8]Master Budgets '!P54</f>
        <v>4663790.92</v>
      </c>
      <c r="F4" s="1131">
        <v>0.04</v>
      </c>
      <c r="G4" s="1132">
        <f t="shared" ref="G4:G8" si="1">E4*F4</f>
        <v>186551.63680000001</v>
      </c>
    </row>
    <row r="5" spans="1:7" x14ac:dyDescent="0.35">
      <c r="A5" s="526" t="s">
        <v>215</v>
      </c>
      <c r="B5" s="1129">
        <v>185</v>
      </c>
      <c r="C5" s="1130">
        <f t="shared" si="0"/>
        <v>378325</v>
      </c>
      <c r="E5" s="1130">
        <f>'[8]Master Budgets '!L54</f>
        <v>3526369.74</v>
      </c>
      <c r="F5" s="1131">
        <v>0.04</v>
      </c>
      <c r="G5" s="1132">
        <f t="shared" si="1"/>
        <v>141054.78960000002</v>
      </c>
    </row>
    <row r="6" spans="1:7" x14ac:dyDescent="0.35">
      <c r="A6" s="526" t="s">
        <v>216</v>
      </c>
      <c r="B6" s="1129">
        <v>465</v>
      </c>
      <c r="C6" s="1130">
        <f t="shared" si="0"/>
        <v>950925</v>
      </c>
      <c r="E6" s="1130">
        <f>'[8]Master Budgets '!T54</f>
        <v>6033597.6781222699</v>
      </c>
      <c r="F6" s="1131">
        <v>0.13</v>
      </c>
      <c r="G6" s="1132">
        <f t="shared" si="1"/>
        <v>784367.69815589511</v>
      </c>
    </row>
    <row r="7" spans="1:7" x14ac:dyDescent="0.35">
      <c r="A7" s="526" t="s">
        <v>344</v>
      </c>
      <c r="B7" s="1129">
        <v>229</v>
      </c>
      <c r="C7" s="1130">
        <f t="shared" si="0"/>
        <v>468305</v>
      </c>
      <c r="E7" s="1130">
        <f>'[8]Master Budgets '!Z54</f>
        <v>5558935.0820035459</v>
      </c>
      <c r="F7" s="1131">
        <v>0.08</v>
      </c>
      <c r="G7" s="1132">
        <f t="shared" si="1"/>
        <v>444714.8065602837</v>
      </c>
    </row>
    <row r="8" spans="1:7" x14ac:dyDescent="0.35">
      <c r="A8" s="526" t="s">
        <v>1</v>
      </c>
      <c r="B8" s="1129">
        <v>1400</v>
      </c>
      <c r="C8" s="1130">
        <f t="shared" si="0"/>
        <v>2863000</v>
      </c>
      <c r="E8" s="1130">
        <f>'[8]Master Budgets '!W54</f>
        <v>18447775.339730192</v>
      </c>
      <c r="F8" s="1131">
        <v>0.21</v>
      </c>
      <c r="G8" s="1132">
        <f t="shared" si="1"/>
        <v>3874032.82134334</v>
      </c>
    </row>
    <row r="9" spans="1:7" x14ac:dyDescent="0.35">
      <c r="A9" s="1133" t="s">
        <v>620</v>
      </c>
      <c r="B9" s="1134">
        <f>SUM(B3:B8)</f>
        <v>3364</v>
      </c>
      <c r="C9" s="1130">
        <f t="shared" si="0"/>
        <v>6879380</v>
      </c>
      <c r="E9" s="1130">
        <f>SUM(E3:E8)</f>
        <v>50692908.299856007</v>
      </c>
      <c r="F9" s="1135"/>
      <c r="G9" s="1132">
        <f>SUM(G3:G8)</f>
        <v>6676965.7064595185</v>
      </c>
    </row>
    <row r="12" spans="1:7" x14ac:dyDescent="0.35">
      <c r="A12" s="1130">
        <v>7780493</v>
      </c>
      <c r="B12" s="1136"/>
    </row>
    <row r="13" spans="1:7" x14ac:dyDescent="0.35">
      <c r="A13" s="1130">
        <v>900000</v>
      </c>
      <c r="B13" s="1130"/>
    </row>
    <row r="14" spans="1:7" x14ac:dyDescent="0.35">
      <c r="A14" s="1130">
        <f>A12-A13</f>
        <v>6880493</v>
      </c>
      <c r="B14" s="1130">
        <f>A14/B9</f>
        <v>2045.3308561236622</v>
      </c>
    </row>
    <row r="15" spans="1:7" x14ac:dyDescent="0.35">
      <c r="A15" s="13"/>
      <c r="B1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B739-5886-4603-BA78-76019683286A}">
  <dimension ref="A1:P57"/>
  <sheetViews>
    <sheetView topLeftCell="A41" zoomScaleNormal="100" zoomScaleSheetLayoutView="100" workbookViewId="0">
      <selection activeCell="I3" sqref="I3"/>
    </sheetView>
  </sheetViews>
  <sheetFormatPr defaultColWidth="9" defaultRowHeight="14.5" x14ac:dyDescent="0.35"/>
  <cols>
    <col min="1" max="1" width="29.7265625" style="138" customWidth="1"/>
    <col min="2" max="2" width="8.54296875" style="147" customWidth="1"/>
    <col min="3" max="3" width="14.7265625" style="138" customWidth="1"/>
    <col min="4" max="4" width="13.81640625" style="138" customWidth="1"/>
    <col min="5" max="6" width="16.54296875" style="138" customWidth="1"/>
    <col min="7" max="7" width="13.26953125" style="1050" customWidth="1"/>
    <col min="8" max="8" width="11.54296875" style="138" bestFit="1" customWidth="1"/>
    <col min="9" max="9" width="16.453125" style="138" customWidth="1"/>
    <col min="10" max="11" width="10.54296875" style="138" bestFit="1" customWidth="1"/>
    <col min="12" max="12" width="15.54296875" style="138" customWidth="1"/>
    <col min="13" max="13" width="9.1796875" style="138" bestFit="1" customWidth="1"/>
    <col min="14" max="14" width="9" style="138"/>
    <col min="15" max="15" width="13.26953125" style="138" bestFit="1" customWidth="1"/>
    <col min="16" max="16" width="18.453125" style="138" customWidth="1"/>
    <col min="17" max="16384" width="9" style="138"/>
  </cols>
  <sheetData>
    <row r="1" spans="1:16" ht="29.25" customHeight="1" x14ac:dyDescent="0.35">
      <c r="A1" s="1262" t="s">
        <v>621</v>
      </c>
      <c r="B1" s="1262"/>
      <c r="C1" s="1262"/>
      <c r="D1" s="1262"/>
      <c r="E1" s="1262"/>
      <c r="F1" s="1262"/>
      <c r="G1" s="1262"/>
    </row>
    <row r="2" spans="1:16" ht="29" x14ac:dyDescent="0.35">
      <c r="A2" s="1263" t="s">
        <v>584</v>
      </c>
      <c r="B2" s="1264" t="s">
        <v>622</v>
      </c>
      <c r="C2" s="1266" t="s">
        <v>623</v>
      </c>
      <c r="D2" s="1266"/>
      <c r="E2" s="1267" t="s">
        <v>624</v>
      </c>
      <c r="F2" s="1269" t="s">
        <v>625</v>
      </c>
      <c r="G2" s="1261" t="s">
        <v>626</v>
      </c>
      <c r="H2" s="1159" t="s">
        <v>585</v>
      </c>
      <c r="I2" s="1107" t="s">
        <v>586</v>
      </c>
      <c r="J2" s="1159" t="s">
        <v>587</v>
      </c>
      <c r="K2" s="1159" t="s">
        <v>588</v>
      </c>
      <c r="L2" s="1159" t="s">
        <v>589</v>
      </c>
      <c r="M2" s="1159" t="s">
        <v>590</v>
      </c>
      <c r="N2" s="1110" t="s">
        <v>591</v>
      </c>
      <c r="O2" s="1110" t="s">
        <v>592</v>
      </c>
      <c r="P2" s="1104" t="s">
        <v>592</v>
      </c>
    </row>
    <row r="3" spans="1:16" ht="24" customHeight="1" x14ac:dyDescent="0.35">
      <c r="A3" s="1263"/>
      <c r="B3" s="1265"/>
      <c r="C3" s="139" t="s">
        <v>627</v>
      </c>
      <c r="D3" s="139" t="s">
        <v>628</v>
      </c>
      <c r="E3" s="1268"/>
      <c r="F3" s="1269"/>
      <c r="G3" s="1261"/>
      <c r="H3" s="1160">
        <f>(0.9*7200)-(50*12)</f>
        <v>5880</v>
      </c>
      <c r="I3" s="1108">
        <v>0.2157</v>
      </c>
      <c r="J3" s="1109">
        <v>1.4500000000000001E-2</v>
      </c>
      <c r="K3" s="1109">
        <v>1.26E-2</v>
      </c>
      <c r="L3" s="1109">
        <v>1.7000000000000001E-2</v>
      </c>
      <c r="M3" s="1109">
        <v>8.4</v>
      </c>
      <c r="N3" s="1111" t="s">
        <v>593</v>
      </c>
      <c r="O3" s="1112" t="s">
        <v>629</v>
      </c>
      <c r="P3" s="1105" t="s">
        <v>594</v>
      </c>
    </row>
    <row r="4" spans="1:16" ht="15.5" x14ac:dyDescent="0.35">
      <c r="A4" s="140" t="s">
        <v>630</v>
      </c>
      <c r="B4" s="141">
        <v>4</v>
      </c>
      <c r="C4" s="142">
        <v>62000</v>
      </c>
      <c r="D4" s="142">
        <f>C4+25000</f>
        <v>87000</v>
      </c>
      <c r="E4" s="143">
        <f>C4+5000</f>
        <v>67000</v>
      </c>
      <c r="F4" s="143">
        <f>B4*E4</f>
        <v>268000</v>
      </c>
      <c r="G4" s="1101"/>
      <c r="H4" s="138">
        <f t="shared" ref="H4:H38" si="0">+$H$3*B4</f>
        <v>23520</v>
      </c>
      <c r="I4" s="1161">
        <f>+F4*$I$3</f>
        <v>57807.6</v>
      </c>
      <c r="J4" s="149">
        <f t="shared" ref="J4:J10" si="1">+$J$3*F4</f>
        <v>3886</v>
      </c>
      <c r="K4" s="1161">
        <f t="shared" ref="K4:K10" si="2">+$K$3*F4</f>
        <v>3376.8</v>
      </c>
      <c r="L4" s="149">
        <f t="shared" ref="L4:L10" si="3">+$L$3*F4</f>
        <v>4556</v>
      </c>
      <c r="M4" s="138">
        <f t="shared" ref="M4:M38" si="4">+$M$3*B4</f>
        <v>33.6</v>
      </c>
      <c r="O4" s="1119">
        <f>SUM(I4:M4)</f>
        <v>69660</v>
      </c>
      <c r="P4" s="1118">
        <f t="shared" ref="P4:P38" si="5">+O4+F4</f>
        <v>337660</v>
      </c>
    </row>
    <row r="5" spans="1:16" ht="15.5" x14ac:dyDescent="0.35">
      <c r="A5" s="140" t="s">
        <v>631</v>
      </c>
      <c r="B5" s="141">
        <v>4</v>
      </c>
      <c r="C5" s="142">
        <v>62000</v>
      </c>
      <c r="D5" s="142">
        <f>C5+25000</f>
        <v>87000</v>
      </c>
      <c r="E5" s="143">
        <f>C5+5000</f>
        <v>67000</v>
      </c>
      <c r="F5" s="143">
        <f t="shared" ref="F5:F38" si="6">B5*E5</f>
        <v>268000</v>
      </c>
      <c r="G5" s="1101"/>
      <c r="H5" s="138">
        <f t="shared" si="0"/>
        <v>23520</v>
      </c>
      <c r="I5" s="1161">
        <f t="shared" ref="I5:I38" si="7">+F5*$I$3</f>
        <v>57807.6</v>
      </c>
      <c r="J5" s="149">
        <f t="shared" si="1"/>
        <v>3886</v>
      </c>
      <c r="K5" s="1161">
        <f t="shared" si="2"/>
        <v>3376.8</v>
      </c>
      <c r="L5" s="149">
        <f t="shared" si="3"/>
        <v>4556</v>
      </c>
      <c r="M5" s="138">
        <f t="shared" si="4"/>
        <v>33.6</v>
      </c>
      <c r="O5" s="1119">
        <f t="shared" ref="O5:O38" si="8">SUM(I5:M5)</f>
        <v>69660</v>
      </c>
      <c r="P5" s="1118">
        <f t="shared" si="5"/>
        <v>337660</v>
      </c>
    </row>
    <row r="6" spans="1:16" ht="15.5" x14ac:dyDescent="0.35">
      <c r="A6" s="140" t="s">
        <v>632</v>
      </c>
      <c r="B6" s="141">
        <v>1</v>
      </c>
      <c r="C6" s="142">
        <v>66000</v>
      </c>
      <c r="D6" s="142">
        <f t="shared" ref="D6:D38" si="9">C6+25000</f>
        <v>91000</v>
      </c>
      <c r="E6" s="143">
        <f t="shared" ref="E6:E33" si="10">C6+5000</f>
        <v>71000</v>
      </c>
      <c r="F6" s="143">
        <f t="shared" si="6"/>
        <v>71000</v>
      </c>
      <c r="G6" s="1101"/>
      <c r="H6" s="138">
        <f t="shared" si="0"/>
        <v>5880</v>
      </c>
      <c r="I6" s="1161">
        <f t="shared" si="7"/>
        <v>15314.7</v>
      </c>
      <c r="J6" s="149">
        <f t="shared" si="1"/>
        <v>1029.5</v>
      </c>
      <c r="K6" s="1161">
        <f t="shared" si="2"/>
        <v>894.6</v>
      </c>
      <c r="L6" s="149">
        <f t="shared" si="3"/>
        <v>1207</v>
      </c>
      <c r="M6" s="138">
        <f t="shared" si="4"/>
        <v>8.4</v>
      </c>
      <c r="O6" s="1119">
        <f t="shared" si="8"/>
        <v>18454.2</v>
      </c>
      <c r="P6" s="1118">
        <f t="shared" si="5"/>
        <v>89454.2</v>
      </c>
    </row>
    <row r="7" spans="1:16" ht="15.5" x14ac:dyDescent="0.35">
      <c r="A7" s="1162" t="s">
        <v>633</v>
      </c>
      <c r="B7" s="141">
        <v>1</v>
      </c>
      <c r="C7" s="142">
        <v>66000</v>
      </c>
      <c r="D7" s="142">
        <f t="shared" ref="D7" si="11">C7+25000</f>
        <v>91000</v>
      </c>
      <c r="E7" s="143">
        <f t="shared" ref="E7" si="12">C7+5000</f>
        <v>71000</v>
      </c>
      <c r="F7" s="143">
        <f t="shared" ref="F7" si="13">B7*E7</f>
        <v>71000</v>
      </c>
      <c r="G7" s="1101"/>
      <c r="H7" s="138">
        <f t="shared" si="0"/>
        <v>5880</v>
      </c>
      <c r="I7" s="1161">
        <f t="shared" si="7"/>
        <v>15314.7</v>
      </c>
      <c r="J7" s="149">
        <f t="shared" si="1"/>
        <v>1029.5</v>
      </c>
      <c r="K7" s="1161">
        <f t="shared" si="2"/>
        <v>894.6</v>
      </c>
      <c r="L7" s="149">
        <f t="shared" si="3"/>
        <v>1207</v>
      </c>
      <c r="M7" s="138">
        <f t="shared" si="4"/>
        <v>8.4</v>
      </c>
      <c r="O7" s="1119">
        <f t="shared" si="8"/>
        <v>18454.2</v>
      </c>
      <c r="P7" s="1118">
        <f t="shared" si="5"/>
        <v>89454.2</v>
      </c>
    </row>
    <row r="8" spans="1:16" ht="15.5" x14ac:dyDescent="0.35">
      <c r="A8" s="140" t="s">
        <v>634</v>
      </c>
      <c r="B8" s="141">
        <v>1</v>
      </c>
      <c r="C8" s="142">
        <v>62000</v>
      </c>
      <c r="D8" s="142">
        <f t="shared" si="9"/>
        <v>87000</v>
      </c>
      <c r="E8" s="143">
        <f t="shared" si="10"/>
        <v>67000</v>
      </c>
      <c r="F8" s="143">
        <f t="shared" si="6"/>
        <v>67000</v>
      </c>
      <c r="G8" s="1101"/>
      <c r="H8" s="138">
        <f t="shared" si="0"/>
        <v>5880</v>
      </c>
      <c r="I8" s="1161">
        <f t="shared" si="7"/>
        <v>14451.9</v>
      </c>
      <c r="J8" s="149">
        <f t="shared" si="1"/>
        <v>971.5</v>
      </c>
      <c r="K8" s="1161">
        <f t="shared" si="2"/>
        <v>844.2</v>
      </c>
      <c r="L8" s="149">
        <f t="shared" si="3"/>
        <v>1139</v>
      </c>
      <c r="M8" s="138">
        <f t="shared" si="4"/>
        <v>8.4</v>
      </c>
      <c r="O8" s="1119">
        <f t="shared" si="8"/>
        <v>17415</v>
      </c>
      <c r="P8" s="1118">
        <f t="shared" si="5"/>
        <v>84415</v>
      </c>
    </row>
    <row r="9" spans="1:16" ht="15.5" x14ac:dyDescent="0.35">
      <c r="A9" s="140" t="s">
        <v>635</v>
      </c>
      <c r="B9" s="141">
        <v>1</v>
      </c>
      <c r="C9" s="142">
        <v>62000</v>
      </c>
      <c r="D9" s="142">
        <f t="shared" si="9"/>
        <v>87000</v>
      </c>
      <c r="E9" s="143">
        <f t="shared" si="10"/>
        <v>67000</v>
      </c>
      <c r="F9" s="143">
        <f t="shared" si="6"/>
        <v>67000</v>
      </c>
      <c r="G9" s="1101"/>
      <c r="H9" s="138">
        <f t="shared" si="0"/>
        <v>5880</v>
      </c>
      <c r="I9" s="1161">
        <f t="shared" si="7"/>
        <v>14451.9</v>
      </c>
      <c r="J9" s="149">
        <f t="shared" si="1"/>
        <v>971.5</v>
      </c>
      <c r="K9" s="1161">
        <f t="shared" si="2"/>
        <v>844.2</v>
      </c>
      <c r="L9" s="149">
        <f t="shared" si="3"/>
        <v>1139</v>
      </c>
      <c r="M9" s="138">
        <f t="shared" si="4"/>
        <v>8.4</v>
      </c>
      <c r="O9" s="1119">
        <f t="shared" si="8"/>
        <v>17415</v>
      </c>
      <c r="P9" s="1118">
        <f t="shared" si="5"/>
        <v>84415</v>
      </c>
    </row>
    <row r="10" spans="1:16" ht="15.5" x14ac:dyDescent="0.35">
      <c r="A10" s="140" t="s">
        <v>636</v>
      </c>
      <c r="B10" s="141">
        <v>1</v>
      </c>
      <c r="C10" s="142">
        <v>69000</v>
      </c>
      <c r="D10" s="142">
        <f t="shared" si="9"/>
        <v>94000</v>
      </c>
      <c r="E10" s="143">
        <f t="shared" si="10"/>
        <v>74000</v>
      </c>
      <c r="F10" s="143">
        <f t="shared" si="6"/>
        <v>74000</v>
      </c>
      <c r="G10" s="1101"/>
      <c r="H10" s="138">
        <f t="shared" si="0"/>
        <v>5880</v>
      </c>
      <c r="I10" s="1161">
        <f t="shared" si="7"/>
        <v>15961.800000000001</v>
      </c>
      <c r="J10" s="149">
        <f t="shared" si="1"/>
        <v>1073</v>
      </c>
      <c r="K10" s="1161">
        <f t="shared" si="2"/>
        <v>932.4</v>
      </c>
      <c r="L10" s="149">
        <f t="shared" si="3"/>
        <v>1258</v>
      </c>
      <c r="M10" s="138">
        <f t="shared" si="4"/>
        <v>8.4</v>
      </c>
      <c r="O10" s="1119">
        <f t="shared" si="8"/>
        <v>19233.600000000006</v>
      </c>
      <c r="P10" s="1118">
        <f t="shared" si="5"/>
        <v>93233.600000000006</v>
      </c>
    </row>
    <row r="11" spans="1:16" ht="15.5" x14ac:dyDescent="0.35">
      <c r="A11" s="1163" t="s">
        <v>637</v>
      </c>
      <c r="B11" s="1113">
        <v>1</v>
      </c>
      <c r="C11" s="1114">
        <v>69000</v>
      </c>
      <c r="D11" s="1114">
        <f t="shared" ref="D11" si="14">C11+25000</f>
        <v>94000</v>
      </c>
      <c r="E11" s="1115">
        <f t="shared" ref="E11" si="15">C11+5000</f>
        <v>74000</v>
      </c>
      <c r="F11" s="1115">
        <v>0</v>
      </c>
      <c r="G11" s="1116">
        <v>74000</v>
      </c>
      <c r="H11" s="1106">
        <f t="shared" si="0"/>
        <v>5880</v>
      </c>
      <c r="I11" s="1164">
        <f>+I3*G11</f>
        <v>15961.800000000001</v>
      </c>
      <c r="J11" s="149">
        <f>+G11*J3</f>
        <v>1073</v>
      </c>
      <c r="K11" s="1161">
        <f>+G11*K3</f>
        <v>932.4</v>
      </c>
      <c r="L11" s="149">
        <f>+L3*G11</f>
        <v>1258</v>
      </c>
      <c r="M11" s="138">
        <f t="shared" si="4"/>
        <v>8.4</v>
      </c>
      <c r="N11" s="1106"/>
      <c r="O11" s="1119">
        <f t="shared" si="8"/>
        <v>19233.600000000006</v>
      </c>
      <c r="P11" s="1118">
        <f t="shared" si="5"/>
        <v>19233.600000000006</v>
      </c>
    </row>
    <row r="12" spans="1:16" ht="15.5" x14ac:dyDescent="0.35">
      <c r="A12" s="140" t="s">
        <v>638</v>
      </c>
      <c r="B12" s="141">
        <v>1</v>
      </c>
      <c r="C12" s="142">
        <v>62000</v>
      </c>
      <c r="D12" s="142">
        <f t="shared" si="9"/>
        <v>87000</v>
      </c>
      <c r="E12" s="143">
        <f t="shared" si="10"/>
        <v>67000</v>
      </c>
      <c r="F12" s="143">
        <f t="shared" si="6"/>
        <v>67000</v>
      </c>
      <c r="G12" s="1101"/>
      <c r="H12" s="138">
        <f t="shared" si="0"/>
        <v>5880</v>
      </c>
      <c r="I12" s="1161">
        <f t="shared" si="7"/>
        <v>14451.9</v>
      </c>
      <c r="J12" s="149">
        <f>+$J$3*F12</f>
        <v>971.5</v>
      </c>
      <c r="K12" s="1161">
        <f>+$K$3*F12</f>
        <v>844.2</v>
      </c>
      <c r="L12" s="149">
        <f>+$L$3*F12</f>
        <v>1139</v>
      </c>
      <c r="M12" s="138">
        <f t="shared" si="4"/>
        <v>8.4</v>
      </c>
      <c r="O12" s="1119">
        <f t="shared" si="8"/>
        <v>17415</v>
      </c>
      <c r="P12" s="1118">
        <f t="shared" si="5"/>
        <v>84415</v>
      </c>
    </row>
    <row r="13" spans="1:16" x14ac:dyDescent="0.35">
      <c r="A13" s="140" t="s">
        <v>639</v>
      </c>
      <c r="B13" s="141">
        <v>1</v>
      </c>
      <c r="C13" s="142">
        <v>62000</v>
      </c>
      <c r="D13" s="142">
        <f t="shared" si="9"/>
        <v>87000</v>
      </c>
      <c r="E13" s="143">
        <f t="shared" si="10"/>
        <v>67000</v>
      </c>
      <c r="F13" s="143">
        <f t="shared" si="6"/>
        <v>67000</v>
      </c>
      <c r="G13" s="1061"/>
      <c r="H13" s="138">
        <f t="shared" si="0"/>
        <v>5880</v>
      </c>
      <c r="I13" s="1161">
        <f t="shared" si="7"/>
        <v>14451.9</v>
      </c>
      <c r="J13" s="149">
        <f>+$J$3*F13</f>
        <v>971.5</v>
      </c>
      <c r="K13" s="1161">
        <f>+$K$3*F13</f>
        <v>844.2</v>
      </c>
      <c r="L13" s="149">
        <f>+$L$3*F13</f>
        <v>1139</v>
      </c>
      <c r="M13" s="138">
        <f t="shared" si="4"/>
        <v>8.4</v>
      </c>
      <c r="O13" s="1119">
        <f t="shared" si="8"/>
        <v>17415</v>
      </c>
      <c r="P13" s="1118">
        <f t="shared" si="5"/>
        <v>84415</v>
      </c>
    </row>
    <row r="14" spans="1:16" ht="15.5" x14ac:dyDescent="0.35">
      <c r="A14" s="176" t="s">
        <v>640</v>
      </c>
      <c r="B14" s="141">
        <v>1</v>
      </c>
      <c r="C14" s="142">
        <v>69000</v>
      </c>
      <c r="D14" s="142">
        <f t="shared" ref="D14" si="16">C14+25000</f>
        <v>94000</v>
      </c>
      <c r="E14" s="143">
        <f t="shared" ref="E14" si="17">C14+5000</f>
        <v>74000</v>
      </c>
      <c r="F14" s="143">
        <f t="shared" ref="F14" si="18">B14*E14</f>
        <v>74000</v>
      </c>
      <c r="G14" s="1101"/>
      <c r="H14" s="138">
        <f t="shared" si="0"/>
        <v>5880</v>
      </c>
      <c r="I14" s="1161">
        <f t="shared" si="7"/>
        <v>15961.800000000001</v>
      </c>
      <c r="J14" s="149">
        <f>+$J$3*F14</f>
        <v>1073</v>
      </c>
      <c r="K14" s="1161">
        <f>+$K$3*F14</f>
        <v>932.4</v>
      </c>
      <c r="L14" s="149">
        <f>+$L$3*F14</f>
        <v>1258</v>
      </c>
      <c r="M14" s="138">
        <f t="shared" si="4"/>
        <v>8.4</v>
      </c>
      <c r="O14" s="1119">
        <f t="shared" si="8"/>
        <v>19233.600000000006</v>
      </c>
      <c r="P14" s="1118">
        <f t="shared" si="5"/>
        <v>93233.600000000006</v>
      </c>
    </row>
    <row r="15" spans="1:16" ht="15.5" x14ac:dyDescent="0.35">
      <c r="A15" s="140" t="s">
        <v>641</v>
      </c>
      <c r="B15" s="141">
        <v>1</v>
      </c>
      <c r="C15" s="142">
        <v>66000</v>
      </c>
      <c r="D15" s="142">
        <f t="shared" si="9"/>
        <v>91000</v>
      </c>
      <c r="E15" s="143">
        <f t="shared" si="10"/>
        <v>71000</v>
      </c>
      <c r="F15" s="143">
        <f t="shared" si="6"/>
        <v>71000</v>
      </c>
      <c r="G15" s="1101"/>
      <c r="H15" s="138">
        <f t="shared" si="0"/>
        <v>5880</v>
      </c>
      <c r="I15" s="1161">
        <f t="shared" si="7"/>
        <v>15314.7</v>
      </c>
      <c r="J15" s="149">
        <f>+$J$3*F15</f>
        <v>1029.5</v>
      </c>
      <c r="K15" s="1161">
        <f>+$K$3*F15</f>
        <v>894.6</v>
      </c>
      <c r="L15" s="149">
        <f>+$L$3*F15</f>
        <v>1207</v>
      </c>
      <c r="M15" s="138">
        <f t="shared" si="4"/>
        <v>8.4</v>
      </c>
      <c r="O15" s="1119">
        <f t="shared" si="8"/>
        <v>18454.2</v>
      </c>
      <c r="P15" s="1118">
        <f t="shared" si="5"/>
        <v>89454.2</v>
      </c>
    </row>
    <row r="16" spans="1:16" ht="15.5" x14ac:dyDescent="0.35">
      <c r="A16" s="1163" t="s">
        <v>642</v>
      </c>
      <c r="B16" s="1113">
        <v>1</v>
      </c>
      <c r="C16" s="1114">
        <v>66000</v>
      </c>
      <c r="D16" s="1114">
        <f t="shared" ref="D16" si="19">C16+25000</f>
        <v>91000</v>
      </c>
      <c r="E16" s="1115">
        <f t="shared" ref="E16" si="20">C16+5000</f>
        <v>71000</v>
      </c>
      <c r="F16" s="1115">
        <v>0</v>
      </c>
      <c r="G16" s="1116">
        <v>71000</v>
      </c>
      <c r="H16" s="1106">
        <f t="shared" si="0"/>
        <v>5880</v>
      </c>
      <c r="I16" s="1164">
        <f>+G16*I3</f>
        <v>15314.7</v>
      </c>
      <c r="J16" s="149">
        <f>+G16*J3</f>
        <v>1029.5</v>
      </c>
      <c r="K16" s="1161">
        <f>+G16*K3</f>
        <v>894.6</v>
      </c>
      <c r="L16" s="149">
        <f>+L3*G16</f>
        <v>1207</v>
      </c>
      <c r="M16" s="138">
        <f t="shared" si="4"/>
        <v>8.4</v>
      </c>
      <c r="N16" s="1106"/>
      <c r="O16" s="1119">
        <f t="shared" si="8"/>
        <v>18454.2</v>
      </c>
      <c r="P16" s="1118">
        <f t="shared" si="5"/>
        <v>18454.2</v>
      </c>
    </row>
    <row r="17" spans="1:16" ht="15.5" x14ac:dyDescent="0.35">
      <c r="A17" s="140" t="s">
        <v>643</v>
      </c>
      <c r="B17" s="141">
        <v>1</v>
      </c>
      <c r="C17" s="142">
        <v>63000</v>
      </c>
      <c r="D17" s="142">
        <f t="shared" si="9"/>
        <v>88000</v>
      </c>
      <c r="E17" s="143">
        <f t="shared" si="10"/>
        <v>68000</v>
      </c>
      <c r="F17" s="143">
        <f t="shared" si="6"/>
        <v>68000</v>
      </c>
      <c r="G17" s="1101"/>
      <c r="H17" s="138">
        <f t="shared" si="0"/>
        <v>5880</v>
      </c>
      <c r="I17" s="1161">
        <f t="shared" si="7"/>
        <v>14667.6</v>
      </c>
      <c r="J17" s="149">
        <f t="shared" ref="J17:J38" si="21">+$J$3*F17</f>
        <v>986</v>
      </c>
      <c r="K17" s="1161">
        <f t="shared" ref="K17:K38" si="22">+$K$3*F17</f>
        <v>856.8</v>
      </c>
      <c r="L17" s="149">
        <f t="shared" ref="L17:L38" si="23">+$L$3*F17</f>
        <v>1156</v>
      </c>
      <c r="M17" s="138">
        <f t="shared" si="4"/>
        <v>8.4</v>
      </c>
      <c r="O17" s="1119">
        <f t="shared" si="8"/>
        <v>17674.800000000003</v>
      </c>
      <c r="P17" s="1118">
        <f t="shared" si="5"/>
        <v>85674.8</v>
      </c>
    </row>
    <row r="18" spans="1:16" ht="15.5" x14ac:dyDescent="0.35">
      <c r="A18" s="140" t="s">
        <v>644</v>
      </c>
      <c r="B18" s="141">
        <v>1</v>
      </c>
      <c r="C18" s="142">
        <v>63000</v>
      </c>
      <c r="D18" s="142">
        <f t="shared" si="9"/>
        <v>88000</v>
      </c>
      <c r="E18" s="143">
        <f t="shared" si="10"/>
        <v>68000</v>
      </c>
      <c r="F18" s="143">
        <f t="shared" si="6"/>
        <v>68000</v>
      </c>
      <c r="G18" s="1101"/>
      <c r="H18" s="138">
        <f t="shared" si="0"/>
        <v>5880</v>
      </c>
      <c r="I18" s="1161">
        <f t="shared" si="7"/>
        <v>14667.6</v>
      </c>
      <c r="J18" s="149">
        <f t="shared" si="21"/>
        <v>986</v>
      </c>
      <c r="K18" s="1161">
        <f t="shared" si="22"/>
        <v>856.8</v>
      </c>
      <c r="L18" s="149">
        <f t="shared" si="23"/>
        <v>1156</v>
      </c>
      <c r="M18" s="138">
        <f t="shared" si="4"/>
        <v>8.4</v>
      </c>
      <c r="O18" s="1119">
        <f t="shared" si="8"/>
        <v>17674.800000000003</v>
      </c>
      <c r="P18" s="1118">
        <f t="shared" si="5"/>
        <v>85674.8</v>
      </c>
    </row>
    <row r="19" spans="1:16" x14ac:dyDescent="0.35">
      <c r="A19" s="140" t="s">
        <v>645</v>
      </c>
      <c r="B19" s="141">
        <v>1</v>
      </c>
      <c r="C19" s="142">
        <v>66000</v>
      </c>
      <c r="D19" s="142">
        <f t="shared" si="9"/>
        <v>91000</v>
      </c>
      <c r="E19" s="143">
        <f t="shared" si="10"/>
        <v>71000</v>
      </c>
      <c r="F19" s="143">
        <f t="shared" si="6"/>
        <v>71000</v>
      </c>
      <c r="G19" s="1061"/>
      <c r="H19" s="138">
        <f t="shared" si="0"/>
        <v>5880</v>
      </c>
      <c r="I19" s="1161">
        <f t="shared" si="7"/>
        <v>15314.7</v>
      </c>
      <c r="J19" s="149">
        <f t="shared" si="21"/>
        <v>1029.5</v>
      </c>
      <c r="K19" s="1161">
        <f t="shared" si="22"/>
        <v>894.6</v>
      </c>
      <c r="L19" s="149">
        <f t="shared" si="23"/>
        <v>1207</v>
      </c>
      <c r="M19" s="138">
        <f t="shared" si="4"/>
        <v>8.4</v>
      </c>
      <c r="O19" s="1119">
        <f t="shared" si="8"/>
        <v>18454.2</v>
      </c>
      <c r="P19" s="1118">
        <f t="shared" si="5"/>
        <v>89454.2</v>
      </c>
    </row>
    <row r="20" spans="1:16" ht="15.5" x14ac:dyDescent="0.35">
      <c r="A20" s="140" t="s">
        <v>646</v>
      </c>
      <c r="B20" s="141">
        <v>1</v>
      </c>
      <c r="C20" s="142">
        <v>64000</v>
      </c>
      <c r="D20" s="142">
        <f t="shared" si="9"/>
        <v>89000</v>
      </c>
      <c r="E20" s="143">
        <f t="shared" si="10"/>
        <v>69000</v>
      </c>
      <c r="F20" s="143">
        <f t="shared" si="6"/>
        <v>69000</v>
      </c>
      <c r="G20" s="1101"/>
      <c r="H20" s="138">
        <f t="shared" si="0"/>
        <v>5880</v>
      </c>
      <c r="I20" s="1161">
        <f t="shared" si="7"/>
        <v>14883.300000000001</v>
      </c>
      <c r="J20" s="149">
        <f t="shared" si="21"/>
        <v>1000.5</v>
      </c>
      <c r="K20" s="1161">
        <f t="shared" si="22"/>
        <v>869.4</v>
      </c>
      <c r="L20" s="149">
        <f t="shared" si="23"/>
        <v>1173</v>
      </c>
      <c r="M20" s="138">
        <f t="shared" si="4"/>
        <v>8.4</v>
      </c>
      <c r="O20" s="1119">
        <f t="shared" si="8"/>
        <v>17934.600000000002</v>
      </c>
      <c r="P20" s="1118">
        <f t="shared" si="5"/>
        <v>86934.6</v>
      </c>
    </row>
    <row r="21" spans="1:16" ht="15.5" x14ac:dyDescent="0.35">
      <c r="A21" s="1162" t="s">
        <v>647</v>
      </c>
      <c r="B21" s="141">
        <v>1</v>
      </c>
      <c r="C21" s="142">
        <v>66000</v>
      </c>
      <c r="D21" s="142">
        <f>C21+25000</f>
        <v>91000</v>
      </c>
      <c r="E21" s="143">
        <f>C21+5000</f>
        <v>71000</v>
      </c>
      <c r="F21" s="143">
        <f>B21*E21</f>
        <v>71000</v>
      </c>
      <c r="G21" s="1101"/>
      <c r="H21" s="138">
        <f t="shared" si="0"/>
        <v>5880</v>
      </c>
      <c r="I21" s="1161">
        <f t="shared" si="7"/>
        <v>15314.7</v>
      </c>
      <c r="J21" s="149">
        <f t="shared" si="21"/>
        <v>1029.5</v>
      </c>
      <c r="K21" s="1161">
        <f t="shared" si="22"/>
        <v>894.6</v>
      </c>
      <c r="L21" s="149">
        <f t="shared" si="23"/>
        <v>1207</v>
      </c>
      <c r="M21" s="138">
        <f t="shared" si="4"/>
        <v>8.4</v>
      </c>
      <c r="O21" s="1119">
        <f t="shared" si="8"/>
        <v>18454.2</v>
      </c>
      <c r="P21" s="1118">
        <f t="shared" si="5"/>
        <v>89454.2</v>
      </c>
    </row>
    <row r="22" spans="1:16" ht="15.5" x14ac:dyDescent="0.35">
      <c r="A22" s="1165" t="s">
        <v>648</v>
      </c>
      <c r="B22" s="141">
        <v>1</v>
      </c>
      <c r="C22" s="142">
        <v>65000</v>
      </c>
      <c r="D22" s="142"/>
      <c r="E22" s="143"/>
      <c r="F22" s="143">
        <v>65000</v>
      </c>
      <c r="G22" s="1101"/>
      <c r="H22" s="138">
        <f t="shared" si="0"/>
        <v>5880</v>
      </c>
      <c r="I22" s="1161">
        <f t="shared" si="7"/>
        <v>14020.5</v>
      </c>
      <c r="J22" s="149">
        <f t="shared" si="21"/>
        <v>942.5</v>
      </c>
      <c r="K22" s="1161">
        <f t="shared" si="22"/>
        <v>819</v>
      </c>
      <c r="L22" s="149">
        <f t="shared" si="23"/>
        <v>1105</v>
      </c>
      <c r="M22" s="138">
        <f t="shared" si="4"/>
        <v>8.4</v>
      </c>
      <c r="O22" s="1119">
        <f t="shared" si="8"/>
        <v>16895.400000000001</v>
      </c>
      <c r="P22" s="1118">
        <f t="shared" si="5"/>
        <v>81895.399999999994</v>
      </c>
    </row>
    <row r="23" spans="1:16" x14ac:dyDescent="0.35">
      <c r="A23" s="1162" t="s">
        <v>649</v>
      </c>
      <c r="B23" s="141">
        <v>1</v>
      </c>
      <c r="C23" s="142">
        <v>71000</v>
      </c>
      <c r="D23" s="142">
        <f>C23+25000</f>
        <v>96000</v>
      </c>
      <c r="E23" s="143">
        <f>C23+5000</f>
        <v>76000</v>
      </c>
      <c r="F23" s="143">
        <f>B23*E23</f>
        <v>76000</v>
      </c>
      <c r="G23" s="1061"/>
      <c r="H23" s="138">
        <f t="shared" si="0"/>
        <v>5880</v>
      </c>
      <c r="I23" s="1161">
        <f t="shared" si="7"/>
        <v>16393.2</v>
      </c>
      <c r="J23" s="149">
        <f t="shared" si="21"/>
        <v>1102</v>
      </c>
      <c r="K23" s="1161">
        <f t="shared" si="22"/>
        <v>957.6</v>
      </c>
      <c r="L23" s="149">
        <f t="shared" si="23"/>
        <v>1292</v>
      </c>
      <c r="M23" s="138">
        <f t="shared" si="4"/>
        <v>8.4</v>
      </c>
      <c r="O23" s="1119">
        <f t="shared" si="8"/>
        <v>19753.2</v>
      </c>
      <c r="P23" s="1118">
        <f t="shared" si="5"/>
        <v>95753.2</v>
      </c>
    </row>
    <row r="24" spans="1:16" ht="15.5" x14ac:dyDescent="0.35">
      <c r="A24" s="140" t="s">
        <v>650</v>
      </c>
      <c r="B24" s="141">
        <v>1</v>
      </c>
      <c r="C24" s="142">
        <v>71000</v>
      </c>
      <c r="D24" s="142">
        <f t="shared" si="9"/>
        <v>96000</v>
      </c>
      <c r="E24" s="143">
        <f t="shared" si="10"/>
        <v>76000</v>
      </c>
      <c r="F24" s="143">
        <f t="shared" si="6"/>
        <v>76000</v>
      </c>
      <c r="G24" s="1101"/>
      <c r="H24" s="138">
        <f t="shared" si="0"/>
        <v>5880</v>
      </c>
      <c r="I24" s="1161">
        <f t="shared" si="7"/>
        <v>16393.2</v>
      </c>
      <c r="J24" s="149">
        <f t="shared" si="21"/>
        <v>1102</v>
      </c>
      <c r="K24" s="1161">
        <f t="shared" si="22"/>
        <v>957.6</v>
      </c>
      <c r="L24" s="149">
        <f t="shared" si="23"/>
        <v>1292</v>
      </c>
      <c r="M24" s="138">
        <f t="shared" si="4"/>
        <v>8.4</v>
      </c>
      <c r="O24" s="1119">
        <f t="shared" si="8"/>
        <v>19753.2</v>
      </c>
      <c r="P24" s="1118">
        <f t="shared" si="5"/>
        <v>95753.2</v>
      </c>
    </row>
    <row r="25" spans="1:16" ht="15.5" x14ac:dyDescent="0.35">
      <c r="A25" s="140" t="s">
        <v>651</v>
      </c>
      <c r="B25" s="141">
        <v>1</v>
      </c>
      <c r="C25" s="142">
        <v>66000</v>
      </c>
      <c r="D25" s="142">
        <f t="shared" si="9"/>
        <v>91000</v>
      </c>
      <c r="E25" s="143">
        <f t="shared" si="10"/>
        <v>71000</v>
      </c>
      <c r="F25" s="143">
        <f t="shared" si="6"/>
        <v>71000</v>
      </c>
      <c r="G25" s="1101"/>
      <c r="H25" s="138">
        <f t="shared" si="0"/>
        <v>5880</v>
      </c>
      <c r="I25" s="1161">
        <f t="shared" si="7"/>
        <v>15314.7</v>
      </c>
      <c r="J25" s="149">
        <f t="shared" si="21"/>
        <v>1029.5</v>
      </c>
      <c r="K25" s="1161">
        <f t="shared" si="22"/>
        <v>894.6</v>
      </c>
      <c r="L25" s="149">
        <f t="shared" si="23"/>
        <v>1207</v>
      </c>
      <c r="M25" s="138">
        <f t="shared" si="4"/>
        <v>8.4</v>
      </c>
      <c r="O25" s="1119">
        <f t="shared" si="8"/>
        <v>18454.2</v>
      </c>
      <c r="P25" s="1118">
        <f t="shared" si="5"/>
        <v>89454.2</v>
      </c>
    </row>
    <row r="26" spans="1:16" ht="15.5" x14ac:dyDescent="0.35">
      <c r="A26" s="144" t="s">
        <v>652</v>
      </c>
      <c r="B26" s="145">
        <v>1</v>
      </c>
      <c r="C26" s="142">
        <v>69000</v>
      </c>
      <c r="D26" s="142">
        <f t="shared" si="9"/>
        <v>94000</v>
      </c>
      <c r="E26" s="143">
        <f t="shared" si="10"/>
        <v>74000</v>
      </c>
      <c r="F26" s="143">
        <f t="shared" si="6"/>
        <v>74000</v>
      </c>
      <c r="G26" s="1101"/>
      <c r="H26" s="138">
        <f t="shared" si="0"/>
        <v>5880</v>
      </c>
      <c r="I26" s="1161">
        <f t="shared" si="7"/>
        <v>15961.800000000001</v>
      </c>
      <c r="J26" s="149">
        <f t="shared" si="21"/>
        <v>1073</v>
      </c>
      <c r="K26" s="1161">
        <f t="shared" si="22"/>
        <v>932.4</v>
      </c>
      <c r="L26" s="149">
        <f t="shared" si="23"/>
        <v>1258</v>
      </c>
      <c r="M26" s="138">
        <f t="shared" si="4"/>
        <v>8.4</v>
      </c>
      <c r="O26" s="1119">
        <f t="shared" si="8"/>
        <v>19233.600000000006</v>
      </c>
      <c r="P26" s="1118">
        <f t="shared" si="5"/>
        <v>93233.600000000006</v>
      </c>
    </row>
    <row r="27" spans="1:16" ht="15.5" x14ac:dyDescent="0.35">
      <c r="A27" s="144" t="s">
        <v>653</v>
      </c>
      <c r="B27" s="145">
        <v>1</v>
      </c>
      <c r="C27" s="142">
        <v>66000</v>
      </c>
      <c r="D27" s="142">
        <f t="shared" si="9"/>
        <v>91000</v>
      </c>
      <c r="E27" s="143">
        <f t="shared" si="10"/>
        <v>71000</v>
      </c>
      <c r="F27" s="143">
        <f t="shared" si="6"/>
        <v>71000</v>
      </c>
      <c r="G27" s="1101"/>
      <c r="H27" s="138">
        <f t="shared" si="0"/>
        <v>5880</v>
      </c>
      <c r="I27" s="1161">
        <f t="shared" si="7"/>
        <v>15314.7</v>
      </c>
      <c r="J27" s="149">
        <f t="shared" si="21"/>
        <v>1029.5</v>
      </c>
      <c r="K27" s="1161">
        <f t="shared" si="22"/>
        <v>894.6</v>
      </c>
      <c r="L27" s="149">
        <f t="shared" si="23"/>
        <v>1207</v>
      </c>
      <c r="M27" s="138">
        <f t="shared" si="4"/>
        <v>8.4</v>
      </c>
      <c r="O27" s="1119">
        <f t="shared" si="8"/>
        <v>18454.2</v>
      </c>
      <c r="P27" s="1118">
        <f t="shared" si="5"/>
        <v>89454.2</v>
      </c>
    </row>
    <row r="28" spans="1:16" x14ac:dyDescent="0.35">
      <c r="A28" s="1162" t="s">
        <v>654</v>
      </c>
      <c r="B28" s="141">
        <v>1</v>
      </c>
      <c r="C28" s="142">
        <v>66000</v>
      </c>
      <c r="D28" s="142">
        <f>C28+25000</f>
        <v>91000</v>
      </c>
      <c r="E28" s="143">
        <f>C28+5000</f>
        <v>71000</v>
      </c>
      <c r="F28" s="143">
        <f>B28*E28</f>
        <v>71000</v>
      </c>
      <c r="G28" s="1061"/>
      <c r="H28" s="138">
        <f t="shared" si="0"/>
        <v>5880</v>
      </c>
      <c r="I28" s="1161">
        <f t="shared" si="7"/>
        <v>15314.7</v>
      </c>
      <c r="J28" s="149">
        <f t="shared" si="21"/>
        <v>1029.5</v>
      </c>
      <c r="K28" s="1161">
        <f t="shared" si="22"/>
        <v>894.6</v>
      </c>
      <c r="L28" s="149">
        <f t="shared" si="23"/>
        <v>1207</v>
      </c>
      <c r="M28" s="138">
        <f t="shared" si="4"/>
        <v>8.4</v>
      </c>
      <c r="O28" s="1119">
        <f t="shared" si="8"/>
        <v>18454.2</v>
      </c>
      <c r="P28" s="1118">
        <f t="shared" si="5"/>
        <v>89454.2</v>
      </c>
    </row>
    <row r="29" spans="1:16" x14ac:dyDescent="0.35">
      <c r="A29" s="1165" t="s">
        <v>655</v>
      </c>
      <c r="B29" s="141">
        <v>1</v>
      </c>
      <c r="C29" s="142">
        <v>65000</v>
      </c>
      <c r="D29" s="142"/>
      <c r="E29" s="143"/>
      <c r="F29" s="143">
        <v>65000</v>
      </c>
      <c r="G29" s="1061"/>
      <c r="H29" s="138">
        <f t="shared" si="0"/>
        <v>5880</v>
      </c>
      <c r="I29" s="1161">
        <f t="shared" si="7"/>
        <v>14020.5</v>
      </c>
      <c r="J29" s="149">
        <f t="shared" si="21"/>
        <v>942.5</v>
      </c>
      <c r="K29" s="1161">
        <f t="shared" si="22"/>
        <v>819</v>
      </c>
      <c r="L29" s="149">
        <f t="shared" si="23"/>
        <v>1105</v>
      </c>
      <c r="M29" s="138">
        <f t="shared" si="4"/>
        <v>8.4</v>
      </c>
      <c r="O29" s="1119">
        <f t="shared" si="8"/>
        <v>16895.400000000001</v>
      </c>
      <c r="P29" s="1118">
        <f t="shared" si="5"/>
        <v>81895.399999999994</v>
      </c>
    </row>
    <row r="30" spans="1:16" ht="15.5" x14ac:dyDescent="0.35">
      <c r="A30" s="1162" t="s">
        <v>656</v>
      </c>
      <c r="B30" s="141">
        <v>1</v>
      </c>
      <c r="C30" s="142">
        <v>69000</v>
      </c>
      <c r="D30" s="142">
        <f>C30+25000</f>
        <v>94000</v>
      </c>
      <c r="E30" s="143">
        <f>C30+5000</f>
        <v>74000</v>
      </c>
      <c r="F30" s="143">
        <f>B30*E30</f>
        <v>74000</v>
      </c>
      <c r="G30" s="1101"/>
      <c r="H30" s="138">
        <f t="shared" si="0"/>
        <v>5880</v>
      </c>
      <c r="I30" s="1161">
        <f t="shared" si="7"/>
        <v>15961.800000000001</v>
      </c>
      <c r="J30" s="149">
        <f t="shared" si="21"/>
        <v>1073</v>
      </c>
      <c r="K30" s="1161">
        <f t="shared" si="22"/>
        <v>932.4</v>
      </c>
      <c r="L30" s="149">
        <f t="shared" si="23"/>
        <v>1258</v>
      </c>
      <c r="M30" s="138">
        <f t="shared" si="4"/>
        <v>8.4</v>
      </c>
      <c r="O30" s="1119">
        <f t="shared" si="8"/>
        <v>19233.600000000006</v>
      </c>
      <c r="P30" s="1118">
        <f t="shared" si="5"/>
        <v>93233.600000000006</v>
      </c>
    </row>
    <row r="31" spans="1:16" ht="15.5" x14ac:dyDescent="0.35">
      <c r="A31" s="146" t="s">
        <v>657</v>
      </c>
      <c r="B31" s="141">
        <v>1</v>
      </c>
      <c r="C31" s="142">
        <v>64000</v>
      </c>
      <c r="D31" s="142">
        <f t="shared" si="9"/>
        <v>89000</v>
      </c>
      <c r="E31" s="143">
        <f t="shared" si="10"/>
        <v>69000</v>
      </c>
      <c r="F31" s="143">
        <f t="shared" si="6"/>
        <v>69000</v>
      </c>
      <c r="G31" s="1101"/>
      <c r="H31" s="138">
        <f t="shared" si="0"/>
        <v>5880</v>
      </c>
      <c r="I31" s="1161">
        <f t="shared" si="7"/>
        <v>14883.300000000001</v>
      </c>
      <c r="J31" s="149">
        <f t="shared" si="21"/>
        <v>1000.5</v>
      </c>
      <c r="K31" s="1161">
        <f t="shared" si="22"/>
        <v>869.4</v>
      </c>
      <c r="L31" s="149">
        <f t="shared" si="23"/>
        <v>1173</v>
      </c>
      <c r="M31" s="138">
        <f t="shared" si="4"/>
        <v>8.4</v>
      </c>
      <c r="O31" s="1119">
        <f t="shared" si="8"/>
        <v>17934.600000000002</v>
      </c>
      <c r="P31" s="1118">
        <f t="shared" si="5"/>
        <v>86934.6</v>
      </c>
    </row>
    <row r="32" spans="1:16" ht="15.5" x14ac:dyDescent="0.35">
      <c r="A32" s="140" t="s">
        <v>658</v>
      </c>
      <c r="B32" s="141">
        <v>1</v>
      </c>
      <c r="C32" s="142">
        <v>69000</v>
      </c>
      <c r="D32" s="142">
        <f t="shared" si="9"/>
        <v>94000</v>
      </c>
      <c r="E32" s="143">
        <f t="shared" si="10"/>
        <v>74000</v>
      </c>
      <c r="F32" s="143">
        <f t="shared" si="6"/>
        <v>74000</v>
      </c>
      <c r="G32" s="1101"/>
      <c r="H32" s="138">
        <f t="shared" si="0"/>
        <v>5880</v>
      </c>
      <c r="I32" s="1161">
        <f t="shared" si="7"/>
        <v>15961.800000000001</v>
      </c>
      <c r="J32" s="149">
        <f t="shared" si="21"/>
        <v>1073</v>
      </c>
      <c r="K32" s="1161">
        <f t="shared" si="22"/>
        <v>932.4</v>
      </c>
      <c r="L32" s="149">
        <f t="shared" si="23"/>
        <v>1258</v>
      </c>
      <c r="M32" s="138">
        <f t="shared" si="4"/>
        <v>8.4</v>
      </c>
      <c r="O32" s="1119">
        <f t="shared" si="8"/>
        <v>19233.600000000006</v>
      </c>
      <c r="P32" s="1118">
        <f t="shared" si="5"/>
        <v>93233.600000000006</v>
      </c>
    </row>
    <row r="33" spans="1:16" ht="15.5" x14ac:dyDescent="0.35">
      <c r="A33" s="140" t="s">
        <v>659</v>
      </c>
      <c r="B33" s="141">
        <v>1</v>
      </c>
      <c r="C33" s="142">
        <v>66000</v>
      </c>
      <c r="D33" s="142">
        <f t="shared" si="9"/>
        <v>91000</v>
      </c>
      <c r="E33" s="143">
        <f t="shared" si="10"/>
        <v>71000</v>
      </c>
      <c r="F33" s="143">
        <f t="shared" si="6"/>
        <v>71000</v>
      </c>
      <c r="G33" s="1101"/>
      <c r="H33" s="138">
        <f t="shared" si="0"/>
        <v>5880</v>
      </c>
      <c r="I33" s="1161">
        <f t="shared" si="7"/>
        <v>15314.7</v>
      </c>
      <c r="J33" s="149">
        <f t="shared" si="21"/>
        <v>1029.5</v>
      </c>
      <c r="K33" s="1161">
        <f t="shared" si="22"/>
        <v>894.6</v>
      </c>
      <c r="L33" s="149">
        <f t="shared" si="23"/>
        <v>1207</v>
      </c>
      <c r="M33" s="138">
        <f t="shared" si="4"/>
        <v>8.4</v>
      </c>
      <c r="O33" s="1119">
        <f t="shared" si="8"/>
        <v>18454.2</v>
      </c>
      <c r="P33" s="1118">
        <f t="shared" si="5"/>
        <v>89454.2</v>
      </c>
    </row>
    <row r="34" spans="1:16" ht="15.5" x14ac:dyDescent="0.35">
      <c r="A34" s="140" t="s">
        <v>660</v>
      </c>
      <c r="B34" s="141">
        <v>2</v>
      </c>
      <c r="C34" s="142">
        <v>54000</v>
      </c>
      <c r="D34" s="142">
        <f t="shared" si="9"/>
        <v>79000</v>
      </c>
      <c r="E34" s="143">
        <f>C34+3000</f>
        <v>57000</v>
      </c>
      <c r="F34" s="143">
        <f t="shared" si="6"/>
        <v>114000</v>
      </c>
      <c r="G34" s="1101"/>
      <c r="H34" s="138">
        <f t="shared" si="0"/>
        <v>11760</v>
      </c>
      <c r="I34" s="1161">
        <f t="shared" si="7"/>
        <v>24589.8</v>
      </c>
      <c r="J34" s="149">
        <f t="shared" si="21"/>
        <v>1653</v>
      </c>
      <c r="K34" s="1161">
        <f t="shared" si="22"/>
        <v>1436.4</v>
      </c>
      <c r="L34" s="149">
        <f t="shared" si="23"/>
        <v>1938.0000000000002</v>
      </c>
      <c r="M34" s="138">
        <f t="shared" si="4"/>
        <v>16.8</v>
      </c>
      <c r="O34" s="1119">
        <f t="shared" si="8"/>
        <v>29634</v>
      </c>
      <c r="P34" s="1118">
        <f t="shared" si="5"/>
        <v>143634</v>
      </c>
    </row>
    <row r="35" spans="1:16" ht="15.5" x14ac:dyDescent="0.35">
      <c r="A35" s="140" t="s">
        <v>661</v>
      </c>
      <c r="B35" s="141">
        <v>1</v>
      </c>
      <c r="C35" s="142">
        <v>68000</v>
      </c>
      <c r="D35" s="142">
        <f t="shared" si="9"/>
        <v>93000</v>
      </c>
      <c r="E35" s="143">
        <f>C35+5000</f>
        <v>73000</v>
      </c>
      <c r="F35" s="143">
        <f t="shared" si="6"/>
        <v>73000</v>
      </c>
      <c r="G35" s="1101"/>
      <c r="H35" s="138">
        <f t="shared" si="0"/>
        <v>5880</v>
      </c>
      <c r="I35" s="1161">
        <f t="shared" si="7"/>
        <v>15746.1</v>
      </c>
      <c r="J35" s="149">
        <f t="shared" si="21"/>
        <v>1058.5</v>
      </c>
      <c r="K35" s="1161">
        <f t="shared" si="22"/>
        <v>919.8</v>
      </c>
      <c r="L35" s="149">
        <f t="shared" si="23"/>
        <v>1241</v>
      </c>
      <c r="M35" s="138">
        <f t="shared" si="4"/>
        <v>8.4</v>
      </c>
      <c r="O35" s="1119">
        <f t="shared" si="8"/>
        <v>18973.8</v>
      </c>
      <c r="P35" s="1118">
        <f t="shared" si="5"/>
        <v>91973.8</v>
      </c>
    </row>
    <row r="36" spans="1:16" ht="15.5" x14ac:dyDescent="0.35">
      <c r="A36" s="140" t="s">
        <v>662</v>
      </c>
      <c r="B36" s="141">
        <v>3</v>
      </c>
      <c r="C36" s="142">
        <v>68000</v>
      </c>
      <c r="D36" s="142">
        <f t="shared" si="9"/>
        <v>93000</v>
      </c>
      <c r="E36" s="143">
        <f>C36+5000</f>
        <v>73000</v>
      </c>
      <c r="F36" s="143">
        <f t="shared" si="6"/>
        <v>219000</v>
      </c>
      <c r="G36" s="1101"/>
      <c r="H36" s="138">
        <f t="shared" si="0"/>
        <v>17640</v>
      </c>
      <c r="I36" s="1161">
        <f t="shared" si="7"/>
        <v>47238.3</v>
      </c>
      <c r="J36" s="149">
        <f t="shared" si="21"/>
        <v>3175.5</v>
      </c>
      <c r="K36" s="1161">
        <f t="shared" si="22"/>
        <v>2759.4</v>
      </c>
      <c r="L36" s="149">
        <f t="shared" si="23"/>
        <v>3723.0000000000005</v>
      </c>
      <c r="M36" s="138">
        <f t="shared" si="4"/>
        <v>25.200000000000003</v>
      </c>
      <c r="O36" s="1119">
        <f t="shared" si="8"/>
        <v>56921.4</v>
      </c>
      <c r="P36" s="1118">
        <f t="shared" si="5"/>
        <v>275921.40000000002</v>
      </c>
    </row>
    <row r="37" spans="1:16" ht="15.5" x14ac:dyDescent="0.35">
      <c r="A37" s="140" t="s">
        <v>663</v>
      </c>
      <c r="B37" s="696">
        <v>12</v>
      </c>
      <c r="C37" s="142">
        <v>52000</v>
      </c>
      <c r="D37" s="142">
        <f t="shared" si="9"/>
        <v>77000</v>
      </c>
      <c r="E37" s="143">
        <v>54000</v>
      </c>
      <c r="F37" s="143">
        <f t="shared" si="6"/>
        <v>648000</v>
      </c>
      <c r="G37" s="1101"/>
      <c r="H37" s="138">
        <f t="shared" si="0"/>
        <v>70560</v>
      </c>
      <c r="I37" s="1161">
        <f t="shared" si="7"/>
        <v>139773.6</v>
      </c>
      <c r="J37" s="149">
        <f t="shared" si="21"/>
        <v>9396</v>
      </c>
      <c r="K37" s="1161">
        <f t="shared" si="22"/>
        <v>8164.8</v>
      </c>
      <c r="L37" s="149">
        <f t="shared" si="23"/>
        <v>11016</v>
      </c>
      <c r="M37" s="138">
        <f t="shared" si="4"/>
        <v>100.80000000000001</v>
      </c>
      <c r="O37" s="1119">
        <f t="shared" si="8"/>
        <v>168451.19999999998</v>
      </c>
      <c r="P37" s="1118">
        <f t="shared" si="5"/>
        <v>816451.2</v>
      </c>
    </row>
    <row r="38" spans="1:16" ht="15.5" x14ac:dyDescent="0.35">
      <c r="A38" s="140" t="s">
        <v>664</v>
      </c>
      <c r="B38" s="731">
        <v>5</v>
      </c>
      <c r="C38" s="142">
        <v>62000</v>
      </c>
      <c r="D38" s="142">
        <f t="shared" si="9"/>
        <v>87000</v>
      </c>
      <c r="E38" s="143">
        <v>64000</v>
      </c>
      <c r="F38" s="143">
        <f t="shared" si="6"/>
        <v>320000</v>
      </c>
      <c r="G38" s="1101"/>
      <c r="H38" s="138">
        <f t="shared" si="0"/>
        <v>29400</v>
      </c>
      <c r="I38" s="1161">
        <f t="shared" si="7"/>
        <v>69024</v>
      </c>
      <c r="J38" s="149">
        <f t="shared" si="21"/>
        <v>4640</v>
      </c>
      <c r="K38" s="1161">
        <f t="shared" si="22"/>
        <v>4032</v>
      </c>
      <c r="L38" s="149">
        <f t="shared" si="23"/>
        <v>5440</v>
      </c>
      <c r="M38" s="138">
        <f t="shared" si="4"/>
        <v>42</v>
      </c>
      <c r="O38" s="1119">
        <f t="shared" si="8"/>
        <v>83178</v>
      </c>
      <c r="P38" s="1118">
        <f t="shared" si="5"/>
        <v>403178</v>
      </c>
    </row>
    <row r="39" spans="1:16" ht="15.5" x14ac:dyDescent="0.35">
      <c r="G39" s="1101"/>
      <c r="H39" s="1166">
        <f>SUM(H3:H38)</f>
        <v>352800</v>
      </c>
      <c r="I39" s="1166">
        <f>SUM(I3:I38)</f>
        <v>838641.81569999992</v>
      </c>
      <c r="J39" s="1166">
        <f t="shared" ref="J39:M39" si="24">SUM(J3:J38)</f>
        <v>56376.014500000005</v>
      </c>
      <c r="K39" s="1166">
        <f t="shared" si="24"/>
        <v>48988.812600000005</v>
      </c>
      <c r="L39" s="1166">
        <f t="shared" si="24"/>
        <v>66096.016999999993</v>
      </c>
      <c r="M39" s="1166">
        <f t="shared" si="24"/>
        <v>503.99999999999994</v>
      </c>
      <c r="N39" s="1166"/>
      <c r="O39" s="1166">
        <f>SUM(O4:O38)</f>
        <v>1010598</v>
      </c>
    </row>
    <row r="40" spans="1:16" ht="15.5" x14ac:dyDescent="0.35">
      <c r="B40" s="147">
        <f>SUM(B4:B39)</f>
        <v>59</v>
      </c>
      <c r="F40" s="148">
        <f>SUM(F4:F39)</f>
        <v>3743000</v>
      </c>
      <c r="G40" s="1102">
        <f>SUM(G4:G39)</f>
        <v>145000</v>
      </c>
      <c r="I40" s="148">
        <f>F40+G40</f>
        <v>3888000</v>
      </c>
    </row>
    <row r="41" spans="1:16" ht="15.5" x14ac:dyDescent="0.35">
      <c r="F41" s="149"/>
      <c r="G41" s="1101"/>
    </row>
    <row r="42" spans="1:16" ht="15.5" x14ac:dyDescent="0.35">
      <c r="A42" s="140" t="s">
        <v>665</v>
      </c>
      <c r="B42" s="141">
        <v>3</v>
      </c>
      <c r="C42" s="142">
        <v>66000</v>
      </c>
      <c r="D42" s="142">
        <f>C42+25000</f>
        <v>91000</v>
      </c>
      <c r="E42" s="143">
        <f>C42+5000</f>
        <v>71000</v>
      </c>
      <c r="F42" s="148">
        <f>B42*E42</f>
        <v>213000</v>
      </c>
      <c r="G42" s="1101"/>
      <c r="H42" s="138">
        <f>+$H$3*B42</f>
        <v>17640</v>
      </c>
      <c r="I42" s="1161">
        <f t="shared" ref="I42" si="25">+F42*$I$3</f>
        <v>45944.1</v>
      </c>
      <c r="J42" s="149">
        <f>+$J$3*F42</f>
        <v>3088.5</v>
      </c>
      <c r="K42" s="1161">
        <f>+$K$3*F42</f>
        <v>2683.8</v>
      </c>
      <c r="L42" s="149">
        <f>+$L$3*F42</f>
        <v>3621.0000000000005</v>
      </c>
      <c r="M42" s="138">
        <f>+$M$3*B42</f>
        <v>25.200000000000003</v>
      </c>
      <c r="O42" s="1119">
        <f t="shared" ref="O42" si="26">SUM(I42:M42)</f>
        <v>55362.6</v>
      </c>
      <c r="P42" s="1118">
        <f>+O42+F42</f>
        <v>268362.59999999998</v>
      </c>
    </row>
    <row r="43" spans="1:16" ht="15.5" x14ac:dyDescent="0.35">
      <c r="G43" s="1101"/>
    </row>
    <row r="44" spans="1:16" ht="15.5" x14ac:dyDescent="0.35">
      <c r="G44" s="1101"/>
    </row>
    <row r="45" spans="1:16" ht="15.5" x14ac:dyDescent="0.35">
      <c r="A45" s="150" t="s">
        <v>666</v>
      </c>
      <c r="B45" s="151">
        <v>1</v>
      </c>
      <c r="C45" s="152">
        <v>140000</v>
      </c>
      <c r="D45" s="153"/>
      <c r="E45" s="154"/>
      <c r="F45" s="155">
        <f>B45*C45</f>
        <v>140000</v>
      </c>
      <c r="G45" s="1101"/>
      <c r="H45" s="138">
        <f t="shared" ref="H45:H53" si="27">+$H$3*B45</f>
        <v>5880</v>
      </c>
      <c r="I45" s="1161">
        <f t="shared" ref="I45:I53" si="28">+F45*$I$3</f>
        <v>30198</v>
      </c>
      <c r="J45" s="149">
        <f t="shared" ref="J45:J53" si="29">+$J$3*F45</f>
        <v>2030</v>
      </c>
      <c r="K45" s="1161">
        <f t="shared" ref="K45:K53" si="30">+$K$3*F45</f>
        <v>1764</v>
      </c>
      <c r="L45" s="149">
        <f t="shared" ref="L45:L53" si="31">+$L$3*F45</f>
        <v>2380</v>
      </c>
      <c r="M45" s="138">
        <f t="shared" ref="M45:M53" si="32">+$M$3*B45</f>
        <v>8.4</v>
      </c>
      <c r="O45" s="1119">
        <f t="shared" ref="O45:O53" si="33">SUM(I45:M45)</f>
        <v>36380.400000000001</v>
      </c>
      <c r="P45" s="1118">
        <f t="shared" ref="P45:P53" si="34">+O45+F45</f>
        <v>176380.4</v>
      </c>
    </row>
    <row r="46" spans="1:16" ht="15.5" x14ac:dyDescent="0.35">
      <c r="A46" s="150" t="s">
        <v>667</v>
      </c>
      <c r="B46" s="732">
        <v>2</v>
      </c>
      <c r="C46" s="152">
        <v>85000</v>
      </c>
      <c r="D46" s="153"/>
      <c r="E46" s="154"/>
      <c r="F46" s="155">
        <f t="shared" ref="F46:F53" si="35">B46*C46</f>
        <v>170000</v>
      </c>
      <c r="G46" s="1101"/>
      <c r="H46" s="138">
        <f t="shared" si="27"/>
        <v>11760</v>
      </c>
      <c r="I46" s="1161">
        <f t="shared" si="28"/>
        <v>36669</v>
      </c>
      <c r="J46" s="149">
        <f t="shared" si="29"/>
        <v>2465</v>
      </c>
      <c r="K46" s="1161">
        <f t="shared" si="30"/>
        <v>2142</v>
      </c>
      <c r="L46" s="149">
        <f t="shared" si="31"/>
        <v>2890</v>
      </c>
      <c r="M46" s="138">
        <f t="shared" si="32"/>
        <v>16.8</v>
      </c>
      <c r="O46" s="1119">
        <f t="shared" si="33"/>
        <v>44182.8</v>
      </c>
      <c r="P46" s="1118">
        <f t="shared" si="34"/>
        <v>214182.8</v>
      </c>
    </row>
    <row r="47" spans="1:16" ht="15.5" x14ac:dyDescent="0.35">
      <c r="A47" s="150" t="s">
        <v>668</v>
      </c>
      <c r="B47" s="151">
        <v>2</v>
      </c>
      <c r="C47" s="152">
        <v>85000</v>
      </c>
      <c r="D47" s="153"/>
      <c r="E47" s="154"/>
      <c r="F47" s="155">
        <f t="shared" si="35"/>
        <v>170000</v>
      </c>
      <c r="H47" s="138">
        <f t="shared" si="27"/>
        <v>11760</v>
      </c>
      <c r="I47" s="1161">
        <f t="shared" si="28"/>
        <v>36669</v>
      </c>
      <c r="J47" s="149">
        <f t="shared" si="29"/>
        <v>2465</v>
      </c>
      <c r="K47" s="1161">
        <f t="shared" si="30"/>
        <v>2142</v>
      </c>
      <c r="L47" s="149">
        <f t="shared" si="31"/>
        <v>2890</v>
      </c>
      <c r="M47" s="138">
        <f t="shared" si="32"/>
        <v>16.8</v>
      </c>
      <c r="O47" s="1119">
        <f t="shared" si="33"/>
        <v>44182.8</v>
      </c>
      <c r="P47" s="1118">
        <f t="shared" si="34"/>
        <v>214182.8</v>
      </c>
    </row>
    <row r="48" spans="1:16" ht="15.5" x14ac:dyDescent="0.35">
      <c r="A48" s="150" t="s">
        <v>669</v>
      </c>
      <c r="B48" s="151">
        <v>1</v>
      </c>
      <c r="C48" s="152">
        <v>85000</v>
      </c>
      <c r="D48" s="153"/>
      <c r="E48" s="154"/>
      <c r="F48" s="155">
        <f t="shared" si="35"/>
        <v>85000</v>
      </c>
      <c r="H48" s="138">
        <f t="shared" si="27"/>
        <v>5880</v>
      </c>
      <c r="I48" s="1161">
        <f t="shared" si="28"/>
        <v>18334.5</v>
      </c>
      <c r="J48" s="149">
        <f t="shared" si="29"/>
        <v>1232.5</v>
      </c>
      <c r="K48" s="1161">
        <f t="shared" si="30"/>
        <v>1071</v>
      </c>
      <c r="L48" s="149">
        <f t="shared" si="31"/>
        <v>1445</v>
      </c>
      <c r="M48" s="138">
        <f t="shared" si="32"/>
        <v>8.4</v>
      </c>
      <c r="O48" s="1119">
        <f t="shared" si="33"/>
        <v>22091.4</v>
      </c>
      <c r="P48" s="1118">
        <f t="shared" si="34"/>
        <v>107091.4</v>
      </c>
    </row>
    <row r="49" spans="1:16" ht="15.5" x14ac:dyDescent="0.35">
      <c r="A49" s="150" t="s">
        <v>670</v>
      </c>
      <c r="B49" s="151">
        <v>1</v>
      </c>
      <c r="C49" s="152">
        <v>90000</v>
      </c>
      <c r="D49" s="153"/>
      <c r="E49" s="154"/>
      <c r="F49" s="155">
        <f t="shared" si="35"/>
        <v>90000</v>
      </c>
      <c r="H49" s="138">
        <f t="shared" si="27"/>
        <v>5880</v>
      </c>
      <c r="I49" s="1161">
        <f t="shared" si="28"/>
        <v>19413</v>
      </c>
      <c r="J49" s="149">
        <f t="shared" si="29"/>
        <v>1305</v>
      </c>
      <c r="K49" s="1161">
        <f t="shared" si="30"/>
        <v>1134</v>
      </c>
      <c r="L49" s="149">
        <f t="shared" si="31"/>
        <v>1530</v>
      </c>
      <c r="M49" s="138">
        <f t="shared" si="32"/>
        <v>8.4</v>
      </c>
      <c r="O49" s="1119">
        <f t="shared" si="33"/>
        <v>23390.400000000001</v>
      </c>
      <c r="P49" s="1118">
        <f t="shared" si="34"/>
        <v>113390.39999999999</v>
      </c>
    </row>
    <row r="50" spans="1:16" ht="15.5" x14ac:dyDescent="0.35">
      <c r="A50" s="150" t="s">
        <v>671</v>
      </c>
      <c r="B50" s="151">
        <v>1</v>
      </c>
      <c r="C50" s="152">
        <v>65000</v>
      </c>
      <c r="D50" s="153"/>
      <c r="E50" s="154"/>
      <c r="F50" s="155">
        <f t="shared" si="35"/>
        <v>65000</v>
      </c>
      <c r="H50" s="138">
        <f t="shared" si="27"/>
        <v>5880</v>
      </c>
      <c r="I50" s="1161">
        <f t="shared" si="28"/>
        <v>14020.5</v>
      </c>
      <c r="J50" s="149">
        <f t="shared" si="29"/>
        <v>942.5</v>
      </c>
      <c r="K50" s="1161">
        <f t="shared" si="30"/>
        <v>819</v>
      </c>
      <c r="L50" s="149">
        <f t="shared" si="31"/>
        <v>1105</v>
      </c>
      <c r="M50" s="138">
        <f t="shared" si="32"/>
        <v>8.4</v>
      </c>
      <c r="O50" s="1119">
        <f t="shared" si="33"/>
        <v>16895.400000000001</v>
      </c>
      <c r="P50" s="1118">
        <f t="shared" si="34"/>
        <v>81895.399999999994</v>
      </c>
    </row>
    <row r="51" spans="1:16" ht="15.5" x14ac:dyDescent="0.35">
      <c r="A51" s="150" t="s">
        <v>672</v>
      </c>
      <c r="B51" s="151">
        <v>1</v>
      </c>
      <c r="C51" s="152">
        <v>55000</v>
      </c>
      <c r="D51" s="153"/>
      <c r="E51" s="154"/>
      <c r="F51" s="155">
        <f t="shared" si="35"/>
        <v>55000</v>
      </c>
      <c r="H51" s="138">
        <f t="shared" si="27"/>
        <v>5880</v>
      </c>
      <c r="I51" s="1161">
        <f t="shared" si="28"/>
        <v>11863.5</v>
      </c>
      <c r="J51" s="149">
        <f t="shared" si="29"/>
        <v>797.5</v>
      </c>
      <c r="K51" s="1161">
        <f t="shared" si="30"/>
        <v>693</v>
      </c>
      <c r="L51" s="149">
        <f t="shared" si="31"/>
        <v>935.00000000000011</v>
      </c>
      <c r="M51" s="138">
        <f t="shared" si="32"/>
        <v>8.4</v>
      </c>
      <c r="O51" s="1119">
        <f t="shared" si="33"/>
        <v>14297.4</v>
      </c>
      <c r="P51" s="1118">
        <f t="shared" si="34"/>
        <v>69297.399999999994</v>
      </c>
    </row>
    <row r="52" spans="1:16" ht="15.5" x14ac:dyDescent="0.35">
      <c r="A52" s="150" t="s">
        <v>673</v>
      </c>
      <c r="B52" s="151">
        <v>2</v>
      </c>
      <c r="C52" s="152">
        <v>40000</v>
      </c>
      <c r="D52" s="153"/>
      <c r="E52" s="154"/>
      <c r="F52" s="155">
        <f t="shared" si="35"/>
        <v>80000</v>
      </c>
      <c r="H52" s="138">
        <f t="shared" si="27"/>
        <v>11760</v>
      </c>
      <c r="I52" s="1161">
        <f t="shared" si="28"/>
        <v>17256</v>
      </c>
      <c r="J52" s="149">
        <f t="shared" si="29"/>
        <v>1160</v>
      </c>
      <c r="K52" s="1161">
        <f t="shared" si="30"/>
        <v>1008</v>
      </c>
      <c r="L52" s="149">
        <f t="shared" si="31"/>
        <v>1360</v>
      </c>
      <c r="M52" s="138">
        <f t="shared" si="32"/>
        <v>16.8</v>
      </c>
      <c r="O52" s="1119">
        <f t="shared" si="33"/>
        <v>20800.8</v>
      </c>
      <c r="P52" s="1118">
        <f t="shared" si="34"/>
        <v>100800.8</v>
      </c>
    </row>
    <row r="53" spans="1:16" ht="15.5" x14ac:dyDescent="0.35">
      <c r="A53" s="150" t="s">
        <v>674</v>
      </c>
      <c r="B53" s="151">
        <v>1</v>
      </c>
      <c r="C53" s="152">
        <v>35000</v>
      </c>
      <c r="D53" s="153"/>
      <c r="E53" s="154"/>
      <c r="F53" s="155">
        <f t="shared" si="35"/>
        <v>35000</v>
      </c>
      <c r="H53" s="138">
        <f t="shared" si="27"/>
        <v>5880</v>
      </c>
      <c r="I53" s="1161">
        <f t="shared" si="28"/>
        <v>7549.5</v>
      </c>
      <c r="J53" s="149">
        <f t="shared" si="29"/>
        <v>507.5</v>
      </c>
      <c r="K53" s="1161">
        <f t="shared" si="30"/>
        <v>441</v>
      </c>
      <c r="L53" s="149">
        <f t="shared" si="31"/>
        <v>595</v>
      </c>
      <c r="M53" s="138">
        <f t="shared" si="32"/>
        <v>8.4</v>
      </c>
      <c r="O53" s="1119">
        <f t="shared" si="33"/>
        <v>9101.4</v>
      </c>
      <c r="P53" s="1118">
        <f t="shared" si="34"/>
        <v>44101.4</v>
      </c>
    </row>
    <row r="54" spans="1:16" x14ac:dyDescent="0.35">
      <c r="A54" s="156"/>
      <c r="B54" s="157"/>
      <c r="C54" s="156"/>
      <c r="D54" s="156"/>
      <c r="E54" s="156"/>
      <c r="F54" s="156"/>
      <c r="H54" s="1119">
        <f>SUM(H45:H53)</f>
        <v>70560</v>
      </c>
      <c r="I54" s="1119">
        <f>SUM(I45:I53)</f>
        <v>191973</v>
      </c>
      <c r="J54" s="1119">
        <f t="shared" ref="J54:O54" si="36">SUM(J45:J53)</f>
        <v>12905</v>
      </c>
      <c r="K54" s="1119">
        <f t="shared" si="36"/>
        <v>11214</v>
      </c>
      <c r="L54" s="1119">
        <f t="shared" si="36"/>
        <v>15130</v>
      </c>
      <c r="M54" s="1119">
        <f t="shared" si="36"/>
        <v>100.80000000000001</v>
      </c>
      <c r="N54" s="1119">
        <f t="shared" si="36"/>
        <v>0</v>
      </c>
      <c r="O54" s="1119">
        <f t="shared" si="36"/>
        <v>231322.8</v>
      </c>
      <c r="P54" s="1119">
        <f>SUM(P45:P53)</f>
        <v>1121322.8</v>
      </c>
    </row>
    <row r="55" spans="1:16" ht="15.5" x14ac:dyDescent="0.35">
      <c r="A55" s="156"/>
      <c r="B55" s="157">
        <f>SUM(B42:B54)</f>
        <v>15</v>
      </c>
      <c r="C55" s="156"/>
      <c r="D55" s="156"/>
      <c r="E55" s="156"/>
      <c r="F55" s="158">
        <f>SUM(F45:F54)</f>
        <v>890000</v>
      </c>
    </row>
    <row r="57" spans="1:16" ht="15.5" x14ac:dyDescent="0.35">
      <c r="B57" s="159">
        <f>B40+B55</f>
        <v>74</v>
      </c>
      <c r="F57" s="160">
        <f>F40+F42+F55</f>
        <v>4846000</v>
      </c>
    </row>
  </sheetData>
  <mergeCells count="7">
    <mergeCell ref="G2:G3"/>
    <mergeCell ref="A1:G1"/>
    <mergeCell ref="A2:A3"/>
    <mergeCell ref="B2:B3"/>
    <mergeCell ref="C2:D2"/>
    <mergeCell ref="E2:E3"/>
    <mergeCell ref="F2:F3"/>
  </mergeCells>
  <pageMargins left="0.7" right="0.7" top="0.75" bottom="0.75" header="0.3" footer="0.3"/>
  <pageSetup scale="73" orientation="portrait" r:id="rId1"/>
  <ignoredErrors>
    <ignoredError sqref="E34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56B4-909A-4EBC-A03F-18989BC94BE3}">
  <dimension ref="A1:D167"/>
  <sheetViews>
    <sheetView workbookViewId="0">
      <selection activeCell="I26" sqref="I26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3" width="14.7265625" style="560" customWidth="1"/>
    <col min="4" max="4" width="14.1796875" style="560" bestFit="1" customWidth="1"/>
    <col min="5" max="16384" width="9.1796875" style="319"/>
  </cols>
  <sheetData>
    <row r="1" spans="1:4" s="559" customFormat="1" ht="19" thickBot="1" x14ac:dyDescent="0.5">
      <c r="B1" s="584" t="s">
        <v>473</v>
      </c>
      <c r="C1" s="1255" t="s">
        <v>215</v>
      </c>
      <c r="D1" s="1256"/>
    </row>
    <row r="2" spans="1:4" s="559" customFormat="1" ht="18" customHeight="1" thickBot="1" x14ac:dyDescent="0.4">
      <c r="A2" s="575" t="s">
        <v>520</v>
      </c>
      <c r="B2" s="585" t="s">
        <v>94</v>
      </c>
      <c r="C2" s="596" t="s">
        <v>475</v>
      </c>
      <c r="D2" s="596" t="s">
        <v>96</v>
      </c>
    </row>
    <row r="3" spans="1:4" ht="16" thickBot="1" x14ac:dyDescent="0.4">
      <c r="A3" s="574" t="s">
        <v>521</v>
      </c>
      <c r="B3" s="320" t="s">
        <v>7</v>
      </c>
      <c r="C3" s="587">
        <f>'C2 FY23-FY27 Budget'!D10</f>
        <v>280209</v>
      </c>
      <c r="D3" s="587">
        <v>58949</v>
      </c>
    </row>
    <row r="4" spans="1:4" ht="16" thickBot="1" x14ac:dyDescent="0.4">
      <c r="A4" s="575" t="s">
        <v>522</v>
      </c>
      <c r="B4" s="663" t="s">
        <v>353</v>
      </c>
      <c r="C4" s="556"/>
      <c r="D4" s="556"/>
    </row>
    <row r="5" spans="1:4" s="560" customFormat="1" x14ac:dyDescent="0.35">
      <c r="A5" s="576">
        <v>1</v>
      </c>
      <c r="B5" s="656" t="s">
        <v>99</v>
      </c>
      <c r="C5" s="658"/>
      <c r="D5" s="658"/>
    </row>
    <row r="6" spans="1:4" s="560" customFormat="1" x14ac:dyDescent="0.35">
      <c r="A6" s="577">
        <v>2</v>
      </c>
      <c r="B6" s="645" t="s">
        <v>477</v>
      </c>
      <c r="C6" s="648"/>
      <c r="D6" s="649"/>
    </row>
    <row r="7" spans="1:4" s="560" customFormat="1" x14ac:dyDescent="0.35">
      <c r="A7" s="577">
        <v>3</v>
      </c>
      <c r="B7" s="645" t="s">
        <v>478</v>
      </c>
      <c r="C7" s="648"/>
      <c r="D7" s="649"/>
    </row>
    <row r="8" spans="1:4" s="560" customFormat="1" x14ac:dyDescent="0.35">
      <c r="A8" s="576">
        <v>4</v>
      </c>
      <c r="B8" s="525" t="s">
        <v>101</v>
      </c>
      <c r="C8" s="602"/>
      <c r="D8" s="613"/>
    </row>
    <row r="9" spans="1:4" s="560" customFormat="1" x14ac:dyDescent="0.35">
      <c r="A9" s="576">
        <v>5</v>
      </c>
      <c r="B9" s="525" t="s">
        <v>356</v>
      </c>
      <c r="C9" s="602"/>
      <c r="D9" s="613"/>
    </row>
    <row r="10" spans="1:4" s="560" customFormat="1" x14ac:dyDescent="0.35">
      <c r="A10" s="577">
        <v>6</v>
      </c>
      <c r="B10" s="614" t="s">
        <v>262</v>
      </c>
      <c r="C10" s="602"/>
      <c r="D10" s="602"/>
    </row>
    <row r="11" spans="1:4" s="560" customFormat="1" x14ac:dyDescent="0.35">
      <c r="A11" s="577">
        <v>7</v>
      </c>
      <c r="B11" s="614" t="s">
        <v>19</v>
      </c>
      <c r="C11" s="602"/>
      <c r="D11" s="602"/>
    </row>
    <row r="12" spans="1:4" s="560" customFormat="1" x14ac:dyDescent="0.35">
      <c r="A12" s="577">
        <v>8</v>
      </c>
      <c r="B12" s="614" t="s">
        <v>18</v>
      </c>
      <c r="C12" s="602"/>
      <c r="D12" s="602"/>
    </row>
    <row r="13" spans="1:4" s="560" customFormat="1" x14ac:dyDescent="0.35">
      <c r="A13" s="578">
        <v>9</v>
      </c>
      <c r="B13" s="525" t="s">
        <v>218</v>
      </c>
      <c r="C13" s="602"/>
      <c r="D13" s="602"/>
    </row>
    <row r="14" spans="1:4" s="560" customFormat="1" x14ac:dyDescent="0.35">
      <c r="A14" s="578">
        <v>10</v>
      </c>
      <c r="B14" s="525" t="s">
        <v>357</v>
      </c>
      <c r="C14" s="602"/>
      <c r="D14" s="602"/>
    </row>
    <row r="15" spans="1:4" s="560" customFormat="1" x14ac:dyDescent="0.35">
      <c r="A15" s="578">
        <v>11</v>
      </c>
      <c r="B15" s="525" t="s">
        <v>219</v>
      </c>
      <c r="C15" s="602"/>
      <c r="D15" s="602"/>
    </row>
    <row r="16" spans="1:4" s="560" customFormat="1" x14ac:dyDescent="0.35">
      <c r="A16" s="578">
        <v>12</v>
      </c>
      <c r="B16" s="525" t="s">
        <v>230</v>
      </c>
      <c r="C16" s="602"/>
      <c r="D16" s="602"/>
    </row>
    <row r="17" spans="1:4" s="560" customFormat="1" x14ac:dyDescent="0.35">
      <c r="A17" s="578">
        <v>13</v>
      </c>
      <c r="B17" s="525" t="s">
        <v>359</v>
      </c>
      <c r="C17" s="602"/>
      <c r="D17" s="602"/>
    </row>
    <row r="18" spans="1:4" s="560" customFormat="1" x14ac:dyDescent="0.35">
      <c r="A18" s="578">
        <v>14</v>
      </c>
      <c r="B18" s="525" t="s">
        <v>260</v>
      </c>
      <c r="C18" s="602"/>
      <c r="D18" s="602"/>
    </row>
    <row r="19" spans="1:4" s="560" customFormat="1" x14ac:dyDescent="0.35">
      <c r="A19" s="578">
        <v>15</v>
      </c>
      <c r="B19" s="525" t="s">
        <v>12</v>
      </c>
      <c r="C19" s="602"/>
      <c r="D19" s="613"/>
    </row>
    <row r="20" spans="1:4" s="560" customFormat="1" x14ac:dyDescent="0.35">
      <c r="A20" s="578">
        <v>16</v>
      </c>
      <c r="B20" s="525" t="s">
        <v>220</v>
      </c>
      <c r="C20" s="602"/>
      <c r="D20" s="613"/>
    </row>
    <row r="21" spans="1:4" s="560" customFormat="1" x14ac:dyDescent="0.35">
      <c r="A21" s="578">
        <v>17</v>
      </c>
      <c r="B21" s="525" t="s">
        <v>8</v>
      </c>
      <c r="C21" s="602"/>
      <c r="D21" s="613"/>
    </row>
    <row r="22" spans="1:4" s="560" customFormat="1" x14ac:dyDescent="0.35">
      <c r="A22" s="578">
        <v>18</v>
      </c>
      <c r="B22" s="525" t="s">
        <v>117</v>
      </c>
      <c r="C22" s="602"/>
      <c r="D22" s="602"/>
    </row>
    <row r="23" spans="1:4" s="560" customFormat="1" x14ac:dyDescent="0.35">
      <c r="A23" s="578">
        <v>19</v>
      </c>
      <c r="B23" s="525" t="s">
        <v>118</v>
      </c>
      <c r="C23" s="602"/>
      <c r="D23" s="602"/>
    </row>
    <row r="24" spans="1:4" s="560" customFormat="1" x14ac:dyDescent="0.35">
      <c r="A24" s="576">
        <v>20</v>
      </c>
      <c r="B24" s="525" t="s">
        <v>108</v>
      </c>
      <c r="C24" s="602"/>
      <c r="D24" s="613"/>
    </row>
    <row r="25" spans="1:4" s="560" customFormat="1" x14ac:dyDescent="0.35">
      <c r="A25" s="577">
        <v>21</v>
      </c>
      <c r="B25" s="614" t="s">
        <v>13</v>
      </c>
      <c r="C25" s="602"/>
      <c r="D25" s="602"/>
    </row>
    <row r="26" spans="1:4" s="560" customFormat="1" x14ac:dyDescent="0.35">
      <c r="A26" s="577">
        <v>22</v>
      </c>
      <c r="B26" s="614" t="s">
        <v>20</v>
      </c>
      <c r="C26" s="602"/>
      <c r="D26" s="602"/>
    </row>
    <row r="27" spans="1:4" s="560" customFormat="1" x14ac:dyDescent="0.35">
      <c r="A27" s="576">
        <v>23</v>
      </c>
      <c r="B27" s="525" t="s">
        <v>104</v>
      </c>
      <c r="C27" s="602"/>
      <c r="D27" s="613"/>
    </row>
    <row r="28" spans="1:4" s="560" customFormat="1" x14ac:dyDescent="0.35">
      <c r="A28" s="576">
        <v>24</v>
      </c>
      <c r="B28" s="525" t="s">
        <v>105</v>
      </c>
      <c r="C28" s="602"/>
      <c r="D28" s="613"/>
    </row>
    <row r="29" spans="1:4" s="560" customFormat="1" x14ac:dyDescent="0.35">
      <c r="A29" s="576">
        <v>25</v>
      </c>
      <c r="B29" s="525" t="s">
        <v>106</v>
      </c>
      <c r="C29" s="602"/>
      <c r="D29" s="613"/>
    </row>
    <row r="30" spans="1:4" s="560" customFormat="1" x14ac:dyDescent="0.35">
      <c r="A30" s="576">
        <v>26</v>
      </c>
      <c r="B30" s="525" t="s">
        <v>107</v>
      </c>
      <c r="C30" s="602"/>
      <c r="D30" s="602"/>
    </row>
    <row r="31" spans="1:4" s="560" customFormat="1" x14ac:dyDescent="0.35">
      <c r="A31" s="576">
        <v>27</v>
      </c>
      <c r="B31" s="525" t="s">
        <v>109</v>
      </c>
      <c r="C31" s="602"/>
      <c r="D31" s="602"/>
    </row>
    <row r="32" spans="1:4" s="560" customFormat="1" x14ac:dyDescent="0.35">
      <c r="A32" s="577">
        <v>28</v>
      </c>
      <c r="B32" s="525" t="s">
        <v>222</v>
      </c>
      <c r="C32" s="602"/>
      <c r="D32" s="613"/>
    </row>
    <row r="33" spans="1:4" s="560" customFormat="1" x14ac:dyDescent="0.35">
      <c r="A33" s="578">
        <v>29</v>
      </c>
      <c r="B33" s="525" t="s">
        <v>361</v>
      </c>
      <c r="C33" s="602"/>
      <c r="D33" s="613"/>
    </row>
    <row r="34" spans="1:4" s="560" customFormat="1" x14ac:dyDescent="0.35">
      <c r="A34" s="578">
        <v>30</v>
      </c>
      <c r="B34" s="525" t="s">
        <v>111</v>
      </c>
      <c r="C34" s="602"/>
      <c r="D34" s="602"/>
    </row>
    <row r="35" spans="1:4" s="560" customFormat="1" x14ac:dyDescent="0.35">
      <c r="A35" s="577">
        <v>31</v>
      </c>
      <c r="B35" s="614" t="s">
        <v>261</v>
      </c>
      <c r="C35" s="602"/>
      <c r="D35" s="602"/>
    </row>
    <row r="36" spans="1:4" s="560" customFormat="1" x14ac:dyDescent="0.35">
      <c r="A36" s="576">
        <v>32</v>
      </c>
      <c r="B36" s="525" t="s">
        <v>479</v>
      </c>
      <c r="C36" s="602"/>
      <c r="D36" s="613"/>
    </row>
    <row r="37" spans="1:4" s="560" customFormat="1" x14ac:dyDescent="0.35">
      <c r="A37" s="579">
        <v>33</v>
      </c>
      <c r="B37" s="525" t="s">
        <v>264</v>
      </c>
      <c r="C37" s="602"/>
      <c r="D37" s="602"/>
    </row>
    <row r="38" spans="1:4" s="560" customFormat="1" x14ac:dyDescent="0.35">
      <c r="A38" s="577">
        <v>34</v>
      </c>
      <c r="B38" s="614" t="s">
        <v>14</v>
      </c>
      <c r="C38" s="602"/>
      <c r="D38" s="602"/>
    </row>
    <row r="39" spans="1:4" s="560" customFormat="1" x14ac:dyDescent="0.35">
      <c r="A39" s="577">
        <v>35</v>
      </c>
      <c r="B39" s="617" t="s">
        <v>368</v>
      </c>
      <c r="C39" s="602"/>
      <c r="D39" s="602"/>
    </row>
    <row r="40" spans="1:4" s="560" customFormat="1" x14ac:dyDescent="0.35">
      <c r="A40" s="577">
        <v>36</v>
      </c>
      <c r="B40" s="614" t="s">
        <v>265</v>
      </c>
      <c r="C40" s="602"/>
      <c r="D40" s="602"/>
    </row>
    <row r="41" spans="1:4" s="560" customFormat="1" x14ac:dyDescent="0.35">
      <c r="A41" s="577">
        <v>37</v>
      </c>
      <c r="B41" s="617" t="s">
        <v>480</v>
      </c>
      <c r="C41" s="602"/>
      <c r="D41" s="602"/>
    </row>
    <row r="42" spans="1:4" s="568" customFormat="1" ht="15.5" x14ac:dyDescent="0.35">
      <c r="A42" s="580"/>
      <c r="B42" s="561" t="s">
        <v>371</v>
      </c>
      <c r="C42" s="563"/>
      <c r="D42" s="563"/>
    </row>
    <row r="43" spans="1:4" s="568" customFormat="1" ht="9.75" customHeight="1" x14ac:dyDescent="0.35">
      <c r="A43" s="581"/>
      <c r="B43" s="569"/>
      <c r="C43" s="570"/>
      <c r="D43" s="570"/>
    </row>
    <row r="44" spans="1:4" ht="15.5" x14ac:dyDescent="0.35">
      <c r="A44" s="575"/>
      <c r="B44" s="554" t="s">
        <v>372</v>
      </c>
      <c r="C44" s="554"/>
      <c r="D44" s="554"/>
    </row>
    <row r="45" spans="1:4" x14ac:dyDescent="0.35">
      <c r="A45" s="576">
        <v>1</v>
      </c>
      <c r="B45" s="524" t="s">
        <v>373</v>
      </c>
      <c r="C45" s="602"/>
      <c r="D45" s="602"/>
    </row>
    <row r="46" spans="1:4" x14ac:dyDescent="0.35">
      <c r="A46" s="576">
        <v>2</v>
      </c>
      <c r="B46" s="525" t="s">
        <v>374</v>
      </c>
      <c r="C46" s="602"/>
      <c r="D46" s="602"/>
    </row>
    <row r="47" spans="1:4" x14ac:dyDescent="0.35">
      <c r="A47" s="576">
        <v>3</v>
      </c>
      <c r="B47" s="607" t="s">
        <v>375</v>
      </c>
      <c r="C47" s="602"/>
      <c r="D47" s="602"/>
    </row>
    <row r="48" spans="1:4" x14ac:dyDescent="0.35">
      <c r="A48" s="576">
        <v>4</v>
      </c>
      <c r="B48" s="524" t="s">
        <v>483</v>
      </c>
      <c r="C48" s="602"/>
      <c r="D48" s="602"/>
    </row>
    <row r="49" spans="1:4" x14ac:dyDescent="0.35">
      <c r="A49" s="576">
        <v>5</v>
      </c>
      <c r="B49" s="524" t="s">
        <v>378</v>
      </c>
      <c r="C49" s="602"/>
      <c r="D49" s="602"/>
    </row>
    <row r="50" spans="1:4" x14ac:dyDescent="0.35">
      <c r="A50" s="576">
        <v>8</v>
      </c>
      <c r="B50" s="524" t="s">
        <v>484</v>
      </c>
      <c r="C50" s="602"/>
      <c r="D50" s="602"/>
    </row>
    <row r="51" spans="1:4" x14ac:dyDescent="0.35">
      <c r="A51" s="576">
        <v>6</v>
      </c>
      <c r="B51" s="524" t="s">
        <v>381</v>
      </c>
      <c r="C51" s="602"/>
      <c r="D51" s="602"/>
    </row>
    <row r="52" spans="1:4" x14ac:dyDescent="0.35">
      <c r="A52" s="576">
        <v>7</v>
      </c>
      <c r="B52" s="524" t="s">
        <v>382</v>
      </c>
      <c r="C52" s="602"/>
      <c r="D52" s="602"/>
    </row>
    <row r="53" spans="1:4" x14ac:dyDescent="0.35">
      <c r="A53" s="576">
        <v>9</v>
      </c>
      <c r="B53" s="524" t="s">
        <v>384</v>
      </c>
      <c r="C53" s="602"/>
      <c r="D53" s="602"/>
    </row>
    <row r="54" spans="1:4" x14ac:dyDescent="0.35">
      <c r="A54" s="576">
        <v>10</v>
      </c>
      <c r="B54" s="550" t="s">
        <v>485</v>
      </c>
      <c r="C54" s="602"/>
      <c r="D54" s="602"/>
    </row>
    <row r="55" spans="1:4" x14ac:dyDescent="0.35">
      <c r="A55" s="576">
        <v>11</v>
      </c>
      <c r="B55" s="550" t="s">
        <v>486</v>
      </c>
      <c r="C55" s="602"/>
      <c r="D55" s="602"/>
    </row>
    <row r="56" spans="1:4" x14ac:dyDescent="0.35">
      <c r="A56" s="576">
        <v>12</v>
      </c>
      <c r="B56" s="524" t="s">
        <v>487</v>
      </c>
      <c r="C56" s="602"/>
      <c r="D56" s="602"/>
    </row>
    <row r="57" spans="1:4" x14ac:dyDescent="0.35">
      <c r="A57" s="576">
        <v>13</v>
      </c>
      <c r="B57" s="550" t="s">
        <v>523</v>
      </c>
      <c r="C57" s="602"/>
      <c r="D57" s="602"/>
    </row>
    <row r="58" spans="1:4" x14ac:dyDescent="0.35">
      <c r="A58" s="576">
        <v>14</v>
      </c>
      <c r="B58" s="550" t="s">
        <v>524</v>
      </c>
      <c r="C58" s="602"/>
      <c r="D58" s="602"/>
    </row>
    <row r="59" spans="1:4" x14ac:dyDescent="0.35">
      <c r="A59" s="576">
        <v>15</v>
      </c>
      <c r="B59" s="550" t="s">
        <v>490</v>
      </c>
      <c r="C59" s="602"/>
      <c r="D59" s="602"/>
    </row>
    <row r="60" spans="1:4" x14ac:dyDescent="0.35">
      <c r="A60" s="576">
        <v>16</v>
      </c>
      <c r="B60" s="524" t="s">
        <v>491</v>
      </c>
      <c r="C60" s="602"/>
      <c r="D60" s="602"/>
    </row>
    <row r="61" spans="1:4" x14ac:dyDescent="0.35">
      <c r="A61" s="576">
        <v>17</v>
      </c>
      <c r="B61" s="524" t="s">
        <v>492</v>
      </c>
      <c r="C61" s="602"/>
      <c r="D61" s="602"/>
    </row>
    <row r="62" spans="1:4" x14ac:dyDescent="0.35">
      <c r="A62" s="576">
        <v>18</v>
      </c>
      <c r="B62" s="524" t="s">
        <v>244</v>
      </c>
      <c r="C62" s="602"/>
      <c r="D62" s="602"/>
    </row>
    <row r="63" spans="1:4" x14ac:dyDescent="0.35">
      <c r="A63" s="576">
        <v>19</v>
      </c>
      <c r="B63" s="524" t="s">
        <v>397</v>
      </c>
      <c r="C63" s="602"/>
      <c r="D63" s="602"/>
    </row>
    <row r="64" spans="1:4" x14ac:dyDescent="0.35">
      <c r="A64" s="576">
        <v>20</v>
      </c>
      <c r="B64" s="524" t="s">
        <v>398</v>
      </c>
      <c r="C64" s="602"/>
      <c r="D64" s="602"/>
    </row>
    <row r="65" spans="1:4" x14ac:dyDescent="0.35">
      <c r="A65" s="576">
        <v>21</v>
      </c>
      <c r="B65" s="524" t="s">
        <v>399</v>
      </c>
      <c r="C65" s="602"/>
      <c r="D65" s="602"/>
    </row>
    <row r="66" spans="1:4" x14ac:dyDescent="0.35">
      <c r="A66" s="576">
        <v>22</v>
      </c>
      <c r="B66" s="524" t="s">
        <v>525</v>
      </c>
      <c r="C66" s="602"/>
      <c r="D66" s="602"/>
    </row>
    <row r="67" spans="1:4" x14ac:dyDescent="0.35">
      <c r="A67" s="576">
        <v>23</v>
      </c>
      <c r="B67" s="551" t="s">
        <v>526</v>
      </c>
      <c r="C67" s="602"/>
      <c r="D67" s="602"/>
    </row>
    <row r="68" spans="1:4" x14ac:dyDescent="0.35">
      <c r="A68" s="576">
        <v>24</v>
      </c>
      <c r="B68" s="551" t="s">
        <v>494</v>
      </c>
      <c r="C68" s="602"/>
      <c r="D68" s="602"/>
    </row>
    <row r="69" spans="1:4" s="560" customFormat="1" x14ac:dyDescent="0.35">
      <c r="A69" s="576">
        <v>25</v>
      </c>
      <c r="B69" s="551" t="s">
        <v>171</v>
      </c>
      <c r="C69" s="602"/>
      <c r="D69" s="602"/>
    </row>
    <row r="70" spans="1:4" x14ac:dyDescent="0.35">
      <c r="A70" s="576">
        <v>26</v>
      </c>
      <c r="B70" s="551" t="s">
        <v>314</v>
      </c>
      <c r="C70" s="602"/>
      <c r="D70" s="602"/>
    </row>
    <row r="71" spans="1:4" x14ac:dyDescent="0.35">
      <c r="A71" s="576">
        <v>27</v>
      </c>
      <c r="B71" s="524" t="s">
        <v>195</v>
      </c>
      <c r="C71" s="602"/>
      <c r="D71" s="602"/>
    </row>
    <row r="72" spans="1:4" x14ac:dyDescent="0.35">
      <c r="A72" s="576">
        <v>28</v>
      </c>
      <c r="B72" s="524" t="s">
        <v>495</v>
      </c>
      <c r="C72" s="602"/>
      <c r="D72" s="602"/>
    </row>
    <row r="73" spans="1:4" x14ac:dyDescent="0.35">
      <c r="A73" s="576">
        <v>29</v>
      </c>
      <c r="B73" s="524" t="s">
        <v>527</v>
      </c>
      <c r="C73" s="602"/>
      <c r="D73" s="602"/>
    </row>
    <row r="74" spans="1:4" x14ac:dyDescent="0.35">
      <c r="A74" s="576">
        <v>30</v>
      </c>
      <c r="B74" s="524" t="s">
        <v>505</v>
      </c>
      <c r="C74" s="602"/>
      <c r="D74" s="602"/>
    </row>
    <row r="75" spans="1:4" x14ac:dyDescent="0.35">
      <c r="A75" s="576">
        <v>31</v>
      </c>
      <c r="B75" s="524" t="s">
        <v>507</v>
      </c>
      <c r="C75" s="602"/>
      <c r="D75" s="602"/>
    </row>
    <row r="76" spans="1:4" x14ac:dyDescent="0.35">
      <c r="A76" s="576">
        <v>32</v>
      </c>
      <c r="B76" s="608" t="s">
        <v>511</v>
      </c>
      <c r="C76" s="602"/>
      <c r="D76" s="602"/>
    </row>
    <row r="77" spans="1:4" x14ac:dyDescent="0.35">
      <c r="A77" s="576">
        <v>33</v>
      </c>
      <c r="B77" s="608" t="s">
        <v>512</v>
      </c>
      <c r="C77" s="602"/>
      <c r="D77" s="602"/>
    </row>
    <row r="78" spans="1:4" x14ac:dyDescent="0.35">
      <c r="A78" s="576">
        <v>34</v>
      </c>
      <c r="B78" s="609" t="s">
        <v>202</v>
      </c>
      <c r="C78" s="602"/>
      <c r="D78" s="602"/>
    </row>
    <row r="79" spans="1:4" x14ac:dyDescent="0.35">
      <c r="A79" s="576">
        <v>35</v>
      </c>
      <c r="B79" s="524" t="s">
        <v>508</v>
      </c>
      <c r="C79" s="602"/>
      <c r="D79" s="602"/>
    </row>
    <row r="80" spans="1:4" x14ac:dyDescent="0.35">
      <c r="A80" s="576">
        <v>36</v>
      </c>
      <c r="B80" s="552" t="s">
        <v>528</v>
      </c>
      <c r="C80" s="602"/>
      <c r="D80" s="602"/>
    </row>
    <row r="81" spans="1:4" x14ac:dyDescent="0.35">
      <c r="A81" s="576">
        <v>37</v>
      </c>
      <c r="B81" s="524" t="s">
        <v>198</v>
      </c>
      <c r="C81" s="602"/>
      <c r="D81" s="602"/>
    </row>
    <row r="82" spans="1:4" x14ac:dyDescent="0.35">
      <c r="A82" s="576">
        <v>38</v>
      </c>
      <c r="B82" s="524" t="s">
        <v>316</v>
      </c>
      <c r="C82" s="602"/>
      <c r="D82" s="602"/>
    </row>
    <row r="83" spans="1:4" x14ac:dyDescent="0.35">
      <c r="A83" s="576">
        <v>39</v>
      </c>
      <c r="B83" s="610" t="s">
        <v>317</v>
      </c>
      <c r="C83" s="602"/>
      <c r="D83" s="602"/>
    </row>
    <row r="84" spans="1:4" x14ac:dyDescent="0.35">
      <c r="A84" s="576">
        <v>40</v>
      </c>
      <c r="B84" s="524" t="s">
        <v>404</v>
      </c>
      <c r="C84" s="602"/>
      <c r="D84" s="602"/>
    </row>
    <row r="85" spans="1:4" x14ac:dyDescent="0.35">
      <c r="A85" s="576">
        <v>41</v>
      </c>
      <c r="B85" s="524" t="s">
        <v>496</v>
      </c>
      <c r="C85" s="602"/>
      <c r="D85" s="602"/>
    </row>
    <row r="86" spans="1:4" x14ac:dyDescent="0.35">
      <c r="A86" s="576">
        <v>42</v>
      </c>
      <c r="B86" s="524" t="s">
        <v>497</v>
      </c>
      <c r="C86" s="602"/>
      <c r="D86" s="602"/>
    </row>
    <row r="87" spans="1:4" x14ac:dyDescent="0.35">
      <c r="A87" s="576">
        <v>43</v>
      </c>
      <c r="B87" s="524" t="s">
        <v>173</v>
      </c>
      <c r="C87" s="602"/>
      <c r="D87" s="602"/>
    </row>
    <row r="88" spans="1:4" x14ac:dyDescent="0.35">
      <c r="A88" s="576">
        <v>44</v>
      </c>
      <c r="B88" s="524" t="s">
        <v>179</v>
      </c>
      <c r="C88" s="602"/>
      <c r="D88" s="602"/>
    </row>
    <row r="89" spans="1:4" x14ac:dyDescent="0.35">
      <c r="A89" s="576">
        <v>45</v>
      </c>
      <c r="B89" s="603" t="s">
        <v>529</v>
      </c>
      <c r="C89" s="602"/>
      <c r="D89" s="602"/>
    </row>
    <row r="90" spans="1:4" x14ac:dyDescent="0.35">
      <c r="A90" s="576">
        <v>46</v>
      </c>
      <c r="B90" s="603" t="s">
        <v>174</v>
      </c>
      <c r="C90" s="602"/>
      <c r="D90" s="602"/>
    </row>
    <row r="91" spans="1:4" x14ac:dyDescent="0.35">
      <c r="A91" s="576">
        <v>47</v>
      </c>
      <c r="B91" s="524" t="s">
        <v>175</v>
      </c>
      <c r="C91" s="602"/>
      <c r="D91" s="602"/>
    </row>
    <row r="92" spans="1:4" x14ac:dyDescent="0.35">
      <c r="A92" s="576">
        <v>48</v>
      </c>
      <c r="B92" s="527" t="s">
        <v>406</v>
      </c>
      <c r="C92" s="602"/>
      <c r="D92" s="602"/>
    </row>
    <row r="93" spans="1:4" x14ac:dyDescent="0.35">
      <c r="A93" s="576">
        <v>49</v>
      </c>
      <c r="B93" s="524" t="s">
        <v>176</v>
      </c>
      <c r="C93" s="602"/>
      <c r="D93" s="602"/>
    </row>
    <row r="94" spans="1:4" x14ac:dyDescent="0.35">
      <c r="A94" s="576">
        <v>50</v>
      </c>
      <c r="B94" s="526" t="s">
        <v>407</v>
      </c>
      <c r="C94" s="602"/>
      <c r="D94" s="602"/>
    </row>
    <row r="95" spans="1:4" x14ac:dyDescent="0.35">
      <c r="A95" s="576">
        <v>51</v>
      </c>
      <c r="B95" s="524" t="s">
        <v>125</v>
      </c>
      <c r="C95" s="602"/>
      <c r="D95" s="602"/>
    </row>
    <row r="96" spans="1:4" x14ac:dyDescent="0.35">
      <c r="A96" s="576">
        <v>52</v>
      </c>
      <c r="B96" s="610" t="s">
        <v>498</v>
      </c>
      <c r="C96" s="602"/>
      <c r="D96" s="602"/>
    </row>
    <row r="97" spans="1:4" x14ac:dyDescent="0.35">
      <c r="A97" s="576">
        <v>53</v>
      </c>
      <c r="B97" s="610" t="s">
        <v>178</v>
      </c>
      <c r="C97" s="602"/>
      <c r="D97" s="602"/>
    </row>
    <row r="98" spans="1:4" x14ac:dyDescent="0.35">
      <c r="A98" s="576">
        <v>54</v>
      </c>
      <c r="B98" s="526" t="s">
        <v>410</v>
      </c>
      <c r="C98" s="602"/>
      <c r="D98" s="602"/>
    </row>
    <row r="99" spans="1:4" x14ac:dyDescent="0.35">
      <c r="A99" s="576">
        <v>55</v>
      </c>
      <c r="B99" s="526" t="s">
        <v>411</v>
      </c>
      <c r="C99" s="602"/>
      <c r="D99" s="602"/>
    </row>
    <row r="100" spans="1:4" x14ac:dyDescent="0.35">
      <c r="A100" s="576">
        <v>56</v>
      </c>
      <c r="B100" s="526" t="s">
        <v>412</v>
      </c>
      <c r="C100" s="602"/>
      <c r="D100" s="602"/>
    </row>
    <row r="101" spans="1:4" x14ac:dyDescent="0.35">
      <c r="A101" s="576">
        <v>57</v>
      </c>
      <c r="B101" s="524" t="s">
        <v>182</v>
      </c>
      <c r="C101" s="602"/>
      <c r="D101" s="602"/>
    </row>
    <row r="102" spans="1:4" x14ac:dyDescent="0.35">
      <c r="A102" s="576">
        <v>58</v>
      </c>
      <c r="B102" s="524" t="s">
        <v>183</v>
      </c>
      <c r="C102" s="602"/>
      <c r="D102" s="602"/>
    </row>
    <row r="103" spans="1:4" x14ac:dyDescent="0.35">
      <c r="A103" s="576">
        <v>59</v>
      </c>
      <c r="B103" s="528" t="s">
        <v>413</v>
      </c>
      <c r="C103" s="602"/>
      <c r="D103" s="602"/>
    </row>
    <row r="104" spans="1:4" x14ac:dyDescent="0.35">
      <c r="A104" s="576">
        <v>60</v>
      </c>
      <c r="B104" s="528" t="s">
        <v>499</v>
      </c>
      <c r="C104" s="602"/>
      <c r="D104" s="602"/>
    </row>
    <row r="105" spans="1:4" x14ac:dyDescent="0.35">
      <c r="A105" s="576">
        <v>61</v>
      </c>
      <c r="B105" s="524" t="s">
        <v>184</v>
      </c>
      <c r="C105" s="602"/>
      <c r="D105" s="602"/>
    </row>
    <row r="106" spans="1:4" x14ac:dyDescent="0.35">
      <c r="A106" s="576">
        <v>62</v>
      </c>
      <c r="B106" s="524" t="s">
        <v>185</v>
      </c>
      <c r="C106" s="602"/>
      <c r="D106" s="602"/>
    </row>
    <row r="107" spans="1:4" x14ac:dyDescent="0.35">
      <c r="A107" s="576">
        <v>63</v>
      </c>
      <c r="B107" s="528" t="s">
        <v>415</v>
      </c>
      <c r="C107" s="602"/>
      <c r="D107" s="602"/>
    </row>
    <row r="108" spans="1:4" x14ac:dyDescent="0.35">
      <c r="A108" s="576">
        <v>64</v>
      </c>
      <c r="B108" s="528" t="s">
        <v>503</v>
      </c>
      <c r="C108" s="602"/>
      <c r="D108" s="602"/>
    </row>
    <row r="109" spans="1:4" x14ac:dyDescent="0.35">
      <c r="A109" s="576">
        <v>65</v>
      </c>
      <c r="B109" s="524" t="s">
        <v>186</v>
      </c>
      <c r="C109" s="602"/>
      <c r="D109" s="602"/>
    </row>
    <row r="110" spans="1:4" x14ac:dyDescent="0.35">
      <c r="A110" s="576">
        <v>66</v>
      </c>
      <c r="B110" s="524" t="s">
        <v>187</v>
      </c>
      <c r="C110" s="602"/>
      <c r="D110" s="602"/>
    </row>
    <row r="111" spans="1:4" x14ac:dyDescent="0.35">
      <c r="A111" s="576">
        <v>67</v>
      </c>
      <c r="B111" s="524" t="s">
        <v>188</v>
      </c>
      <c r="C111" s="602"/>
      <c r="D111" s="602"/>
    </row>
    <row r="112" spans="1:4" x14ac:dyDescent="0.35">
      <c r="A112" s="576">
        <v>68</v>
      </c>
      <c r="B112" s="524" t="s">
        <v>194</v>
      </c>
      <c r="C112" s="602"/>
      <c r="D112" s="602"/>
    </row>
    <row r="113" spans="1:4" x14ac:dyDescent="0.35">
      <c r="A113" s="576">
        <v>69</v>
      </c>
      <c r="B113" s="524" t="s">
        <v>322</v>
      </c>
      <c r="C113" s="602"/>
      <c r="D113" s="602"/>
    </row>
    <row r="114" spans="1:4" x14ac:dyDescent="0.35">
      <c r="A114" s="576">
        <v>70</v>
      </c>
      <c r="B114" s="526" t="s">
        <v>417</v>
      </c>
      <c r="C114" s="602"/>
      <c r="D114" s="602"/>
    </row>
    <row r="115" spans="1:4" x14ac:dyDescent="0.35">
      <c r="A115" s="576">
        <v>71</v>
      </c>
      <c r="B115" s="524" t="s">
        <v>189</v>
      </c>
      <c r="C115" s="602"/>
      <c r="D115" s="602"/>
    </row>
    <row r="116" spans="1:4" x14ac:dyDescent="0.35">
      <c r="A116" s="576">
        <v>72</v>
      </c>
      <c r="B116" s="526" t="s">
        <v>419</v>
      </c>
      <c r="C116" s="602"/>
      <c r="D116" s="602"/>
    </row>
    <row r="117" spans="1:4" x14ac:dyDescent="0.35">
      <c r="A117" s="576">
        <v>73</v>
      </c>
      <c r="B117" s="602" t="s">
        <v>530</v>
      </c>
      <c r="C117" s="602"/>
      <c r="D117" s="602"/>
    </row>
    <row r="118" spans="1:4" x14ac:dyDescent="0.35">
      <c r="A118" s="576">
        <v>74</v>
      </c>
      <c r="B118" s="524" t="s">
        <v>191</v>
      </c>
      <c r="C118" s="602"/>
      <c r="D118" s="602"/>
    </row>
    <row r="119" spans="1:4" x14ac:dyDescent="0.35">
      <c r="A119" s="576">
        <v>75</v>
      </c>
      <c r="B119" s="524" t="s">
        <v>192</v>
      </c>
      <c r="C119" s="602"/>
      <c r="D119" s="602"/>
    </row>
    <row r="120" spans="1:4" x14ac:dyDescent="0.35">
      <c r="A120" s="576">
        <v>76</v>
      </c>
      <c r="B120" s="524" t="s">
        <v>193</v>
      </c>
      <c r="C120" s="602"/>
      <c r="D120" s="602"/>
    </row>
    <row r="121" spans="1:4" x14ac:dyDescent="0.35">
      <c r="A121" s="576">
        <v>77</v>
      </c>
      <c r="B121" s="524" t="s">
        <v>212</v>
      </c>
      <c r="C121" s="602"/>
      <c r="D121" s="602"/>
    </row>
    <row r="122" spans="1:4" x14ac:dyDescent="0.35">
      <c r="A122" s="576">
        <v>78</v>
      </c>
      <c r="B122" s="524" t="s">
        <v>204</v>
      </c>
      <c r="C122" s="602"/>
      <c r="D122" s="602"/>
    </row>
    <row r="123" spans="1:4" x14ac:dyDescent="0.35">
      <c r="A123" s="576">
        <v>79</v>
      </c>
      <c r="B123" s="524" t="s">
        <v>205</v>
      </c>
      <c r="C123" s="602"/>
      <c r="D123" s="602"/>
    </row>
    <row r="124" spans="1:4" x14ac:dyDescent="0.35">
      <c r="A124" s="576">
        <v>80</v>
      </c>
      <c r="B124" s="524" t="s">
        <v>206</v>
      </c>
      <c r="C124" s="602"/>
      <c r="D124" s="602"/>
    </row>
    <row r="125" spans="1:4" x14ac:dyDescent="0.35">
      <c r="A125" s="576">
        <v>81</v>
      </c>
      <c r="B125" s="526" t="s">
        <v>425</v>
      </c>
      <c r="C125" s="602"/>
      <c r="D125" s="602"/>
    </row>
    <row r="126" spans="1:4" x14ac:dyDescent="0.35">
      <c r="A126" s="576">
        <v>82</v>
      </c>
      <c r="B126" s="526" t="s">
        <v>509</v>
      </c>
      <c r="C126" s="602"/>
      <c r="D126" s="602"/>
    </row>
    <row r="127" spans="1:4" x14ac:dyDescent="0.35">
      <c r="A127" s="576">
        <v>83</v>
      </c>
      <c r="B127" s="526" t="s">
        <v>426</v>
      </c>
      <c r="C127" s="602"/>
      <c r="D127" s="602"/>
    </row>
    <row r="128" spans="1:4" x14ac:dyDescent="0.35">
      <c r="A128" s="576">
        <v>84</v>
      </c>
      <c r="B128" s="605" t="s">
        <v>531</v>
      </c>
      <c r="C128" s="602"/>
      <c r="D128" s="602"/>
    </row>
    <row r="129" spans="1:4" x14ac:dyDescent="0.35">
      <c r="A129" s="576">
        <v>85</v>
      </c>
      <c r="B129" s="524" t="s">
        <v>427</v>
      </c>
      <c r="C129" s="602"/>
      <c r="D129" s="602"/>
    </row>
    <row r="130" spans="1:4" x14ac:dyDescent="0.35">
      <c r="A130" s="576">
        <v>86</v>
      </c>
      <c r="B130" s="524" t="s">
        <v>428</v>
      </c>
      <c r="C130" s="602"/>
      <c r="D130" s="602"/>
    </row>
    <row r="131" spans="1:4" x14ac:dyDescent="0.35">
      <c r="A131" s="576">
        <v>87</v>
      </c>
      <c r="B131" s="524" t="s">
        <v>211</v>
      </c>
      <c r="C131" s="602"/>
      <c r="D131" s="602"/>
    </row>
    <row r="132" spans="1:4" x14ac:dyDescent="0.35">
      <c r="A132" s="576">
        <v>88</v>
      </c>
      <c r="B132" s="524" t="s">
        <v>85</v>
      </c>
      <c r="C132" s="602"/>
      <c r="D132" s="602"/>
    </row>
    <row r="133" spans="1:4" x14ac:dyDescent="0.35">
      <c r="A133" s="576">
        <v>89</v>
      </c>
      <c r="B133" s="602" t="s">
        <v>532</v>
      </c>
      <c r="C133" s="602"/>
      <c r="D133" s="602"/>
    </row>
    <row r="134" spans="1:4" x14ac:dyDescent="0.35">
      <c r="A134" s="576">
        <v>90</v>
      </c>
      <c r="B134" s="602" t="s">
        <v>214</v>
      </c>
      <c r="C134" s="602"/>
      <c r="D134" s="602"/>
    </row>
    <row r="135" spans="1:4" x14ac:dyDescent="0.35">
      <c r="A135" s="576">
        <v>91</v>
      </c>
      <c r="B135" s="524" t="s">
        <v>128</v>
      </c>
      <c r="C135" s="602"/>
      <c r="D135" s="602"/>
    </row>
    <row r="136" spans="1:4" x14ac:dyDescent="0.35">
      <c r="A136" s="576">
        <v>92</v>
      </c>
      <c r="B136" s="524" t="s">
        <v>129</v>
      </c>
      <c r="C136" s="602"/>
      <c r="D136" s="602"/>
    </row>
    <row r="137" spans="1:4" x14ac:dyDescent="0.35">
      <c r="A137" s="576">
        <v>93</v>
      </c>
      <c r="B137" s="524" t="s">
        <v>429</v>
      </c>
      <c r="C137" s="602"/>
      <c r="D137" s="602"/>
    </row>
    <row r="138" spans="1:4" x14ac:dyDescent="0.35">
      <c r="A138" s="576">
        <v>94</v>
      </c>
      <c r="B138" s="524" t="s">
        <v>510</v>
      </c>
      <c r="C138" s="602"/>
      <c r="D138" s="602"/>
    </row>
    <row r="139" spans="1:4" x14ac:dyDescent="0.35">
      <c r="A139" s="576">
        <v>95</v>
      </c>
      <c r="B139" s="524" t="s">
        <v>67</v>
      </c>
      <c r="C139" s="602"/>
      <c r="D139" s="602"/>
    </row>
    <row r="140" spans="1:4" x14ac:dyDescent="0.35">
      <c r="A140" s="576">
        <v>96</v>
      </c>
      <c r="B140" s="526" t="s">
        <v>431</v>
      </c>
      <c r="C140" s="602"/>
      <c r="D140" s="602"/>
    </row>
    <row r="141" spans="1:4" x14ac:dyDescent="0.35">
      <c r="A141" s="576">
        <v>97</v>
      </c>
      <c r="B141" s="524" t="s">
        <v>131</v>
      </c>
      <c r="C141" s="602"/>
      <c r="D141" s="602"/>
    </row>
    <row r="142" spans="1:4" x14ac:dyDescent="0.35">
      <c r="A142" s="576">
        <v>98</v>
      </c>
      <c r="B142" s="524" t="s">
        <v>132</v>
      </c>
      <c r="C142" s="602"/>
      <c r="D142" s="602"/>
    </row>
    <row r="143" spans="1:4" x14ac:dyDescent="0.35">
      <c r="A143" s="576">
        <v>99</v>
      </c>
      <c r="B143" s="524" t="s">
        <v>41</v>
      </c>
      <c r="C143" s="602"/>
      <c r="D143" s="602"/>
    </row>
    <row r="144" spans="1:4" x14ac:dyDescent="0.35">
      <c r="A144" s="576">
        <v>100</v>
      </c>
      <c r="B144" s="524" t="s">
        <v>134</v>
      </c>
      <c r="C144" s="602"/>
      <c r="D144" s="602"/>
    </row>
    <row r="145" spans="1:4" x14ac:dyDescent="0.35">
      <c r="A145" s="576">
        <v>101</v>
      </c>
      <c r="B145" s="524" t="s">
        <v>135</v>
      </c>
      <c r="C145" s="602"/>
      <c r="D145" s="602"/>
    </row>
    <row r="146" spans="1:4" x14ac:dyDescent="0.35">
      <c r="A146" s="576">
        <v>102</v>
      </c>
      <c r="B146" s="526" t="s">
        <v>432</v>
      </c>
      <c r="C146" s="602"/>
      <c r="D146" s="602"/>
    </row>
    <row r="147" spans="1:4" x14ac:dyDescent="0.35">
      <c r="A147" s="576">
        <v>103</v>
      </c>
      <c r="B147" s="524" t="s">
        <v>136</v>
      </c>
      <c r="C147" s="602"/>
      <c r="D147" s="602"/>
    </row>
    <row r="148" spans="1:4" x14ac:dyDescent="0.35">
      <c r="A148" s="576">
        <v>104</v>
      </c>
      <c r="B148" s="524" t="s">
        <v>124</v>
      </c>
      <c r="C148" s="602"/>
      <c r="D148" s="602"/>
    </row>
    <row r="149" spans="1:4" x14ac:dyDescent="0.35">
      <c r="A149" s="576">
        <v>105</v>
      </c>
      <c r="B149" s="526" t="s">
        <v>435</v>
      </c>
      <c r="C149" s="602"/>
      <c r="D149" s="602"/>
    </row>
    <row r="150" spans="1:4" x14ac:dyDescent="0.35">
      <c r="A150" s="576">
        <v>106</v>
      </c>
      <c r="B150" s="524" t="s">
        <v>133</v>
      </c>
      <c r="C150" s="602"/>
      <c r="D150" s="602"/>
    </row>
    <row r="151" spans="1:4" x14ac:dyDescent="0.35">
      <c r="A151" s="576">
        <v>107</v>
      </c>
      <c r="B151" s="524" t="s">
        <v>436</v>
      </c>
      <c r="C151" s="602"/>
      <c r="D151" s="602"/>
    </row>
    <row r="152" spans="1:4" x14ac:dyDescent="0.35">
      <c r="A152" s="576">
        <v>108</v>
      </c>
      <c r="B152" s="608" t="s">
        <v>513</v>
      </c>
      <c r="C152" s="602"/>
      <c r="D152" s="602"/>
    </row>
    <row r="153" spans="1:4" x14ac:dyDescent="0.35">
      <c r="A153" s="576">
        <v>109</v>
      </c>
      <c r="B153" s="524" t="s">
        <v>139</v>
      </c>
      <c r="C153" s="602"/>
      <c r="D153" s="602"/>
    </row>
    <row r="154" spans="1:4" x14ac:dyDescent="0.35">
      <c r="A154" s="576">
        <v>110</v>
      </c>
      <c r="B154" s="524" t="s">
        <v>143</v>
      </c>
      <c r="C154" s="602"/>
      <c r="D154" s="602"/>
    </row>
    <row r="155" spans="1:4" x14ac:dyDescent="0.35">
      <c r="A155" s="576">
        <v>111</v>
      </c>
      <c r="B155" s="524" t="s">
        <v>151</v>
      </c>
      <c r="C155" s="602"/>
      <c r="D155" s="602"/>
    </row>
    <row r="156" spans="1:4" x14ac:dyDescent="0.35">
      <c r="A156" s="576">
        <v>112</v>
      </c>
      <c r="B156" s="524" t="s">
        <v>144</v>
      </c>
      <c r="C156" s="602"/>
      <c r="D156" s="602"/>
    </row>
    <row r="157" spans="1:4" x14ac:dyDescent="0.35">
      <c r="A157" s="576">
        <v>113</v>
      </c>
      <c r="B157" s="524" t="s">
        <v>145</v>
      </c>
      <c r="C157" s="602"/>
      <c r="D157" s="602"/>
    </row>
    <row r="158" spans="1:4" x14ac:dyDescent="0.35">
      <c r="A158" s="576">
        <v>114</v>
      </c>
      <c r="B158" s="524" t="s">
        <v>152</v>
      </c>
      <c r="C158" s="602"/>
      <c r="D158" s="602"/>
    </row>
    <row r="159" spans="1:4" x14ac:dyDescent="0.35">
      <c r="A159" s="576">
        <v>115</v>
      </c>
      <c r="B159" s="524" t="s">
        <v>146</v>
      </c>
      <c r="C159" s="602"/>
      <c r="D159" s="602"/>
    </row>
    <row r="160" spans="1:4" x14ac:dyDescent="0.35">
      <c r="A160" s="576">
        <v>116</v>
      </c>
      <c r="B160" s="524" t="s">
        <v>147</v>
      </c>
      <c r="C160" s="602"/>
      <c r="D160" s="602"/>
    </row>
    <row r="161" spans="1:4" x14ac:dyDescent="0.35">
      <c r="A161" s="576">
        <v>117</v>
      </c>
      <c r="B161" s="524" t="s">
        <v>148</v>
      </c>
      <c r="C161" s="602"/>
      <c r="D161" s="602"/>
    </row>
    <row r="162" spans="1:4" x14ac:dyDescent="0.35">
      <c r="A162" s="576">
        <v>118</v>
      </c>
      <c r="B162" s="524" t="s">
        <v>506</v>
      </c>
      <c r="C162" s="602"/>
      <c r="D162" s="602"/>
    </row>
    <row r="163" spans="1:4" x14ac:dyDescent="0.35">
      <c r="A163" s="576">
        <v>119</v>
      </c>
      <c r="B163" s="524" t="s">
        <v>533</v>
      </c>
      <c r="C163" s="602"/>
      <c r="D163" s="602">
        <f>'Total Debt'!G36</f>
        <v>112085.78</v>
      </c>
    </row>
    <row r="164" spans="1:4" x14ac:dyDescent="0.35">
      <c r="A164" s="576">
        <v>121</v>
      </c>
      <c r="B164" s="524" t="s">
        <v>142</v>
      </c>
      <c r="C164" s="602"/>
      <c r="D164" s="602"/>
    </row>
    <row r="165" spans="1:4" s="568" customFormat="1" ht="15.5" x14ac:dyDescent="0.35">
      <c r="A165" s="582"/>
      <c r="B165" s="573" t="s">
        <v>444</v>
      </c>
      <c r="C165" s="563">
        <f>SUM(C45:C164)</f>
        <v>0</v>
      </c>
      <c r="D165" s="563">
        <f>SUM(D45:D164)</f>
        <v>112085.78</v>
      </c>
    </row>
    <row r="166" spans="1:4" s="568" customFormat="1" ht="9.75" customHeight="1" x14ac:dyDescent="0.35">
      <c r="A166" s="581"/>
      <c r="B166" s="569"/>
      <c r="C166" s="570"/>
      <c r="D166" s="570"/>
    </row>
    <row r="167" spans="1:4" s="568" customFormat="1" ht="15.5" x14ac:dyDescent="0.35">
      <c r="A167" s="583"/>
      <c r="B167" s="561" t="s">
        <v>445</v>
      </c>
      <c r="C167" s="563">
        <f>C42-C165</f>
        <v>0</v>
      </c>
      <c r="D167" s="563">
        <f>D42-D165</f>
        <v>-112085.78</v>
      </c>
    </row>
  </sheetData>
  <protectedRanges>
    <protectedRange algorithmName="SHA-512" hashValue="sib5Nlt62x8Cjehj5QpvQOfZQRWFyVXdW4ymlOfnLMMNdxZw1XVdONARla6+9R164l5kN77+d8cnUihMlL+w0A==" saltValue="TiYlffcKhraV9z9Br0ykmA==" spinCount="100000" sqref="C166:D166 C42:D43" name="Range1_3"/>
  </protectedRanges>
  <mergeCells count="1">
    <mergeCell ref="C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9973-E27B-4241-867A-E94E6E59EEB5}">
  <sheetPr>
    <tabColor theme="7" tint="0.79998168889431442"/>
  </sheetPr>
  <dimension ref="A1:O136"/>
  <sheetViews>
    <sheetView topLeftCell="B35" zoomScaleNormal="100" workbookViewId="0">
      <selection activeCell="E135" sqref="E135"/>
    </sheetView>
  </sheetViews>
  <sheetFormatPr defaultRowHeight="17.25" customHeight="1" x14ac:dyDescent="0.35"/>
  <cols>
    <col min="1" max="1" width="0" hidden="1" customWidth="1"/>
    <col min="2" max="2" width="29.1796875" customWidth="1"/>
    <col min="3" max="3" width="44.1796875" customWidth="1"/>
    <col min="4" max="5" width="15.54296875" style="13" customWidth="1"/>
    <col min="6" max="9" width="15.54296875" hidden="1" customWidth="1"/>
    <col min="10" max="10" width="0" hidden="1" customWidth="1"/>
    <col min="11" max="11" width="67" bestFit="1" customWidth="1"/>
  </cols>
  <sheetData>
    <row r="1" spans="1:11" ht="17.25" customHeight="1" x14ac:dyDescent="0.45">
      <c r="B1" s="1260" t="s">
        <v>675</v>
      </c>
      <c r="C1" s="1260"/>
      <c r="D1" s="1260"/>
      <c r="E1" s="1260"/>
      <c r="F1" s="1260"/>
      <c r="G1" s="1260"/>
      <c r="H1" s="1260"/>
      <c r="I1" s="1260"/>
    </row>
    <row r="2" spans="1:11" s="74" customFormat="1" ht="17.25" customHeight="1" x14ac:dyDescent="0.35">
      <c r="B2" s="136" t="s">
        <v>596</v>
      </c>
      <c r="C2" s="136"/>
      <c r="D2" s="136"/>
      <c r="E2" s="296" t="s">
        <v>535</v>
      </c>
      <c r="F2" s="136"/>
      <c r="G2" s="136"/>
      <c r="H2" s="136"/>
      <c r="I2" s="136"/>
    </row>
    <row r="3" spans="1:11" ht="17.25" customHeight="1" x14ac:dyDescent="0.35">
      <c r="D3"/>
      <c r="E3" s="129" t="s">
        <v>536</v>
      </c>
    </row>
    <row r="4" spans="1:11" ht="17.25" customHeight="1" x14ac:dyDescent="0.35">
      <c r="A4" t="s">
        <v>537</v>
      </c>
      <c r="B4" s="17" t="s">
        <v>93</v>
      </c>
      <c r="C4" s="9" t="s">
        <v>94</v>
      </c>
      <c r="D4" s="50" t="s">
        <v>598</v>
      </c>
      <c r="E4" s="50" t="s">
        <v>96</v>
      </c>
      <c r="F4" s="56" t="s">
        <v>538</v>
      </c>
      <c r="G4" s="56" t="s">
        <v>539</v>
      </c>
      <c r="H4" s="56" t="s">
        <v>540</v>
      </c>
      <c r="I4" s="56" t="s">
        <v>541</v>
      </c>
    </row>
    <row r="5" spans="1:11" ht="17.25" customHeight="1" x14ac:dyDescent="0.35">
      <c r="C5" s="92" t="s">
        <v>599</v>
      </c>
      <c r="D5" s="280">
        <v>0.94</v>
      </c>
      <c r="E5" s="280">
        <v>0.94</v>
      </c>
      <c r="F5" s="8"/>
      <c r="G5" s="8"/>
      <c r="H5" s="8"/>
      <c r="I5" s="8"/>
    </row>
    <row r="6" spans="1:11" ht="17.25" customHeight="1" x14ac:dyDescent="0.35">
      <c r="C6" s="19" t="s">
        <v>348</v>
      </c>
      <c r="D6" s="57">
        <v>230</v>
      </c>
      <c r="E6" s="306">
        <v>230</v>
      </c>
      <c r="F6" s="279">
        <v>240</v>
      </c>
      <c r="G6" s="57">
        <v>250</v>
      </c>
      <c r="H6" s="57">
        <v>260</v>
      </c>
      <c r="I6" s="57">
        <v>270</v>
      </c>
      <c r="K6" s="125"/>
    </row>
    <row r="7" spans="1:11" ht="17.25" customHeight="1" x14ac:dyDescent="0.35">
      <c r="C7" s="19" t="s">
        <v>349</v>
      </c>
      <c r="D7" s="113">
        <v>230</v>
      </c>
      <c r="E7" s="113">
        <v>230</v>
      </c>
      <c r="F7" s="279">
        <v>245</v>
      </c>
      <c r="G7" s="57">
        <v>260</v>
      </c>
      <c r="H7" s="57">
        <v>275</v>
      </c>
      <c r="I7" s="57">
        <v>290</v>
      </c>
    </row>
    <row r="8" spans="1:11" ht="17.25" customHeight="1" x14ac:dyDescent="0.35">
      <c r="C8" s="19" t="s">
        <v>350</v>
      </c>
      <c r="D8" s="107">
        <v>9221</v>
      </c>
      <c r="E8" s="308">
        <v>9401</v>
      </c>
      <c r="F8" s="20">
        <f>D8+(D8*0.03)</f>
        <v>9497.6299999999992</v>
      </c>
      <c r="G8" s="20">
        <f>F8+(F8*0.03)</f>
        <v>9782.5589</v>
      </c>
      <c r="H8" s="20">
        <f>G8+(G8*0.03)</f>
        <v>10076.035667</v>
      </c>
      <c r="I8" s="20">
        <f>H8+(H8*0.03)</f>
        <v>10378.31673701</v>
      </c>
      <c r="K8" t="s">
        <v>676</v>
      </c>
    </row>
    <row r="9" spans="1:11" ht="17.25" customHeight="1" x14ac:dyDescent="0.35">
      <c r="D9" s="53"/>
      <c r="E9" s="53"/>
      <c r="F9" s="8"/>
      <c r="G9" s="8"/>
      <c r="H9" s="8"/>
      <c r="I9" s="8"/>
    </row>
    <row r="10" spans="1:11" ht="17.25" customHeight="1" x14ac:dyDescent="0.35">
      <c r="A10">
        <v>1</v>
      </c>
      <c r="B10" s="286" t="s">
        <v>7</v>
      </c>
      <c r="C10" s="286" t="s">
        <v>7</v>
      </c>
      <c r="D10" s="287">
        <v>280209</v>
      </c>
      <c r="E10" s="302">
        <v>133869</v>
      </c>
      <c r="F10" s="35">
        <f>D127</f>
        <v>121689.28</v>
      </c>
      <c r="G10" s="35">
        <f>F127</f>
        <v>0</v>
      </c>
      <c r="H10" s="35">
        <f>G127</f>
        <v>0</v>
      </c>
      <c r="I10" s="35">
        <f>H127</f>
        <v>0</v>
      </c>
    </row>
    <row r="11" spans="1:11" ht="17.25" customHeight="1" x14ac:dyDescent="0.35">
      <c r="A11">
        <v>2</v>
      </c>
      <c r="B11" t="s">
        <v>98</v>
      </c>
      <c r="C11" t="s">
        <v>99</v>
      </c>
      <c r="D11" s="119">
        <v>10000</v>
      </c>
      <c r="E11" s="119">
        <v>10000</v>
      </c>
      <c r="F11" s="34">
        <f>D11+(D11*0.03)</f>
        <v>10300</v>
      </c>
      <c r="G11" s="34">
        <f>F11+(F11*0.03)</f>
        <v>10609</v>
      </c>
      <c r="H11" s="34">
        <f>G11+(G11*0.03)</f>
        <v>10927.27</v>
      </c>
      <c r="I11" s="34">
        <f>H11+(H11*0.03)</f>
        <v>11255.088100000001</v>
      </c>
    </row>
    <row r="12" spans="1:11" ht="17.25" customHeight="1" x14ac:dyDescent="0.35">
      <c r="A12">
        <v>3</v>
      </c>
      <c r="B12" t="s">
        <v>100</v>
      </c>
      <c r="C12" t="s">
        <v>16</v>
      </c>
      <c r="D12" s="119">
        <v>400000</v>
      </c>
      <c r="E12" s="302">
        <v>200000</v>
      </c>
      <c r="F12" s="35">
        <v>350000</v>
      </c>
      <c r="G12" s="35">
        <v>300000</v>
      </c>
      <c r="H12" s="35">
        <v>300000</v>
      </c>
      <c r="I12" s="35">
        <v>300000</v>
      </c>
    </row>
    <row r="13" spans="1:11" ht="17.25" customHeight="1" x14ac:dyDescent="0.35">
      <c r="A13">
        <v>4</v>
      </c>
      <c r="B13" t="s">
        <v>100</v>
      </c>
      <c r="C13" t="s">
        <v>677</v>
      </c>
      <c r="D13" s="119">
        <v>100000</v>
      </c>
      <c r="E13" s="302">
        <v>300000</v>
      </c>
      <c r="F13" s="34"/>
      <c r="G13" s="34"/>
      <c r="H13" s="34"/>
      <c r="I13" s="34"/>
    </row>
    <row r="14" spans="1:11" ht="17.25" customHeight="1" x14ac:dyDescent="0.35">
      <c r="A14">
        <v>5</v>
      </c>
      <c r="B14" t="s">
        <v>102</v>
      </c>
      <c r="C14" t="s">
        <v>103</v>
      </c>
      <c r="D14" s="104">
        <v>80000</v>
      </c>
      <c r="E14" s="186">
        <v>62196</v>
      </c>
      <c r="F14" s="96">
        <f t="shared" ref="F14:F29" si="0">D14+(D14*0.03)</f>
        <v>82400</v>
      </c>
      <c r="G14" s="96">
        <f t="shared" ref="G14:I27" si="1">F14+(F14*0.03)</f>
        <v>84872</v>
      </c>
      <c r="H14" s="96">
        <f t="shared" si="1"/>
        <v>87418.16</v>
      </c>
      <c r="I14" s="96">
        <f t="shared" si="1"/>
        <v>90040.704800000007</v>
      </c>
      <c r="K14" t="s">
        <v>678</v>
      </c>
    </row>
    <row r="15" spans="1:11" ht="17.25" customHeight="1" x14ac:dyDescent="0.35">
      <c r="A15">
        <v>6</v>
      </c>
      <c r="B15" t="s">
        <v>102</v>
      </c>
      <c r="C15" t="s">
        <v>104</v>
      </c>
      <c r="D15" s="104">
        <v>32193</v>
      </c>
      <c r="E15" s="104">
        <v>29640</v>
      </c>
      <c r="F15" s="96">
        <f t="shared" si="0"/>
        <v>33158.79</v>
      </c>
      <c r="G15" s="96">
        <f t="shared" si="1"/>
        <v>34153.553700000004</v>
      </c>
      <c r="H15" s="96">
        <f t="shared" si="1"/>
        <v>35178.160311000007</v>
      </c>
      <c r="I15" s="96">
        <f t="shared" si="1"/>
        <v>36233.50512033001</v>
      </c>
      <c r="K15" t="s">
        <v>679</v>
      </c>
    </row>
    <row r="16" spans="1:11" ht="17.25" customHeight="1" x14ac:dyDescent="0.35">
      <c r="A16">
        <v>7</v>
      </c>
      <c r="B16" t="s">
        <v>102</v>
      </c>
      <c r="C16" t="s">
        <v>105</v>
      </c>
      <c r="D16" s="119">
        <v>500</v>
      </c>
      <c r="E16" s="119">
        <v>780.97</v>
      </c>
      <c r="F16" s="34">
        <f t="shared" si="0"/>
        <v>515</v>
      </c>
      <c r="G16" s="34">
        <f t="shared" si="1"/>
        <v>530.45000000000005</v>
      </c>
      <c r="H16" s="34">
        <f t="shared" si="1"/>
        <v>546.36350000000004</v>
      </c>
      <c r="I16" s="34">
        <f t="shared" si="1"/>
        <v>562.75440500000002</v>
      </c>
      <c r="K16" t="s">
        <v>680</v>
      </c>
    </row>
    <row r="17" spans="1:11" ht="17.25" customHeight="1" x14ac:dyDescent="0.35">
      <c r="A17">
        <v>8</v>
      </c>
      <c r="B17" t="s">
        <v>102</v>
      </c>
      <c r="C17" t="s">
        <v>106</v>
      </c>
      <c r="D17" s="119">
        <v>8000</v>
      </c>
      <c r="E17" s="119">
        <v>0</v>
      </c>
      <c r="F17" s="34">
        <f t="shared" si="0"/>
        <v>8240</v>
      </c>
      <c r="G17" s="34">
        <f t="shared" si="1"/>
        <v>8487.2000000000007</v>
      </c>
      <c r="H17" s="34">
        <f t="shared" si="1"/>
        <v>8741.8160000000007</v>
      </c>
      <c r="I17" s="34">
        <f t="shared" si="1"/>
        <v>9004.0704800000003</v>
      </c>
    </row>
    <row r="18" spans="1:11" ht="17.25" customHeight="1" x14ac:dyDescent="0.35">
      <c r="A18">
        <v>9</v>
      </c>
      <c r="B18" t="s">
        <v>102</v>
      </c>
      <c r="C18" t="s">
        <v>107</v>
      </c>
      <c r="D18" s="119">
        <v>9878</v>
      </c>
      <c r="E18" s="190">
        <v>6388.23</v>
      </c>
      <c r="F18" s="34">
        <f t="shared" si="0"/>
        <v>10174.34</v>
      </c>
      <c r="G18" s="34">
        <f t="shared" si="1"/>
        <v>10479.5702</v>
      </c>
      <c r="H18" s="34">
        <f t="shared" si="1"/>
        <v>10793.957306</v>
      </c>
      <c r="I18" s="34">
        <f t="shared" si="1"/>
        <v>11117.776025180001</v>
      </c>
      <c r="K18" t="s">
        <v>681</v>
      </c>
    </row>
    <row r="19" spans="1:11" ht="17.25" customHeight="1" x14ac:dyDescent="0.35">
      <c r="A19">
        <v>10</v>
      </c>
      <c r="B19" t="s">
        <v>102</v>
      </c>
      <c r="C19" t="s">
        <v>108</v>
      </c>
      <c r="D19" s="119">
        <v>19000</v>
      </c>
      <c r="E19" s="190">
        <v>18391.07</v>
      </c>
      <c r="F19" s="34">
        <f t="shared" si="0"/>
        <v>19570</v>
      </c>
      <c r="G19" s="34">
        <f t="shared" si="1"/>
        <v>20157.099999999999</v>
      </c>
      <c r="H19" s="34">
        <f t="shared" si="1"/>
        <v>20761.812999999998</v>
      </c>
      <c r="I19" s="34">
        <f t="shared" si="1"/>
        <v>21384.667389999999</v>
      </c>
      <c r="K19" t="s">
        <v>682</v>
      </c>
    </row>
    <row r="20" spans="1:11" ht="17.25" customHeight="1" x14ac:dyDescent="0.35">
      <c r="A20">
        <v>11</v>
      </c>
      <c r="B20" t="s">
        <v>102</v>
      </c>
      <c r="C20" t="s">
        <v>109</v>
      </c>
      <c r="D20" s="119">
        <v>630</v>
      </c>
      <c r="E20" s="119">
        <v>630</v>
      </c>
      <c r="F20" s="34">
        <f t="shared" si="0"/>
        <v>648.9</v>
      </c>
      <c r="G20" s="34">
        <f t="shared" si="1"/>
        <v>668.36699999999996</v>
      </c>
      <c r="H20" s="34">
        <f t="shared" si="1"/>
        <v>688.41800999999998</v>
      </c>
      <c r="I20" s="34">
        <f t="shared" si="1"/>
        <v>709.07055029999992</v>
      </c>
    </row>
    <row r="21" spans="1:11" ht="17.25" customHeight="1" x14ac:dyDescent="0.35">
      <c r="A21">
        <v>12</v>
      </c>
      <c r="B21" t="s">
        <v>110</v>
      </c>
      <c r="C21" t="s">
        <v>111</v>
      </c>
      <c r="D21" s="119"/>
      <c r="E21" s="119"/>
      <c r="F21" s="34">
        <f t="shared" si="0"/>
        <v>0</v>
      </c>
      <c r="G21" s="34">
        <f t="shared" si="1"/>
        <v>0</v>
      </c>
      <c r="H21" s="34">
        <f t="shared" si="1"/>
        <v>0</v>
      </c>
      <c r="I21" s="34">
        <f t="shared" si="1"/>
        <v>0</v>
      </c>
    </row>
    <row r="22" spans="1:11" ht="17.25" customHeight="1" x14ac:dyDescent="0.35">
      <c r="A22">
        <v>13</v>
      </c>
      <c r="B22" t="s">
        <v>110</v>
      </c>
      <c r="C22" t="s">
        <v>218</v>
      </c>
      <c r="D22" s="119">
        <v>44781</v>
      </c>
      <c r="E22" s="128">
        <v>44781</v>
      </c>
      <c r="F22" s="34">
        <f t="shared" si="0"/>
        <v>46124.43</v>
      </c>
      <c r="G22" s="34">
        <f t="shared" si="1"/>
        <v>47508.162900000003</v>
      </c>
      <c r="H22" s="34">
        <f t="shared" si="1"/>
        <v>48933.407787000004</v>
      </c>
      <c r="I22" s="34">
        <f t="shared" si="1"/>
        <v>50401.410020610005</v>
      </c>
      <c r="K22" t="s">
        <v>683</v>
      </c>
    </row>
    <row r="23" spans="1:11" ht="17.25" customHeight="1" x14ac:dyDescent="0.35">
      <c r="A23">
        <v>14</v>
      </c>
      <c r="B23" t="s">
        <v>110</v>
      </c>
      <c r="C23" t="s">
        <v>357</v>
      </c>
      <c r="D23" s="119">
        <v>0</v>
      </c>
      <c r="E23" s="119">
        <v>0</v>
      </c>
      <c r="F23" s="34">
        <f t="shared" si="0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K23" t="s">
        <v>684</v>
      </c>
    </row>
    <row r="24" spans="1:11" ht="17.25" customHeight="1" x14ac:dyDescent="0.35">
      <c r="A24">
        <v>15</v>
      </c>
      <c r="B24" t="s">
        <v>110</v>
      </c>
      <c r="C24" t="s">
        <v>219</v>
      </c>
      <c r="D24" s="119">
        <v>707</v>
      </c>
      <c r="E24" s="128">
        <v>707</v>
      </c>
      <c r="F24" s="34">
        <f t="shared" si="0"/>
        <v>728.21</v>
      </c>
      <c r="G24" s="34">
        <f t="shared" si="1"/>
        <v>750.05630000000008</v>
      </c>
      <c r="H24" s="34">
        <f t="shared" si="1"/>
        <v>772.55798900000013</v>
      </c>
      <c r="I24" s="34">
        <f t="shared" si="1"/>
        <v>795.7347286700001</v>
      </c>
      <c r="K24" t="s">
        <v>685</v>
      </c>
    </row>
    <row r="25" spans="1:11" ht="17.25" customHeight="1" x14ac:dyDescent="0.35">
      <c r="A25">
        <v>16</v>
      </c>
      <c r="B25" t="s">
        <v>110</v>
      </c>
      <c r="C25" t="s">
        <v>230</v>
      </c>
      <c r="D25" s="119">
        <v>1710</v>
      </c>
      <c r="E25" s="128">
        <v>1710</v>
      </c>
      <c r="F25" s="34">
        <f t="shared" si="0"/>
        <v>1761.3</v>
      </c>
      <c r="G25" s="34">
        <f t="shared" si="1"/>
        <v>1814.1389999999999</v>
      </c>
      <c r="H25" s="34">
        <f t="shared" si="1"/>
        <v>1868.5631699999999</v>
      </c>
      <c r="I25" s="34">
        <f t="shared" si="1"/>
        <v>1924.6200650999999</v>
      </c>
      <c r="K25" t="s">
        <v>686</v>
      </c>
    </row>
    <row r="26" spans="1:11" ht="17.25" customHeight="1" x14ac:dyDescent="0.35">
      <c r="A26">
        <v>17</v>
      </c>
      <c r="B26" t="s">
        <v>110</v>
      </c>
      <c r="C26" t="s">
        <v>359</v>
      </c>
      <c r="D26" s="119">
        <v>2638</v>
      </c>
      <c r="E26" s="119">
        <v>2638</v>
      </c>
      <c r="F26" s="34">
        <f t="shared" si="0"/>
        <v>2717.14</v>
      </c>
      <c r="G26" s="34">
        <f t="shared" si="1"/>
        <v>2798.6541999999999</v>
      </c>
      <c r="H26" s="34">
        <f t="shared" si="1"/>
        <v>2882.6138259999998</v>
      </c>
      <c r="I26" s="34">
        <f t="shared" si="1"/>
        <v>2969.0922407799999</v>
      </c>
      <c r="K26" t="s">
        <v>687</v>
      </c>
    </row>
    <row r="27" spans="1:11" ht="17.25" customHeight="1" x14ac:dyDescent="0.35">
      <c r="A27">
        <v>18</v>
      </c>
      <c r="B27" t="s">
        <v>110</v>
      </c>
      <c r="C27" t="s">
        <v>260</v>
      </c>
      <c r="D27" s="119"/>
      <c r="E27" s="119"/>
      <c r="F27" s="34">
        <f t="shared" si="0"/>
        <v>0</v>
      </c>
      <c r="G27" s="34">
        <f t="shared" si="1"/>
        <v>0</v>
      </c>
      <c r="H27" s="34">
        <f t="shared" si="1"/>
        <v>0</v>
      </c>
      <c r="I27" s="34">
        <f t="shared" si="1"/>
        <v>0</v>
      </c>
    </row>
    <row r="28" spans="1:11" ht="17.25" customHeight="1" x14ac:dyDescent="0.35">
      <c r="A28">
        <v>19</v>
      </c>
      <c r="B28" t="s">
        <v>110</v>
      </c>
      <c r="C28" t="s">
        <v>12</v>
      </c>
      <c r="D28" s="119">
        <v>32000</v>
      </c>
      <c r="E28" s="190">
        <v>33553.25</v>
      </c>
      <c r="F28" s="34">
        <f t="shared" si="0"/>
        <v>32960</v>
      </c>
      <c r="G28" s="34">
        <f t="shared" ref="G28:I29" si="2">F28+(F28*0.03)</f>
        <v>33948.800000000003</v>
      </c>
      <c r="H28" s="34">
        <f t="shared" si="2"/>
        <v>34967.264000000003</v>
      </c>
      <c r="I28" s="34">
        <f t="shared" si="2"/>
        <v>36016.281920000001</v>
      </c>
      <c r="K28" t="s">
        <v>688</v>
      </c>
    </row>
    <row r="29" spans="1:11" ht="14.5" x14ac:dyDescent="0.35">
      <c r="A29">
        <v>20</v>
      </c>
      <c r="B29" t="s">
        <v>110</v>
      </c>
      <c r="C29" t="s">
        <v>220</v>
      </c>
      <c r="D29" s="119">
        <v>0</v>
      </c>
      <c r="E29" s="190">
        <v>8737.9599999999991</v>
      </c>
      <c r="F29" s="34">
        <f t="shared" si="0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K29" t="s">
        <v>689</v>
      </c>
    </row>
    <row r="30" spans="1:11" ht="14.5" x14ac:dyDescent="0.35">
      <c r="A30">
        <v>21</v>
      </c>
      <c r="B30" t="s">
        <v>221</v>
      </c>
      <c r="C30" t="s">
        <v>222</v>
      </c>
      <c r="D30" s="119">
        <v>0</v>
      </c>
      <c r="E30" s="190">
        <v>1483.88</v>
      </c>
      <c r="F30" s="34"/>
      <c r="G30" s="34"/>
      <c r="H30" s="34"/>
      <c r="I30" s="34"/>
    </row>
    <row r="31" spans="1:11" ht="17.25" customHeight="1" x14ac:dyDescent="0.35">
      <c r="A31">
        <v>22</v>
      </c>
      <c r="B31" t="s">
        <v>110</v>
      </c>
      <c r="C31" t="s">
        <v>8</v>
      </c>
      <c r="D31" s="119"/>
      <c r="E31" s="190">
        <v>123376.48</v>
      </c>
      <c r="F31" s="34"/>
      <c r="G31" s="34"/>
      <c r="H31" s="34"/>
      <c r="I31" s="34"/>
    </row>
    <row r="32" spans="1:11" ht="17.25" customHeight="1" x14ac:dyDescent="0.35">
      <c r="A32">
        <v>23</v>
      </c>
      <c r="B32" t="s">
        <v>110</v>
      </c>
      <c r="C32" t="s">
        <v>117</v>
      </c>
      <c r="D32" s="119">
        <v>17544</v>
      </c>
      <c r="E32" s="128">
        <v>17544</v>
      </c>
      <c r="F32" s="34"/>
      <c r="G32" s="34"/>
      <c r="H32" s="34"/>
      <c r="I32" s="34"/>
    </row>
    <row r="33" spans="1:15" ht="17.25" customHeight="1" x14ac:dyDescent="0.35">
      <c r="A33">
        <v>24</v>
      </c>
      <c r="B33" t="s">
        <v>110</v>
      </c>
      <c r="C33" t="s">
        <v>118</v>
      </c>
      <c r="D33" s="119">
        <v>81922</v>
      </c>
      <c r="E33" s="119">
        <v>81922</v>
      </c>
      <c r="F33" s="34"/>
      <c r="G33" s="34"/>
      <c r="H33" s="34"/>
      <c r="I33" s="34"/>
    </row>
    <row r="34" spans="1:15" ht="17.25" customHeight="1" x14ac:dyDescent="0.35">
      <c r="A34">
        <v>25</v>
      </c>
      <c r="B34" t="s">
        <v>110</v>
      </c>
      <c r="C34" t="s">
        <v>603</v>
      </c>
      <c r="D34" s="119"/>
      <c r="E34" s="119"/>
      <c r="F34" s="34"/>
      <c r="G34" s="34"/>
      <c r="H34" s="34"/>
      <c r="I34" s="34"/>
    </row>
    <row r="35" spans="1:15" ht="17.25" customHeight="1" x14ac:dyDescent="0.35">
      <c r="A35">
        <v>26</v>
      </c>
      <c r="B35" t="s">
        <v>110</v>
      </c>
      <c r="C35" t="s">
        <v>604</v>
      </c>
      <c r="D35" s="117"/>
      <c r="E35" s="117"/>
      <c r="F35" s="34"/>
      <c r="G35" s="34"/>
      <c r="H35" s="34"/>
      <c r="I35" s="34"/>
    </row>
    <row r="36" spans="1:15" ht="17.25" customHeight="1" x14ac:dyDescent="0.35">
      <c r="A36">
        <v>27</v>
      </c>
      <c r="B36" t="s">
        <v>102</v>
      </c>
      <c r="C36" t="s">
        <v>119</v>
      </c>
      <c r="D36" s="117">
        <v>130000</v>
      </c>
      <c r="E36" s="241">
        <v>176533.81</v>
      </c>
      <c r="F36" s="34">
        <f>D36+(D36*0.03)</f>
        <v>133900</v>
      </c>
      <c r="G36" s="34">
        <f>F36+(F36*0.03)</f>
        <v>137917</v>
      </c>
      <c r="H36" s="34">
        <f>G36+(G36*0.03)</f>
        <v>142054.51</v>
      </c>
      <c r="I36" s="34">
        <f>H36+(H36*0.03)</f>
        <v>146316.1453</v>
      </c>
    </row>
    <row r="37" spans="1:15" ht="17.25" customHeight="1" x14ac:dyDescent="0.35">
      <c r="A37">
        <v>28</v>
      </c>
      <c r="B37" t="s">
        <v>102</v>
      </c>
      <c r="C37" t="s">
        <v>120</v>
      </c>
      <c r="D37" s="117">
        <v>2120944</v>
      </c>
      <c r="E37" s="241">
        <f>E8*E6</f>
        <v>2162230</v>
      </c>
      <c r="F37" s="34">
        <f>F7*F8</f>
        <v>2326919.3499999996</v>
      </c>
      <c r="G37" s="34">
        <f>G7*G8</f>
        <v>2543465.3139999998</v>
      </c>
      <c r="H37" s="34">
        <f>H7*H8</f>
        <v>2770909.8084249999</v>
      </c>
      <c r="I37" s="34">
        <f>I7*I8</f>
        <v>3009711.8537329002</v>
      </c>
    </row>
    <row r="38" spans="1:15" ht="17.25" customHeight="1" thickBot="1" x14ac:dyDescent="0.4">
      <c r="A38">
        <v>29</v>
      </c>
      <c r="B38" t="s">
        <v>102</v>
      </c>
      <c r="C38" t="s">
        <v>121</v>
      </c>
      <c r="D38" s="192">
        <v>35160</v>
      </c>
      <c r="E38" s="1167">
        <v>31963.265457248606</v>
      </c>
      <c r="F38" s="34">
        <f>F6*F7</f>
        <v>58800</v>
      </c>
      <c r="G38" s="34">
        <f>G6*G7</f>
        <v>65000</v>
      </c>
      <c r="H38" s="34">
        <f>H6*H7</f>
        <v>71500</v>
      </c>
      <c r="I38" s="34">
        <f>I6*I7</f>
        <v>78300</v>
      </c>
      <c r="K38" s="125"/>
      <c r="O38" s="48"/>
    </row>
    <row r="39" spans="1:15" ht="17.25" customHeight="1" thickBot="1" x14ac:dyDescent="0.4">
      <c r="B39" s="270"/>
      <c r="C39" s="271" t="s">
        <v>371</v>
      </c>
      <c r="D39" s="272">
        <f>SUM(D10:D38)</f>
        <v>3407816</v>
      </c>
      <c r="E39" s="273">
        <f>SUM(E10:E38)</f>
        <v>3449075.9154572487</v>
      </c>
      <c r="F39" s="269">
        <f>SUM(F11:F37)</f>
        <v>3060117.46</v>
      </c>
      <c r="G39" s="36">
        <f>SUM(G11:G37)</f>
        <v>3238159.3673</v>
      </c>
      <c r="H39" s="36">
        <f>SUM(H11:H37)</f>
        <v>3477444.6833239999</v>
      </c>
      <c r="I39" s="36">
        <f>SUM(I11:I37)</f>
        <v>3728442.7748788702</v>
      </c>
    </row>
    <row r="40" spans="1:15" ht="17.25" customHeight="1" thickBot="1" x14ac:dyDescent="0.4">
      <c r="D40" s="121"/>
      <c r="E40" s="121"/>
      <c r="F40" s="49"/>
      <c r="G40" s="53"/>
      <c r="H40" s="53"/>
      <c r="I40" s="53"/>
    </row>
    <row r="41" spans="1:15" ht="14.5" x14ac:dyDescent="0.35">
      <c r="A41">
        <v>1</v>
      </c>
      <c r="B41" s="494" t="s">
        <v>122</v>
      </c>
      <c r="C41" s="495" t="s">
        <v>123</v>
      </c>
      <c r="D41" s="496">
        <v>1410000</v>
      </c>
      <c r="E41" s="497">
        <f>'23-24 C2 staffing'!F24</f>
        <v>1297000</v>
      </c>
      <c r="F41" s="492">
        <f>D41+(D41*0.03)</f>
        <v>1452300</v>
      </c>
      <c r="G41" s="35">
        <f>F41+(F41*0.04)</f>
        <v>1510392</v>
      </c>
      <c r="H41" s="52">
        <f>G41+(G41*0.04)+220000</f>
        <v>1790807.68</v>
      </c>
      <c r="I41" s="34">
        <f>H41+(H41*0.04)</f>
        <v>1862439.9871999999</v>
      </c>
    </row>
    <row r="42" spans="1:15" ht="14.5" x14ac:dyDescent="0.35">
      <c r="A42">
        <v>2</v>
      </c>
      <c r="B42" s="453" t="s">
        <v>122</v>
      </c>
      <c r="C42" t="s">
        <v>153</v>
      </c>
      <c r="D42" s="117">
        <v>0</v>
      </c>
      <c r="E42" s="498">
        <v>0</v>
      </c>
      <c r="F42" s="492">
        <f>D42+(D42*0.03)</f>
        <v>0</v>
      </c>
      <c r="G42" s="34">
        <f t="shared" ref="G42:I49" si="3">F42+(F42*0.03)</f>
        <v>0</v>
      </c>
      <c r="H42" s="34">
        <f t="shared" si="3"/>
        <v>0</v>
      </c>
      <c r="I42" s="34">
        <f t="shared" si="3"/>
        <v>0</v>
      </c>
    </row>
    <row r="43" spans="1:15" ht="14.5" x14ac:dyDescent="0.35">
      <c r="A43">
        <v>3</v>
      </c>
      <c r="B43" s="453" t="s">
        <v>122</v>
      </c>
      <c r="C43" s="2" t="s">
        <v>154</v>
      </c>
      <c r="D43" s="119">
        <v>47280</v>
      </c>
      <c r="E43" s="499">
        <f>E41*0.04</f>
        <v>51880</v>
      </c>
      <c r="F43" s="492">
        <f>D43+(D43*0.03)</f>
        <v>48698.400000000001</v>
      </c>
      <c r="G43" s="34">
        <f t="shared" si="3"/>
        <v>50159.351999999999</v>
      </c>
      <c r="H43" s="34">
        <f t="shared" si="3"/>
        <v>51664.132559999998</v>
      </c>
      <c r="I43" s="34">
        <f t="shared" si="3"/>
        <v>53214.056536799995</v>
      </c>
    </row>
    <row r="44" spans="1:15" ht="14.5" x14ac:dyDescent="0.35">
      <c r="A44">
        <v>4</v>
      </c>
      <c r="B44" s="453" t="s">
        <v>155</v>
      </c>
      <c r="C44" t="s">
        <v>606</v>
      </c>
      <c r="D44" s="119">
        <v>453944</v>
      </c>
      <c r="E44" s="500" t="e">
        <f>'23-24 C2 staffing'!#REF!</f>
        <v>#REF!</v>
      </c>
      <c r="F44" s="492">
        <v>0</v>
      </c>
      <c r="G44" s="34">
        <v>0</v>
      </c>
      <c r="H44" s="34">
        <v>0</v>
      </c>
      <c r="I44" s="34">
        <v>0</v>
      </c>
      <c r="M44" s="125"/>
    </row>
    <row r="45" spans="1:15" ht="14.5" x14ac:dyDescent="0.35">
      <c r="A45">
        <v>10</v>
      </c>
      <c r="B45" s="453" t="s">
        <v>122</v>
      </c>
      <c r="C45" t="s">
        <v>378</v>
      </c>
      <c r="D45" s="119">
        <v>0</v>
      </c>
      <c r="E45" s="501">
        <f>'23-24 AAL Staffing'!F44</f>
        <v>0</v>
      </c>
      <c r="F45" s="492">
        <f>D45+(D45*0.03)</f>
        <v>0</v>
      </c>
      <c r="G45" s="34">
        <f t="shared" si="3"/>
        <v>0</v>
      </c>
      <c r="H45" s="34">
        <f t="shared" si="3"/>
        <v>0</v>
      </c>
      <c r="I45" s="34">
        <f t="shared" si="3"/>
        <v>0</v>
      </c>
    </row>
    <row r="46" spans="1:15" ht="14.5" x14ac:dyDescent="0.35">
      <c r="A46">
        <v>11</v>
      </c>
      <c r="B46" s="453" t="s">
        <v>155</v>
      </c>
      <c r="C46" t="s">
        <v>607</v>
      </c>
      <c r="D46" s="117">
        <v>0</v>
      </c>
      <c r="E46" s="501" t="e">
        <f>'23-24 AAL Staffing'!#REF!</f>
        <v>#REF!</v>
      </c>
      <c r="F46" s="492">
        <v>0</v>
      </c>
      <c r="G46" s="34">
        <v>0</v>
      </c>
      <c r="H46" s="34">
        <v>0</v>
      </c>
      <c r="I46" s="34">
        <v>0</v>
      </c>
    </row>
    <row r="47" spans="1:15" ht="14.5" x14ac:dyDescent="0.35">
      <c r="A47">
        <v>13</v>
      </c>
      <c r="B47" s="453" t="s">
        <v>122</v>
      </c>
      <c r="C47" t="s">
        <v>164</v>
      </c>
      <c r="D47" s="117">
        <v>255000</v>
      </c>
      <c r="E47" s="499">
        <f>'23-24 C2 staffing'!C35</f>
        <v>360000</v>
      </c>
      <c r="F47" s="492">
        <f>D47+(D47*0.03)</f>
        <v>262650</v>
      </c>
      <c r="G47" s="34">
        <f t="shared" si="3"/>
        <v>270529.5</v>
      </c>
      <c r="H47" s="34">
        <f t="shared" si="3"/>
        <v>278645.38500000001</v>
      </c>
      <c r="I47" s="34">
        <f t="shared" si="3"/>
        <v>287004.74654999998</v>
      </c>
    </row>
    <row r="48" spans="1:15" ht="14.5" x14ac:dyDescent="0.35">
      <c r="A48">
        <v>14</v>
      </c>
      <c r="B48" s="453" t="s">
        <v>122</v>
      </c>
      <c r="C48" t="s">
        <v>165</v>
      </c>
      <c r="D48" s="117">
        <v>0</v>
      </c>
      <c r="E48" s="498">
        <v>0</v>
      </c>
      <c r="F48" s="492">
        <v>0</v>
      </c>
      <c r="G48" s="34">
        <v>0</v>
      </c>
      <c r="H48" s="34">
        <v>0</v>
      </c>
      <c r="I48" s="34">
        <v>0</v>
      </c>
    </row>
    <row r="49" spans="1:12" ht="14.5" x14ac:dyDescent="0.35">
      <c r="A49">
        <v>15</v>
      </c>
      <c r="B49" s="453" t="s">
        <v>122</v>
      </c>
      <c r="C49" t="s">
        <v>166</v>
      </c>
      <c r="D49" s="117">
        <v>10000</v>
      </c>
      <c r="E49" s="506">
        <v>20000</v>
      </c>
      <c r="F49" s="492">
        <f>D49+(D49*0.03)</f>
        <v>10300</v>
      </c>
      <c r="G49" s="34">
        <f t="shared" si="3"/>
        <v>10609</v>
      </c>
      <c r="H49" s="34">
        <f t="shared" si="3"/>
        <v>10927.27</v>
      </c>
      <c r="I49" s="34">
        <f t="shared" si="3"/>
        <v>11255.088100000001</v>
      </c>
    </row>
    <row r="50" spans="1:12" ht="14.5" x14ac:dyDescent="0.35">
      <c r="B50" s="453" t="s">
        <v>155</v>
      </c>
      <c r="C50" t="s">
        <v>608</v>
      </c>
      <c r="D50" s="117">
        <v>58268</v>
      </c>
      <c r="E50" s="506" t="e">
        <f>'23-24 C2 staffing'!#REF!</f>
        <v>#REF!</v>
      </c>
      <c r="F50" s="492"/>
      <c r="G50" s="34"/>
      <c r="H50" s="34"/>
      <c r="I50" s="34"/>
      <c r="L50" s="125"/>
    </row>
    <row r="51" spans="1:12" ht="15" thickBot="1" x14ac:dyDescent="0.4">
      <c r="A51">
        <v>18</v>
      </c>
      <c r="B51" s="502" t="s">
        <v>155</v>
      </c>
      <c r="C51" s="503" t="s">
        <v>121</v>
      </c>
      <c r="D51" s="504">
        <v>35160</v>
      </c>
      <c r="E51" s="507">
        <v>31963</v>
      </c>
      <c r="F51" s="492"/>
      <c r="G51" s="34"/>
      <c r="H51" s="34"/>
      <c r="I51" s="34"/>
    </row>
    <row r="52" spans="1:12" ht="17.25" customHeight="1" x14ac:dyDescent="0.35">
      <c r="A52">
        <v>19</v>
      </c>
      <c r="B52" t="s">
        <v>169</v>
      </c>
      <c r="C52" t="s">
        <v>170</v>
      </c>
      <c r="D52" s="117">
        <v>2000</v>
      </c>
      <c r="E52" s="117">
        <v>2000</v>
      </c>
      <c r="F52" s="34">
        <f>D52+(D52*0.03)</f>
        <v>2060</v>
      </c>
      <c r="G52" s="34">
        <f>F52+(F52*0.03)</f>
        <v>2121.8000000000002</v>
      </c>
      <c r="H52" s="34">
        <f>G52+(G52*0.03)</f>
        <v>2185.4540000000002</v>
      </c>
      <c r="I52" s="34">
        <f>H52+(H52*0.03)</f>
        <v>2251.0176200000001</v>
      </c>
    </row>
    <row r="53" spans="1:12" ht="17.25" customHeight="1" x14ac:dyDescent="0.35">
      <c r="A53">
        <v>20</v>
      </c>
      <c r="B53" t="s">
        <v>169</v>
      </c>
      <c r="C53" t="s">
        <v>171</v>
      </c>
      <c r="D53" s="117"/>
      <c r="E53" s="117"/>
      <c r="F53" s="34"/>
      <c r="G53" s="34"/>
      <c r="H53" s="34"/>
      <c r="I53" s="34"/>
    </row>
    <row r="54" spans="1:12" ht="17.25" customHeight="1" x14ac:dyDescent="0.35">
      <c r="A54">
        <v>21</v>
      </c>
      <c r="B54" t="s">
        <v>172</v>
      </c>
      <c r="C54" t="s">
        <v>173</v>
      </c>
      <c r="D54" s="117"/>
      <c r="E54" s="302">
        <v>12000</v>
      </c>
      <c r="F54" s="34"/>
      <c r="G54" s="34"/>
      <c r="H54" s="34"/>
      <c r="I54" s="34"/>
    </row>
    <row r="55" spans="1:12" ht="17.25" customHeight="1" x14ac:dyDescent="0.35">
      <c r="A55">
        <v>22</v>
      </c>
      <c r="B55" t="s">
        <v>172</v>
      </c>
      <c r="C55" t="s">
        <v>174</v>
      </c>
      <c r="D55" s="117"/>
      <c r="E55" s="117"/>
      <c r="F55" s="34"/>
      <c r="G55" s="34"/>
      <c r="H55" s="34"/>
      <c r="I55" s="34"/>
    </row>
    <row r="56" spans="1:12" ht="17.25" customHeight="1" x14ac:dyDescent="0.35">
      <c r="A56">
        <v>23</v>
      </c>
      <c r="B56" t="s">
        <v>172</v>
      </c>
      <c r="C56" t="s">
        <v>175</v>
      </c>
      <c r="D56" s="117">
        <v>20000</v>
      </c>
      <c r="E56" s="117">
        <v>20000</v>
      </c>
      <c r="F56" s="34">
        <f>D56+(D56*0.03)</f>
        <v>20600</v>
      </c>
      <c r="G56" s="34">
        <f>F56+(F56*0.03)</f>
        <v>21218</v>
      </c>
      <c r="H56" s="34">
        <f>G56+(G56*0.03)</f>
        <v>21854.54</v>
      </c>
      <c r="I56" s="34">
        <f>H56+(H56*0.03)</f>
        <v>22510.176200000002</v>
      </c>
    </row>
    <row r="57" spans="1:12" ht="17.25" customHeight="1" x14ac:dyDescent="0.35">
      <c r="A57">
        <v>24</v>
      </c>
      <c r="B57" t="s">
        <v>172</v>
      </c>
      <c r="C57" t="s">
        <v>176</v>
      </c>
      <c r="D57" s="117"/>
      <c r="E57" s="117"/>
      <c r="F57" s="34"/>
      <c r="G57" s="34"/>
      <c r="H57" s="34"/>
      <c r="I57" s="34"/>
    </row>
    <row r="58" spans="1:12" ht="17.25" customHeight="1" x14ac:dyDescent="0.35">
      <c r="A58">
        <v>25</v>
      </c>
      <c r="B58" t="s">
        <v>172</v>
      </c>
      <c r="C58" s="2" t="s">
        <v>177</v>
      </c>
      <c r="D58" s="117">
        <v>5000</v>
      </c>
      <c r="E58" s="117">
        <v>5000</v>
      </c>
      <c r="F58" s="34">
        <f>D58+(D58*0.03)</f>
        <v>5150</v>
      </c>
      <c r="G58" s="34">
        <f>F58+(F58*0.03)</f>
        <v>5304.5</v>
      </c>
      <c r="H58" s="34">
        <f>G58+(G58*0.03)</f>
        <v>5463.6350000000002</v>
      </c>
      <c r="I58" s="34">
        <f>H58+(H58*0.03)</f>
        <v>5627.5440500000004</v>
      </c>
    </row>
    <row r="59" spans="1:12" ht="17.25" customHeight="1" x14ac:dyDescent="0.35">
      <c r="A59">
        <v>26</v>
      </c>
      <c r="B59" t="s">
        <v>172</v>
      </c>
      <c r="C59" s="2" t="s">
        <v>178</v>
      </c>
      <c r="D59" s="117"/>
      <c r="E59" s="117"/>
      <c r="F59" s="34"/>
      <c r="G59" s="34"/>
      <c r="H59" s="34"/>
      <c r="I59" s="34"/>
    </row>
    <row r="60" spans="1:12" ht="17.25" customHeight="1" x14ac:dyDescent="0.35">
      <c r="A60">
        <v>27</v>
      </c>
      <c r="B60" t="s">
        <v>172</v>
      </c>
      <c r="C60" t="s">
        <v>179</v>
      </c>
      <c r="D60" s="117"/>
      <c r="E60" s="117"/>
      <c r="F60" s="34"/>
      <c r="G60" s="34"/>
      <c r="H60" s="34"/>
      <c r="I60" s="34"/>
    </row>
    <row r="61" spans="1:12" ht="17.25" customHeight="1" x14ac:dyDescent="0.35">
      <c r="A61">
        <v>28</v>
      </c>
      <c r="B61" t="s">
        <v>172</v>
      </c>
      <c r="C61" t="s">
        <v>180</v>
      </c>
      <c r="D61" s="117"/>
      <c r="E61" s="117"/>
      <c r="F61" s="34"/>
      <c r="G61" s="34"/>
      <c r="H61" s="34"/>
      <c r="I61" s="34"/>
    </row>
    <row r="62" spans="1:12" ht="17.25" customHeight="1" x14ac:dyDescent="0.35">
      <c r="A62">
        <v>29</v>
      </c>
      <c r="B62" t="s">
        <v>181</v>
      </c>
      <c r="C62" t="s">
        <v>182</v>
      </c>
      <c r="D62" s="117"/>
      <c r="E62" s="117"/>
      <c r="F62" s="34"/>
      <c r="G62" s="34"/>
      <c r="H62" s="34"/>
      <c r="I62" s="34"/>
    </row>
    <row r="63" spans="1:12" ht="17.25" customHeight="1" x14ac:dyDescent="0.35">
      <c r="A63">
        <v>30</v>
      </c>
      <c r="B63" t="s">
        <v>181</v>
      </c>
      <c r="C63" t="s">
        <v>226</v>
      </c>
      <c r="D63" s="117">
        <v>15000</v>
      </c>
      <c r="E63" s="117">
        <v>15000</v>
      </c>
      <c r="F63" s="34">
        <f>D63+(D63*0.03)</f>
        <v>15450</v>
      </c>
      <c r="G63" s="34">
        <f>F63+(F63*0.03)</f>
        <v>15913.5</v>
      </c>
      <c r="H63" s="34">
        <f>G63+(G63*0.03)</f>
        <v>16390.904999999999</v>
      </c>
      <c r="I63" s="34">
        <f>H63+(H63*0.03)</f>
        <v>16882.632149999998</v>
      </c>
    </row>
    <row r="64" spans="1:12" ht="17.25" customHeight="1" x14ac:dyDescent="0.35">
      <c r="A64">
        <v>31</v>
      </c>
      <c r="B64" t="s">
        <v>181</v>
      </c>
      <c r="C64" t="s">
        <v>184</v>
      </c>
      <c r="D64" s="117"/>
      <c r="E64" s="117"/>
      <c r="F64" s="34"/>
      <c r="G64" s="34"/>
      <c r="H64" s="34"/>
      <c r="I64" s="34"/>
    </row>
    <row r="65" spans="1:11" ht="17.25" customHeight="1" x14ac:dyDescent="0.35">
      <c r="A65">
        <v>32</v>
      </c>
      <c r="B65" t="s">
        <v>181</v>
      </c>
      <c r="C65" t="s">
        <v>185</v>
      </c>
      <c r="D65" s="117">
        <v>30000</v>
      </c>
      <c r="E65" s="117">
        <v>30000</v>
      </c>
      <c r="F65" s="34">
        <f t="shared" ref="F65:F72" si="4">D65+(D65*0.03)</f>
        <v>30900</v>
      </c>
      <c r="G65" s="34">
        <f t="shared" ref="G65:I72" si="5">F65+(F65*0.03)</f>
        <v>31827</v>
      </c>
      <c r="H65" s="34">
        <f t="shared" si="5"/>
        <v>32781.81</v>
      </c>
      <c r="I65" s="34">
        <f t="shared" si="5"/>
        <v>33765.264299999995</v>
      </c>
    </row>
    <row r="66" spans="1:11" ht="17.25" customHeight="1" x14ac:dyDescent="0.35">
      <c r="A66">
        <v>33</v>
      </c>
      <c r="B66" t="s">
        <v>181</v>
      </c>
      <c r="C66" t="s">
        <v>186</v>
      </c>
      <c r="D66" s="117">
        <v>5000</v>
      </c>
      <c r="E66" s="117">
        <v>5000</v>
      </c>
      <c r="F66" s="34">
        <f t="shared" si="4"/>
        <v>5150</v>
      </c>
      <c r="G66" s="34">
        <f t="shared" si="5"/>
        <v>5304.5</v>
      </c>
      <c r="H66" s="34">
        <f t="shared" si="5"/>
        <v>5463.6350000000002</v>
      </c>
      <c r="I66" s="34">
        <f t="shared" si="5"/>
        <v>5627.5440500000004</v>
      </c>
    </row>
    <row r="67" spans="1:11" ht="17.25" customHeight="1" x14ac:dyDescent="0.35">
      <c r="A67">
        <v>34</v>
      </c>
      <c r="B67" t="s">
        <v>181</v>
      </c>
      <c r="C67" t="s">
        <v>187</v>
      </c>
      <c r="D67" s="117">
        <v>3000</v>
      </c>
      <c r="E67" s="117">
        <v>3000</v>
      </c>
      <c r="F67" s="34">
        <f t="shared" si="4"/>
        <v>3090</v>
      </c>
      <c r="G67" s="34">
        <f t="shared" si="5"/>
        <v>3182.7</v>
      </c>
      <c r="H67" s="34">
        <f t="shared" si="5"/>
        <v>3278.1809999999996</v>
      </c>
      <c r="I67" s="34">
        <f t="shared" si="5"/>
        <v>3376.5264299999994</v>
      </c>
    </row>
    <row r="68" spans="1:11" ht="17.25" customHeight="1" x14ac:dyDescent="0.35">
      <c r="A68">
        <v>35</v>
      </c>
      <c r="B68" t="s">
        <v>181</v>
      </c>
      <c r="C68" t="s">
        <v>188</v>
      </c>
      <c r="D68" s="117">
        <v>5000</v>
      </c>
      <c r="E68" s="117">
        <v>5000</v>
      </c>
      <c r="F68" s="34">
        <f t="shared" si="4"/>
        <v>5150</v>
      </c>
      <c r="G68" s="34">
        <f t="shared" si="5"/>
        <v>5304.5</v>
      </c>
      <c r="H68" s="34">
        <f t="shared" si="5"/>
        <v>5463.6350000000002</v>
      </c>
      <c r="I68" s="34">
        <f t="shared" si="5"/>
        <v>5627.5440500000004</v>
      </c>
    </row>
    <row r="69" spans="1:11" ht="17.25" customHeight="1" x14ac:dyDescent="0.35">
      <c r="A69">
        <v>36</v>
      </c>
      <c r="B69" t="s">
        <v>181</v>
      </c>
      <c r="C69" t="s">
        <v>189</v>
      </c>
      <c r="D69" s="117">
        <v>8000</v>
      </c>
      <c r="E69" s="117">
        <v>8000</v>
      </c>
      <c r="F69" s="34">
        <f t="shared" si="4"/>
        <v>8240</v>
      </c>
      <c r="G69" s="34">
        <f t="shared" si="5"/>
        <v>8487.2000000000007</v>
      </c>
      <c r="H69" s="34">
        <f t="shared" si="5"/>
        <v>8741.8160000000007</v>
      </c>
      <c r="I69" s="34">
        <f t="shared" si="5"/>
        <v>9004.0704800000003</v>
      </c>
    </row>
    <row r="70" spans="1:11" ht="17.25" customHeight="1" x14ac:dyDescent="0.35">
      <c r="A70">
        <v>37</v>
      </c>
      <c r="B70" t="s">
        <v>181</v>
      </c>
      <c r="C70" t="s">
        <v>190</v>
      </c>
      <c r="D70" s="117">
        <v>8000</v>
      </c>
      <c r="E70" s="117">
        <v>8000</v>
      </c>
      <c r="F70" s="34">
        <f t="shared" si="4"/>
        <v>8240</v>
      </c>
      <c r="G70" s="34">
        <f t="shared" si="5"/>
        <v>8487.2000000000007</v>
      </c>
      <c r="H70" s="34">
        <f t="shared" si="5"/>
        <v>8741.8160000000007</v>
      </c>
      <c r="I70" s="34">
        <f t="shared" si="5"/>
        <v>9004.0704800000003</v>
      </c>
    </row>
    <row r="71" spans="1:11" ht="17.25" customHeight="1" x14ac:dyDescent="0.35">
      <c r="A71">
        <v>38</v>
      </c>
      <c r="B71" t="s">
        <v>181</v>
      </c>
      <c r="C71" t="s">
        <v>191</v>
      </c>
      <c r="D71" s="117">
        <v>15000</v>
      </c>
      <c r="E71" s="117">
        <v>15000</v>
      </c>
      <c r="F71" s="34">
        <f t="shared" si="4"/>
        <v>15450</v>
      </c>
      <c r="G71" s="34">
        <f t="shared" si="5"/>
        <v>15913.5</v>
      </c>
      <c r="H71" s="34">
        <f t="shared" si="5"/>
        <v>16390.904999999999</v>
      </c>
      <c r="I71" s="34">
        <f t="shared" si="5"/>
        <v>16882.632149999998</v>
      </c>
    </row>
    <row r="72" spans="1:11" ht="17.25" customHeight="1" x14ac:dyDescent="0.35">
      <c r="A72">
        <v>39</v>
      </c>
      <c r="B72" t="s">
        <v>181</v>
      </c>
      <c r="C72" t="s">
        <v>192</v>
      </c>
      <c r="D72" s="117">
        <v>53780</v>
      </c>
      <c r="E72" s="117">
        <v>53780</v>
      </c>
      <c r="F72" s="34">
        <f t="shared" si="4"/>
        <v>55393.4</v>
      </c>
      <c r="G72" s="34">
        <f t="shared" si="5"/>
        <v>57055.202000000005</v>
      </c>
      <c r="H72" s="34">
        <f t="shared" si="5"/>
        <v>58766.858060000006</v>
      </c>
      <c r="I72" s="34">
        <f t="shared" si="5"/>
        <v>60529.863801800006</v>
      </c>
    </row>
    <row r="73" spans="1:11" ht="17.25" customHeight="1" x14ac:dyDescent="0.35">
      <c r="A73">
        <v>40</v>
      </c>
      <c r="B73" t="s">
        <v>181</v>
      </c>
      <c r="C73" t="s">
        <v>193</v>
      </c>
      <c r="D73" s="117"/>
      <c r="E73" s="117"/>
      <c r="F73" s="34"/>
      <c r="G73" s="34"/>
      <c r="H73" s="34"/>
      <c r="I73" s="34"/>
    </row>
    <row r="74" spans="1:11" ht="17.25" customHeight="1" x14ac:dyDescent="0.35">
      <c r="A74">
        <v>41</v>
      </c>
      <c r="B74" t="s">
        <v>181</v>
      </c>
      <c r="C74" t="s">
        <v>194</v>
      </c>
      <c r="D74" s="117"/>
      <c r="E74" s="117"/>
      <c r="F74" s="34"/>
      <c r="G74" s="34"/>
      <c r="H74" s="34"/>
      <c r="I74" s="34"/>
    </row>
    <row r="75" spans="1:11" ht="17.25" customHeight="1" x14ac:dyDescent="0.35">
      <c r="A75">
        <v>42</v>
      </c>
      <c r="B75" t="s">
        <v>169</v>
      </c>
      <c r="C75" t="s">
        <v>195</v>
      </c>
      <c r="D75" s="117">
        <v>10000</v>
      </c>
      <c r="E75" s="117">
        <v>10000</v>
      </c>
      <c r="F75" s="34">
        <f>D75+(D75*0.03)</f>
        <v>10300</v>
      </c>
      <c r="G75" s="34">
        <f>F75+(F75*0.03)</f>
        <v>10609</v>
      </c>
      <c r="H75" s="34">
        <f>G75+(G75*0.03)</f>
        <v>10927.27</v>
      </c>
      <c r="I75" s="34">
        <f>H75+(H75*0.03)</f>
        <v>11255.088100000001</v>
      </c>
    </row>
    <row r="76" spans="1:11" ht="17.25" customHeight="1" x14ac:dyDescent="0.35">
      <c r="A76">
        <v>43</v>
      </c>
      <c r="B76" t="s">
        <v>169</v>
      </c>
      <c r="C76" t="s">
        <v>196</v>
      </c>
      <c r="D76" s="117"/>
      <c r="E76" s="117"/>
      <c r="F76" s="34"/>
      <c r="G76" s="34"/>
      <c r="H76" s="34"/>
      <c r="I76" s="34"/>
    </row>
    <row r="77" spans="1:11" ht="17.25" customHeight="1" x14ac:dyDescent="0.35">
      <c r="A77">
        <v>44</v>
      </c>
      <c r="B77" t="s">
        <v>169</v>
      </c>
      <c r="C77" t="s">
        <v>197</v>
      </c>
      <c r="D77" s="117"/>
      <c r="E77" s="117"/>
      <c r="F77" s="34"/>
      <c r="G77" s="34"/>
      <c r="H77" s="34"/>
      <c r="I77" s="34"/>
    </row>
    <row r="78" spans="1:11" ht="17.25" customHeight="1" x14ac:dyDescent="0.35">
      <c r="A78">
        <v>45</v>
      </c>
      <c r="B78" t="s">
        <v>169</v>
      </c>
      <c r="C78" t="s">
        <v>198</v>
      </c>
      <c r="D78" s="117">
        <v>20000</v>
      </c>
      <c r="E78" s="190">
        <v>20046.310000000001</v>
      </c>
      <c r="F78" s="34">
        <f>D78+(D78*0.03)</f>
        <v>20600</v>
      </c>
      <c r="G78" s="34">
        <f>F78+(F78*0.03)</f>
        <v>21218</v>
      </c>
      <c r="H78" s="34">
        <f>G78+(G78*0.03)</f>
        <v>21854.54</v>
      </c>
      <c r="I78" s="34">
        <f>H78+(H78*0.03)</f>
        <v>22510.176200000002</v>
      </c>
    </row>
    <row r="79" spans="1:11" ht="17.25" customHeight="1" x14ac:dyDescent="0.35">
      <c r="A79">
        <v>46</v>
      </c>
      <c r="B79" t="s">
        <v>199</v>
      </c>
      <c r="C79" t="s">
        <v>200</v>
      </c>
      <c r="D79" s="117"/>
      <c r="E79" s="190">
        <v>60138.94</v>
      </c>
      <c r="F79" s="34"/>
      <c r="G79" s="34"/>
      <c r="H79" s="34"/>
      <c r="I79" s="34"/>
    </row>
    <row r="80" spans="1:11" ht="17.25" customHeight="1" x14ac:dyDescent="0.35">
      <c r="A80">
        <v>47</v>
      </c>
      <c r="B80" s="312" t="s">
        <v>199</v>
      </c>
      <c r="C80" s="312" t="s">
        <v>202</v>
      </c>
      <c r="D80" s="117"/>
      <c r="E80" s="302">
        <f>K80*(E37+E36)</f>
        <v>140325.82860000001</v>
      </c>
      <c r="F80" s="27"/>
      <c r="G80" s="45"/>
      <c r="H80" s="45"/>
      <c r="I80" s="45"/>
      <c r="K80" s="22">
        <v>0.06</v>
      </c>
    </row>
    <row r="81" spans="1:9" ht="17.25" customHeight="1" x14ac:dyDescent="0.35">
      <c r="A81">
        <v>48</v>
      </c>
      <c r="B81" t="s">
        <v>199</v>
      </c>
      <c r="C81" t="s">
        <v>203</v>
      </c>
      <c r="D81" s="117"/>
      <c r="E81" s="117"/>
      <c r="F81" s="34"/>
      <c r="G81" s="34"/>
      <c r="H81" s="34"/>
      <c r="I81" s="34"/>
    </row>
    <row r="82" spans="1:9" ht="17.25" customHeight="1" x14ac:dyDescent="0.35">
      <c r="A82">
        <v>49</v>
      </c>
      <c r="B82" t="s">
        <v>199</v>
      </c>
      <c r="C82" t="s">
        <v>204</v>
      </c>
      <c r="D82" s="117"/>
      <c r="E82" s="117"/>
      <c r="F82" s="34"/>
      <c r="G82" s="34"/>
      <c r="H82" s="34"/>
      <c r="I82" s="34"/>
    </row>
    <row r="83" spans="1:9" ht="17.25" customHeight="1" x14ac:dyDescent="0.35">
      <c r="A83">
        <v>50</v>
      </c>
      <c r="B83" t="s">
        <v>199</v>
      </c>
      <c r="C83" t="s">
        <v>205</v>
      </c>
      <c r="D83" s="117">
        <v>40000</v>
      </c>
      <c r="E83" s="117">
        <v>40000</v>
      </c>
      <c r="F83" s="34">
        <f>D83+(D83*0.03)</f>
        <v>41200</v>
      </c>
      <c r="G83" s="34">
        <f t="shared" ref="G83:I84" si="6">F83+(F83*0.03)</f>
        <v>42436</v>
      </c>
      <c r="H83" s="34">
        <f t="shared" si="6"/>
        <v>43709.08</v>
      </c>
      <c r="I83" s="34">
        <f t="shared" si="6"/>
        <v>45020.352400000003</v>
      </c>
    </row>
    <row r="84" spans="1:9" ht="17.25" customHeight="1" x14ac:dyDescent="0.35">
      <c r="A84">
        <v>51</v>
      </c>
      <c r="B84" t="s">
        <v>199</v>
      </c>
      <c r="C84" t="s">
        <v>206</v>
      </c>
      <c r="D84" s="117">
        <v>10000</v>
      </c>
      <c r="E84" s="117">
        <v>10000</v>
      </c>
      <c r="F84" s="34">
        <f>D84+(D84*0.03)</f>
        <v>10300</v>
      </c>
      <c r="G84" s="34">
        <f t="shared" si="6"/>
        <v>10609</v>
      </c>
      <c r="H84" s="34">
        <f t="shared" si="6"/>
        <v>10927.27</v>
      </c>
      <c r="I84" s="34">
        <f t="shared" si="6"/>
        <v>11255.088100000001</v>
      </c>
    </row>
    <row r="85" spans="1:9" ht="17.25" customHeight="1" x14ac:dyDescent="0.35">
      <c r="A85">
        <v>52</v>
      </c>
      <c r="B85" t="s">
        <v>199</v>
      </c>
      <c r="C85" t="s">
        <v>227</v>
      </c>
      <c r="D85" s="117"/>
      <c r="E85" s="117"/>
      <c r="F85" s="34"/>
      <c r="G85" s="34"/>
      <c r="H85" s="34"/>
      <c r="I85" s="34"/>
    </row>
    <row r="86" spans="1:9" ht="17.25" customHeight="1" x14ac:dyDescent="0.35">
      <c r="A86">
        <v>53</v>
      </c>
      <c r="B86" t="s">
        <v>199</v>
      </c>
      <c r="C86" t="s">
        <v>208</v>
      </c>
      <c r="D86" s="117"/>
      <c r="E86" s="117"/>
      <c r="F86" s="34"/>
      <c r="G86" s="34"/>
      <c r="H86" s="34"/>
      <c r="I86" s="34"/>
    </row>
    <row r="87" spans="1:9" ht="17.25" customHeight="1" x14ac:dyDescent="0.35">
      <c r="A87">
        <v>54</v>
      </c>
      <c r="B87" t="s">
        <v>199</v>
      </c>
      <c r="C87" t="s">
        <v>209</v>
      </c>
      <c r="D87" s="117"/>
      <c r="E87" s="117"/>
      <c r="F87" s="34"/>
      <c r="G87" s="34"/>
      <c r="H87" s="34"/>
      <c r="I87" s="34"/>
    </row>
    <row r="88" spans="1:9" ht="17.25" customHeight="1" x14ac:dyDescent="0.35">
      <c r="A88">
        <v>55</v>
      </c>
      <c r="B88" t="s">
        <v>199</v>
      </c>
      <c r="C88" t="s">
        <v>210</v>
      </c>
      <c r="D88" s="117"/>
      <c r="E88" s="117"/>
      <c r="F88" s="34"/>
      <c r="G88" s="34"/>
      <c r="H88" s="34"/>
      <c r="I88" s="34"/>
    </row>
    <row r="89" spans="1:9" ht="17.25" customHeight="1" x14ac:dyDescent="0.35">
      <c r="A89">
        <v>56</v>
      </c>
      <c r="B89" t="s">
        <v>199</v>
      </c>
      <c r="C89" t="s">
        <v>211</v>
      </c>
      <c r="D89" s="117"/>
      <c r="E89" s="117"/>
      <c r="F89" s="34"/>
      <c r="G89" s="34"/>
      <c r="H89" s="34"/>
      <c r="I89" s="34"/>
    </row>
    <row r="90" spans="1:9" ht="17.25" customHeight="1" x14ac:dyDescent="0.35">
      <c r="A90">
        <v>57</v>
      </c>
      <c r="B90" t="s">
        <v>199</v>
      </c>
      <c r="C90" t="s">
        <v>212</v>
      </c>
      <c r="D90" s="117"/>
      <c r="E90" s="117"/>
      <c r="F90" s="34"/>
      <c r="G90" s="34"/>
      <c r="H90" s="34"/>
      <c r="I90" s="34"/>
    </row>
    <row r="91" spans="1:9" ht="17.25" customHeight="1" x14ac:dyDescent="0.35">
      <c r="A91">
        <v>58</v>
      </c>
      <c r="B91" t="s">
        <v>199</v>
      </c>
      <c r="C91" t="s">
        <v>213</v>
      </c>
      <c r="D91" s="117"/>
      <c r="E91" s="117"/>
      <c r="F91" s="34"/>
      <c r="G91" s="34"/>
      <c r="H91" s="34"/>
      <c r="I91" s="34"/>
    </row>
    <row r="92" spans="1:9" ht="17.25" customHeight="1" x14ac:dyDescent="0.35">
      <c r="A92">
        <v>59</v>
      </c>
      <c r="B92" t="s">
        <v>199</v>
      </c>
      <c r="C92" t="s">
        <v>214</v>
      </c>
      <c r="D92" s="117"/>
      <c r="E92" s="117"/>
      <c r="F92" s="34"/>
      <c r="G92" s="34"/>
      <c r="H92" s="34"/>
      <c r="I92" s="34"/>
    </row>
    <row r="93" spans="1:9" ht="17.25" customHeight="1" x14ac:dyDescent="0.35">
      <c r="A93">
        <v>60</v>
      </c>
      <c r="B93" t="s">
        <v>124</v>
      </c>
      <c r="C93" t="s">
        <v>125</v>
      </c>
      <c r="D93" s="117"/>
      <c r="E93" s="117"/>
      <c r="F93" s="34"/>
      <c r="G93" s="34"/>
      <c r="H93" s="34"/>
      <c r="I93" s="34"/>
    </row>
    <row r="94" spans="1:9" ht="17.25" customHeight="1" x14ac:dyDescent="0.35">
      <c r="A94">
        <v>61</v>
      </c>
      <c r="B94" t="s">
        <v>124</v>
      </c>
      <c r="C94" t="s">
        <v>67</v>
      </c>
      <c r="D94" s="117">
        <v>10000</v>
      </c>
      <c r="E94" s="117">
        <v>10000</v>
      </c>
      <c r="F94" s="34">
        <f>D94+(D94*0.03)</f>
        <v>10300</v>
      </c>
      <c r="G94" s="34">
        <f t="shared" ref="G94:I98" si="7">F94+(F94*0.03)</f>
        <v>10609</v>
      </c>
      <c r="H94" s="34">
        <f t="shared" si="7"/>
        <v>10927.27</v>
      </c>
      <c r="I94" s="34">
        <f t="shared" si="7"/>
        <v>11255.088100000001</v>
      </c>
    </row>
    <row r="95" spans="1:9" ht="17.25" customHeight="1" x14ac:dyDescent="0.35">
      <c r="A95">
        <v>62</v>
      </c>
      <c r="B95" t="s">
        <v>124</v>
      </c>
      <c r="C95" t="s">
        <v>128</v>
      </c>
      <c r="D95" s="119">
        <v>60000</v>
      </c>
      <c r="E95" s="119">
        <v>60000</v>
      </c>
      <c r="F95" s="34">
        <f>D95+(D95*0.03)</f>
        <v>61800</v>
      </c>
      <c r="G95" s="34">
        <f t="shared" si="7"/>
        <v>63654</v>
      </c>
      <c r="H95" s="34">
        <f t="shared" si="7"/>
        <v>65563.62</v>
      </c>
      <c r="I95" s="34">
        <f t="shared" si="7"/>
        <v>67530.528599999991</v>
      </c>
    </row>
    <row r="96" spans="1:9" ht="17.25" customHeight="1" x14ac:dyDescent="0.35">
      <c r="A96">
        <v>63</v>
      </c>
      <c r="B96" t="s">
        <v>124</v>
      </c>
      <c r="C96" t="s">
        <v>129</v>
      </c>
      <c r="D96" s="117">
        <v>10000</v>
      </c>
      <c r="E96" s="117">
        <v>10000</v>
      </c>
      <c r="F96" s="34">
        <f>D96+(D96*0.03)</f>
        <v>10300</v>
      </c>
      <c r="G96" s="34">
        <f t="shared" si="7"/>
        <v>10609</v>
      </c>
      <c r="H96" s="34">
        <f t="shared" si="7"/>
        <v>10927.27</v>
      </c>
      <c r="I96" s="34">
        <f t="shared" si="7"/>
        <v>11255.088100000001</v>
      </c>
    </row>
    <row r="97" spans="1:9" ht="17.25" customHeight="1" x14ac:dyDescent="0.35">
      <c r="A97">
        <v>64</v>
      </c>
      <c r="B97" t="s">
        <v>124</v>
      </c>
      <c r="C97" t="s">
        <v>130</v>
      </c>
      <c r="D97" s="117">
        <v>36500</v>
      </c>
      <c r="E97" s="117">
        <v>36500</v>
      </c>
      <c r="F97" s="34">
        <f>D97+(D97*0.03)</f>
        <v>37595</v>
      </c>
      <c r="G97" s="34">
        <f t="shared" si="7"/>
        <v>38722.85</v>
      </c>
      <c r="H97" s="34">
        <f t="shared" si="7"/>
        <v>39884.535499999998</v>
      </c>
      <c r="I97" s="34">
        <f t="shared" si="7"/>
        <v>41081.071564999998</v>
      </c>
    </row>
    <row r="98" spans="1:9" ht="17.25" customHeight="1" x14ac:dyDescent="0.35">
      <c r="A98">
        <v>65</v>
      </c>
      <c r="B98" t="s">
        <v>124</v>
      </c>
      <c r="C98" t="s">
        <v>131</v>
      </c>
      <c r="D98" s="117">
        <v>2100</v>
      </c>
      <c r="E98" s="117">
        <v>2100</v>
      </c>
      <c r="F98" s="34">
        <f>D98+(D98*0.03)</f>
        <v>2163</v>
      </c>
      <c r="G98" s="34">
        <f t="shared" si="7"/>
        <v>2227.89</v>
      </c>
      <c r="H98" s="34">
        <f t="shared" si="7"/>
        <v>2294.7266999999997</v>
      </c>
      <c r="I98" s="34">
        <f t="shared" si="7"/>
        <v>2363.5685009999997</v>
      </c>
    </row>
    <row r="99" spans="1:9" ht="17.25" customHeight="1" x14ac:dyDescent="0.35">
      <c r="A99">
        <v>66</v>
      </c>
      <c r="B99" t="s">
        <v>124</v>
      </c>
      <c r="C99" t="s">
        <v>132</v>
      </c>
      <c r="D99" s="117"/>
      <c r="E99" s="117"/>
      <c r="F99" s="34"/>
      <c r="G99" s="34"/>
      <c r="H99" s="34"/>
      <c r="I99" s="34"/>
    </row>
    <row r="100" spans="1:9" ht="17.25" customHeight="1" x14ac:dyDescent="0.35">
      <c r="A100">
        <v>67</v>
      </c>
      <c r="B100" t="s">
        <v>124</v>
      </c>
      <c r="C100" t="s">
        <v>41</v>
      </c>
      <c r="D100" s="117">
        <v>5000</v>
      </c>
      <c r="E100" s="190">
        <v>8700</v>
      </c>
      <c r="F100" s="34">
        <f>D100+(D100*0.03)</f>
        <v>5150</v>
      </c>
      <c r="G100" s="34">
        <f t="shared" ref="G100:I115" si="8">F100+(F100*0.03)</f>
        <v>5304.5</v>
      </c>
      <c r="H100" s="34">
        <f t="shared" si="8"/>
        <v>5463.6350000000002</v>
      </c>
      <c r="I100" s="34">
        <f t="shared" si="8"/>
        <v>5627.5440500000004</v>
      </c>
    </row>
    <row r="101" spans="1:9" ht="17.25" customHeight="1" x14ac:dyDescent="0.35">
      <c r="A101">
        <v>68</v>
      </c>
      <c r="B101" t="s">
        <v>124</v>
      </c>
      <c r="C101" t="s">
        <v>133</v>
      </c>
      <c r="D101" s="117"/>
      <c r="E101" s="117"/>
      <c r="F101" s="34"/>
      <c r="G101" s="34"/>
      <c r="H101" s="34"/>
      <c r="I101" s="34"/>
    </row>
    <row r="102" spans="1:9" ht="17.25" customHeight="1" x14ac:dyDescent="0.35">
      <c r="A102">
        <v>69</v>
      </c>
      <c r="B102" t="s">
        <v>124</v>
      </c>
      <c r="C102" t="s">
        <v>134</v>
      </c>
      <c r="D102" s="117"/>
      <c r="E102" s="117"/>
      <c r="F102" s="34"/>
      <c r="G102" s="34"/>
      <c r="H102" s="34"/>
      <c r="I102" s="34"/>
    </row>
    <row r="103" spans="1:9" ht="17.25" customHeight="1" x14ac:dyDescent="0.35">
      <c r="A103">
        <v>70</v>
      </c>
      <c r="B103" t="s">
        <v>124</v>
      </c>
      <c r="C103" t="s">
        <v>135</v>
      </c>
      <c r="D103" s="117">
        <v>1550</v>
      </c>
      <c r="E103" s="117">
        <v>1550</v>
      </c>
      <c r="F103" s="34">
        <f>D103+(D103*0.03)</f>
        <v>1596.5</v>
      </c>
      <c r="G103" s="34">
        <f t="shared" si="8"/>
        <v>1644.395</v>
      </c>
      <c r="H103" s="34">
        <f t="shared" si="8"/>
        <v>1693.72685</v>
      </c>
      <c r="I103" s="34">
        <f t="shared" si="8"/>
        <v>1744.5386555</v>
      </c>
    </row>
    <row r="104" spans="1:9" ht="17.25" customHeight="1" x14ac:dyDescent="0.35">
      <c r="A104">
        <v>71</v>
      </c>
      <c r="B104" t="s">
        <v>124</v>
      </c>
      <c r="C104" t="s">
        <v>136</v>
      </c>
      <c r="D104" s="117">
        <v>20000</v>
      </c>
      <c r="E104" s="117">
        <v>20000</v>
      </c>
      <c r="F104" s="34">
        <f>D104+(D104*0.03)</f>
        <v>20600</v>
      </c>
      <c r="G104" s="34">
        <f t="shared" si="8"/>
        <v>21218</v>
      </c>
      <c r="H104" s="34">
        <f t="shared" si="8"/>
        <v>21854.54</v>
      </c>
      <c r="I104" s="34">
        <f t="shared" si="8"/>
        <v>22510.176200000002</v>
      </c>
    </row>
    <row r="105" spans="1:9" ht="17.25" customHeight="1" x14ac:dyDescent="0.35">
      <c r="A105">
        <v>72</v>
      </c>
      <c r="B105" t="s">
        <v>124</v>
      </c>
      <c r="C105" t="s">
        <v>124</v>
      </c>
      <c r="D105" s="117"/>
      <c r="E105" s="117"/>
      <c r="F105" s="34">
        <f>D105+(D105*0.03)</f>
        <v>0</v>
      </c>
      <c r="G105" s="34">
        <f t="shared" si="8"/>
        <v>0</v>
      </c>
      <c r="H105" s="34">
        <f t="shared" si="8"/>
        <v>0</v>
      </c>
      <c r="I105" s="34">
        <f t="shared" si="8"/>
        <v>0</v>
      </c>
    </row>
    <row r="106" spans="1:9" ht="17.25" customHeight="1" x14ac:dyDescent="0.35">
      <c r="A106">
        <v>73</v>
      </c>
      <c r="B106" t="s">
        <v>137</v>
      </c>
      <c r="C106" t="s">
        <v>138</v>
      </c>
      <c r="D106" s="117">
        <v>28000</v>
      </c>
      <c r="E106" s="117">
        <v>28000</v>
      </c>
      <c r="F106" s="34">
        <f>D106+(D106*0.03)</f>
        <v>28840</v>
      </c>
      <c r="G106" s="34">
        <f t="shared" si="8"/>
        <v>29705.200000000001</v>
      </c>
      <c r="H106" s="34">
        <f t="shared" si="8"/>
        <v>30596.356</v>
      </c>
      <c r="I106" s="34">
        <f t="shared" si="8"/>
        <v>31514.24668</v>
      </c>
    </row>
    <row r="107" spans="1:9" ht="17.25" customHeight="1" x14ac:dyDescent="0.35">
      <c r="A107">
        <v>74</v>
      </c>
      <c r="B107" t="s">
        <v>137</v>
      </c>
      <c r="C107" t="s">
        <v>139</v>
      </c>
      <c r="D107" s="117"/>
      <c r="E107" s="117"/>
      <c r="F107" s="34"/>
      <c r="G107" s="34"/>
      <c r="H107" s="34"/>
      <c r="I107" s="34"/>
    </row>
    <row r="108" spans="1:9" ht="17.25" customHeight="1" x14ac:dyDescent="0.35">
      <c r="A108">
        <v>75</v>
      </c>
      <c r="B108" t="s">
        <v>137</v>
      </c>
      <c r="C108" t="s">
        <v>140</v>
      </c>
      <c r="D108" s="117"/>
      <c r="E108" s="117"/>
      <c r="F108" s="34"/>
      <c r="G108" s="34"/>
      <c r="H108" s="34"/>
      <c r="I108" s="34"/>
    </row>
    <row r="109" spans="1:9" ht="17.25" customHeight="1" x14ac:dyDescent="0.35">
      <c r="A109">
        <v>76</v>
      </c>
      <c r="B109" t="s">
        <v>137</v>
      </c>
      <c r="C109" t="s">
        <v>141</v>
      </c>
      <c r="D109" s="117"/>
      <c r="E109" s="117"/>
      <c r="F109" s="34"/>
      <c r="G109" s="34"/>
      <c r="H109" s="34"/>
      <c r="I109" s="34"/>
    </row>
    <row r="110" spans="1:9" ht="17.25" customHeight="1" x14ac:dyDescent="0.35">
      <c r="A110">
        <v>77</v>
      </c>
      <c r="B110" t="s">
        <v>137</v>
      </c>
      <c r="C110" t="s">
        <v>142</v>
      </c>
      <c r="D110" s="117"/>
      <c r="E110" s="117"/>
      <c r="F110" s="34"/>
      <c r="G110" s="34"/>
      <c r="H110" s="34"/>
      <c r="I110" s="34"/>
    </row>
    <row r="111" spans="1:9" ht="17.25" customHeight="1" x14ac:dyDescent="0.35">
      <c r="A111">
        <v>78</v>
      </c>
      <c r="B111" t="s">
        <v>137</v>
      </c>
      <c r="C111" t="s">
        <v>143</v>
      </c>
      <c r="D111" s="117">
        <v>66000</v>
      </c>
      <c r="E111" s="117">
        <v>66000</v>
      </c>
      <c r="F111" s="34">
        <f>D111+(D111*0.03)</f>
        <v>67980</v>
      </c>
      <c r="G111" s="34">
        <f t="shared" si="8"/>
        <v>70019.399999999994</v>
      </c>
      <c r="H111" s="34">
        <f t="shared" si="8"/>
        <v>72119.981999999989</v>
      </c>
      <c r="I111" s="34">
        <f t="shared" si="8"/>
        <v>74283.581459999987</v>
      </c>
    </row>
    <row r="112" spans="1:9" s="14" customFormat="1" ht="17.25" customHeight="1" x14ac:dyDescent="0.35">
      <c r="A112">
        <v>79</v>
      </c>
      <c r="B112" t="s">
        <v>137</v>
      </c>
      <c r="C112" t="s">
        <v>144</v>
      </c>
      <c r="D112" s="117">
        <v>5750</v>
      </c>
      <c r="E112" s="117">
        <v>5750</v>
      </c>
      <c r="F112" s="34">
        <f>D112+(D112*0.03)</f>
        <v>5922.5</v>
      </c>
      <c r="G112" s="34">
        <f t="shared" si="8"/>
        <v>6100.1750000000002</v>
      </c>
      <c r="H112" s="34">
        <f t="shared" si="8"/>
        <v>6283.1802500000003</v>
      </c>
      <c r="I112" s="34">
        <f t="shared" si="8"/>
        <v>6471.6756574999999</v>
      </c>
    </row>
    <row r="113" spans="1:9" s="14" customFormat="1" ht="17.25" customHeight="1" x14ac:dyDescent="0.35">
      <c r="A113">
        <v>80</v>
      </c>
      <c r="B113" t="s">
        <v>137</v>
      </c>
      <c r="C113" t="s">
        <v>145</v>
      </c>
      <c r="D113" s="117">
        <v>5500</v>
      </c>
      <c r="E113" s="117">
        <v>5500</v>
      </c>
      <c r="F113" s="34">
        <f>D113+(D113*0.03)</f>
        <v>5665</v>
      </c>
      <c r="G113" s="34">
        <f t="shared" si="8"/>
        <v>5834.95</v>
      </c>
      <c r="H113" s="34">
        <f t="shared" si="8"/>
        <v>6009.9984999999997</v>
      </c>
      <c r="I113" s="34">
        <f t="shared" si="8"/>
        <v>6190.2984550000001</v>
      </c>
    </row>
    <row r="114" spans="1:9" s="14" customFormat="1" ht="17.25" customHeight="1" x14ac:dyDescent="0.35">
      <c r="A114">
        <v>81</v>
      </c>
      <c r="B114" t="s">
        <v>137</v>
      </c>
      <c r="C114" t="s">
        <v>146</v>
      </c>
      <c r="D114" s="117">
        <v>8000</v>
      </c>
      <c r="E114" s="117">
        <v>8000</v>
      </c>
      <c r="F114" s="34">
        <f>D114+(D114*0.03)</f>
        <v>8240</v>
      </c>
      <c r="G114" s="34">
        <f t="shared" si="8"/>
        <v>8487.2000000000007</v>
      </c>
      <c r="H114" s="34">
        <f t="shared" si="8"/>
        <v>8741.8160000000007</v>
      </c>
      <c r="I114" s="34">
        <f t="shared" si="8"/>
        <v>9004.0704800000003</v>
      </c>
    </row>
    <row r="115" spans="1:9" s="14" customFormat="1" ht="17.25" customHeight="1" x14ac:dyDescent="0.35">
      <c r="A115">
        <v>82</v>
      </c>
      <c r="B115" t="s">
        <v>137</v>
      </c>
      <c r="C115" t="s">
        <v>147</v>
      </c>
      <c r="D115" s="117">
        <v>10000</v>
      </c>
      <c r="E115" s="117">
        <v>10000</v>
      </c>
      <c r="F115" s="34">
        <f>D115+(D115*0.03)</f>
        <v>10300</v>
      </c>
      <c r="G115" s="34">
        <f t="shared" si="8"/>
        <v>10609</v>
      </c>
      <c r="H115" s="34">
        <f t="shared" si="8"/>
        <v>10927.27</v>
      </c>
      <c r="I115" s="34">
        <f t="shared" si="8"/>
        <v>11255.088100000001</v>
      </c>
    </row>
    <row r="116" spans="1:9" s="14" customFormat="1" ht="17.25" customHeight="1" x14ac:dyDescent="0.35">
      <c r="A116">
        <v>83</v>
      </c>
      <c r="B116" t="s">
        <v>137</v>
      </c>
      <c r="C116" t="s">
        <v>228</v>
      </c>
      <c r="D116" s="119">
        <v>250000</v>
      </c>
      <c r="E116" s="119">
        <v>250000</v>
      </c>
      <c r="F116" s="34">
        <v>250000</v>
      </c>
      <c r="G116" s="34">
        <v>300000</v>
      </c>
      <c r="H116" s="34">
        <v>300000</v>
      </c>
      <c r="I116" s="34">
        <v>300000</v>
      </c>
    </row>
    <row r="117" spans="1:9" s="14" customFormat="1" ht="17.25" customHeight="1" x14ac:dyDescent="0.35">
      <c r="A117">
        <v>84</v>
      </c>
      <c r="B117" t="s">
        <v>137</v>
      </c>
      <c r="C117" t="s">
        <v>149</v>
      </c>
      <c r="D117" s="117"/>
      <c r="E117" s="117"/>
      <c r="F117" s="34"/>
      <c r="G117" s="34"/>
      <c r="H117" s="34"/>
      <c r="I117" s="34"/>
    </row>
    <row r="118" spans="1:9" s="14" customFormat="1" ht="17.25" customHeight="1" x14ac:dyDescent="0.35">
      <c r="A118">
        <v>85</v>
      </c>
      <c r="B118" t="s">
        <v>137</v>
      </c>
      <c r="C118" t="s">
        <v>150</v>
      </c>
      <c r="D118" s="117"/>
      <c r="E118" s="117"/>
      <c r="F118" s="34"/>
      <c r="G118" s="34"/>
      <c r="H118" s="34"/>
      <c r="I118" s="34"/>
    </row>
    <row r="119" spans="1:9" s="14" customFormat="1" ht="17.25" customHeight="1" x14ac:dyDescent="0.35">
      <c r="A119">
        <v>86</v>
      </c>
      <c r="B119" t="s">
        <v>137</v>
      </c>
      <c r="C119" t="s">
        <v>151</v>
      </c>
      <c r="D119" s="117"/>
      <c r="E119" s="117"/>
      <c r="F119" s="34"/>
      <c r="G119" s="34"/>
      <c r="H119" s="34"/>
      <c r="I119" s="34"/>
    </row>
    <row r="120" spans="1:9" ht="17.25" customHeight="1" thickBot="1" x14ac:dyDescent="0.4">
      <c r="A120">
        <v>87</v>
      </c>
      <c r="B120" t="s">
        <v>137</v>
      </c>
      <c r="C120" t="s">
        <v>152</v>
      </c>
      <c r="D120" s="192">
        <v>4400</v>
      </c>
      <c r="E120" s="192">
        <v>4400</v>
      </c>
      <c r="F120" s="34">
        <f>D120+(D120*0.03)</f>
        <v>4532</v>
      </c>
      <c r="G120" s="34">
        <f>F120+(F120*0.03)</f>
        <v>4667.96</v>
      </c>
      <c r="H120" s="34">
        <f>G120+(G120*0.03)</f>
        <v>4807.9988000000003</v>
      </c>
      <c r="I120" s="34">
        <f>H120+(H120*0.03)</f>
        <v>4952.2387640000006</v>
      </c>
    </row>
    <row r="121" spans="1:9" ht="17.25" customHeight="1" thickBot="1" x14ac:dyDescent="0.4">
      <c r="B121" s="270"/>
      <c r="C121" s="281" t="s">
        <v>518</v>
      </c>
      <c r="D121" s="195">
        <f>SUM(D41:D120)</f>
        <v>3042232</v>
      </c>
      <c r="E121" s="227" t="e">
        <f>SUM(E41:E120)</f>
        <v>#REF!</v>
      </c>
      <c r="F121" s="191">
        <f>SUM(F52:F120)</f>
        <v>788257.4</v>
      </c>
      <c r="G121" s="38">
        <f>SUM(G52:G120)</f>
        <v>854405.12199999997</v>
      </c>
      <c r="H121" s="38">
        <f>SUM(H52:H120)</f>
        <v>871037.27565999993</v>
      </c>
      <c r="I121" s="38">
        <f>SUM(I52:I120)</f>
        <v>888168.39392980002</v>
      </c>
    </row>
    <row r="122" spans="1:9" ht="17.25" customHeight="1" x14ac:dyDescent="0.35">
      <c r="D122" s="121"/>
      <c r="E122" s="121"/>
      <c r="F122" s="49"/>
      <c r="G122" s="8"/>
      <c r="H122" s="8"/>
      <c r="I122" s="8"/>
    </row>
    <row r="123" spans="1:9" ht="17.25" customHeight="1" thickBot="1" x14ac:dyDescent="0.4">
      <c r="B123" s="5"/>
      <c r="C123" s="6" t="s">
        <v>558</v>
      </c>
      <c r="D123" s="122">
        <f t="shared" ref="D123:I123" si="9">D39-D121</f>
        <v>365584</v>
      </c>
      <c r="E123" s="240" t="e">
        <f t="shared" si="9"/>
        <v>#REF!</v>
      </c>
      <c r="F123" s="39">
        <f t="shared" si="9"/>
        <v>2271860.06</v>
      </c>
      <c r="G123" s="39">
        <f t="shared" si="9"/>
        <v>2383754.2453000001</v>
      </c>
      <c r="H123" s="39">
        <f t="shared" si="9"/>
        <v>2606407.4076640001</v>
      </c>
      <c r="I123" s="39">
        <f t="shared" si="9"/>
        <v>2840274.3809490702</v>
      </c>
    </row>
    <row r="124" spans="1:9" ht="17.25" customHeight="1" x14ac:dyDescent="0.35">
      <c r="B124" s="11"/>
      <c r="C124" s="12"/>
      <c r="D124" s="123"/>
      <c r="E124" s="123"/>
      <c r="F124" s="8"/>
      <c r="G124" s="8"/>
      <c r="H124" s="8"/>
      <c r="I124" s="8"/>
    </row>
    <row r="125" spans="1:9" ht="17.25" customHeight="1" x14ac:dyDescent="0.35">
      <c r="B125" s="11"/>
      <c r="C125" s="12" t="s">
        <v>609</v>
      </c>
      <c r="D125" s="124">
        <f t="shared" ref="D125:I125" si="10">D121*0.03</f>
        <v>91266.959999999992</v>
      </c>
      <c r="E125" s="124" t="e">
        <f t="shared" si="10"/>
        <v>#REF!</v>
      </c>
      <c r="F125" s="41">
        <f t="shared" si="10"/>
        <v>23647.722000000002</v>
      </c>
      <c r="G125" s="41">
        <f t="shared" si="10"/>
        <v>25632.15366</v>
      </c>
      <c r="H125" s="41">
        <f t="shared" si="10"/>
        <v>26131.118269799998</v>
      </c>
      <c r="I125" s="41">
        <f t="shared" si="10"/>
        <v>26645.051817894</v>
      </c>
    </row>
    <row r="126" spans="1:9" ht="17.25" customHeight="1" x14ac:dyDescent="0.35">
      <c r="B126" s="11"/>
      <c r="C126" s="12" t="s">
        <v>610</v>
      </c>
      <c r="D126" s="124">
        <f>D121*0.01</f>
        <v>30422.32</v>
      </c>
      <c r="E126" s="124" t="e">
        <f>E121*0.01</f>
        <v>#REF!</v>
      </c>
      <c r="F126" s="105"/>
      <c r="G126" s="105"/>
      <c r="H126" s="105"/>
      <c r="I126" s="105"/>
    </row>
    <row r="127" spans="1:9" ht="17.25" customHeight="1" x14ac:dyDescent="0.35">
      <c r="B127" s="11"/>
      <c r="C127" s="12" t="s">
        <v>612</v>
      </c>
      <c r="D127" s="124">
        <f>D125+D126</f>
        <v>121689.28</v>
      </c>
      <c r="E127" s="124" t="e">
        <f>E125+E126</f>
        <v>#REF!</v>
      </c>
      <c r="F127" s="105"/>
      <c r="G127" s="105"/>
      <c r="H127" s="105"/>
      <c r="I127" s="105"/>
    </row>
    <row r="128" spans="1:9" ht="17.25" customHeight="1" x14ac:dyDescent="0.35">
      <c r="B128" s="11"/>
      <c r="C128" s="12" t="s">
        <v>613</v>
      </c>
      <c r="D128" s="124">
        <f>D123-D127</f>
        <v>243894.72</v>
      </c>
      <c r="E128" s="124" t="e">
        <f>E123-E127</f>
        <v>#REF!</v>
      </c>
      <c r="F128" s="105"/>
      <c r="G128" s="105"/>
      <c r="H128" s="105"/>
      <c r="I128" s="105"/>
    </row>
    <row r="129" spans="2:9" ht="17.25" customHeight="1" thickBot="1" x14ac:dyDescent="0.4">
      <c r="B129" s="11"/>
      <c r="C129" s="12"/>
      <c r="D129" s="123"/>
      <c r="E129" s="123"/>
      <c r="F129" s="8"/>
      <c r="G129" s="8"/>
      <c r="H129" s="8"/>
      <c r="I129" s="8"/>
    </row>
    <row r="130" spans="2:9" ht="17.25" customHeight="1" thickBot="1" x14ac:dyDescent="0.4">
      <c r="B130" s="197"/>
      <c r="C130" s="276" t="s">
        <v>615</v>
      </c>
      <c r="D130" s="282">
        <f>D123</f>
        <v>365584</v>
      </c>
      <c r="E130" s="283" t="e">
        <f>E123</f>
        <v>#REF!</v>
      </c>
      <c r="F130" s="275">
        <f>F123-F125</f>
        <v>2248212.338</v>
      </c>
      <c r="G130" s="42">
        <f>G123-G125</f>
        <v>2358122.0916400002</v>
      </c>
      <c r="H130" s="42">
        <f>H123-H125</f>
        <v>2580276.2893941998</v>
      </c>
      <c r="I130" s="42">
        <f>I123-I125</f>
        <v>2813629.3291311762</v>
      </c>
    </row>
    <row r="133" spans="2:9" ht="17.25" customHeight="1" x14ac:dyDescent="0.35">
      <c r="B133" s="253" t="s">
        <v>560</v>
      </c>
      <c r="C133" s="253" t="s">
        <v>561</v>
      </c>
      <c r="D133" s="253" t="s">
        <v>562</v>
      </c>
      <c r="E133" s="253" t="s">
        <v>563</v>
      </c>
    </row>
    <row r="134" spans="2:9" ht="17.25" customHeight="1" x14ac:dyDescent="0.35">
      <c r="B134" t="s">
        <v>7</v>
      </c>
      <c r="C134" s="13">
        <f>E10</f>
        <v>133869</v>
      </c>
      <c r="D134" s="480">
        <f>'Master Budgets'!H3</f>
        <v>133869</v>
      </c>
      <c r="E134" t="str">
        <f>IF(C134=D134,"YEA","NOPE")</f>
        <v>YEA</v>
      </c>
    </row>
    <row r="135" spans="2:9" ht="17.25" customHeight="1" x14ac:dyDescent="0.35">
      <c r="B135" t="s">
        <v>564</v>
      </c>
      <c r="C135" s="13">
        <f>E39</f>
        <v>3449075.9154572487</v>
      </c>
      <c r="D135" s="480">
        <f>'Master Budgets'!H42</f>
        <v>3159798.5</v>
      </c>
      <c r="E135" s="235" t="str">
        <f>IF(C135=D135,"YEA","NOPE")</f>
        <v>NOPE</v>
      </c>
    </row>
    <row r="136" spans="2:9" ht="17.25" customHeight="1" x14ac:dyDescent="0.35">
      <c r="B136" t="s">
        <v>565</v>
      </c>
      <c r="C136" s="4" t="e">
        <f>E121</f>
        <v>#REF!</v>
      </c>
      <c r="D136" s="480" t="e">
        <f>'Master Budgets'!H176</f>
        <v>#REF!</v>
      </c>
      <c r="E136" t="e">
        <f>IF(C136=D136,"YEA","NOPE")</f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D41:D51" name="Range1_1"/>
  </protectedRanges>
  <mergeCells count="1">
    <mergeCell ref="B1:I1"/>
  </mergeCells>
  <phoneticPr fontId="18" type="noConversion"/>
  <dataValidations count="1">
    <dataValidation type="list" allowBlank="1" showInputMessage="1" showErrorMessage="1" sqref="B10:B28 B31:B40 B51:B112" xr:uid="{BF0AB69B-ED99-4FAC-B4B6-185D54740D23}">
      <formula1>#REF!</formula1>
    </dataValidation>
  </dataValidations>
  <pageMargins left="0.7" right="0.7" top="0.75" bottom="0.75" header="0.3" footer="0.3"/>
  <pageSetup scale="82" orientation="portrait" r:id="rId1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9A95-9CB1-4F48-862D-61AA218FB223}">
  <dimension ref="A1:O38"/>
  <sheetViews>
    <sheetView zoomScaleNormal="100" workbookViewId="0">
      <selection activeCell="H4" sqref="H4"/>
    </sheetView>
  </sheetViews>
  <sheetFormatPr defaultColWidth="9" defaultRowHeight="14.5" x14ac:dyDescent="0.35"/>
  <cols>
    <col min="1" max="1" width="35.54296875" style="138" bestFit="1" customWidth="1"/>
    <col min="2" max="2" width="7" style="138" customWidth="1"/>
    <col min="3" max="5" width="16.54296875" style="138" customWidth="1"/>
    <col min="6" max="6" width="16" style="138" customWidth="1"/>
    <col min="7" max="7" width="12.1796875" style="138" bestFit="1" customWidth="1"/>
    <col min="8" max="14" width="9" style="138"/>
    <col min="15" max="15" width="18.26953125" style="138" customWidth="1"/>
    <col min="16" max="16384" width="9" style="138"/>
  </cols>
  <sheetData>
    <row r="1" spans="1:15" ht="29.25" customHeight="1" x14ac:dyDescent="0.35">
      <c r="A1" s="1270" t="s">
        <v>690</v>
      </c>
      <c r="B1" s="1270"/>
      <c r="C1" s="1270"/>
      <c r="D1" s="1270"/>
      <c r="E1" s="1270"/>
      <c r="F1" s="1270"/>
    </row>
    <row r="2" spans="1:15" ht="25.9" customHeight="1" x14ac:dyDescent="0.35">
      <c r="A2" s="1271" t="s">
        <v>691</v>
      </c>
      <c r="B2" s="1271"/>
      <c r="C2" s="1271"/>
      <c r="D2" s="1271"/>
      <c r="E2" s="1271"/>
      <c r="F2" s="1271"/>
    </row>
    <row r="3" spans="1:15" ht="25.9" customHeight="1" x14ac:dyDescent="0.35">
      <c r="A3" s="1263" t="s">
        <v>584</v>
      </c>
      <c r="B3" s="1264" t="s">
        <v>622</v>
      </c>
      <c r="C3" s="1266" t="s">
        <v>623</v>
      </c>
      <c r="D3" s="1266"/>
      <c r="E3" s="1267" t="s">
        <v>624</v>
      </c>
      <c r="F3" s="1269" t="s">
        <v>625</v>
      </c>
      <c r="G3" s="1159" t="s">
        <v>585</v>
      </c>
      <c r="H3" s="1107" t="s">
        <v>586</v>
      </c>
      <c r="I3" s="1159" t="s">
        <v>587</v>
      </c>
      <c r="J3" s="1159" t="s">
        <v>588</v>
      </c>
      <c r="K3" s="1159" t="s">
        <v>589</v>
      </c>
      <c r="L3" s="1159" t="s">
        <v>590</v>
      </c>
      <c r="M3" s="1110" t="s">
        <v>591</v>
      </c>
      <c r="N3" s="1110" t="s">
        <v>592</v>
      </c>
      <c r="O3" s="1104" t="s">
        <v>592</v>
      </c>
    </row>
    <row r="4" spans="1:15" ht="24" customHeight="1" x14ac:dyDescent="0.35">
      <c r="A4" s="1263"/>
      <c r="B4" s="1265"/>
      <c r="C4" s="139" t="s">
        <v>627</v>
      </c>
      <c r="D4" s="139" t="s">
        <v>628</v>
      </c>
      <c r="E4" s="1268"/>
      <c r="F4" s="1269"/>
      <c r="G4" s="1160">
        <f>(0.9*7200)-(50*12)</f>
        <v>5880</v>
      </c>
      <c r="H4" s="1108">
        <v>0.2157</v>
      </c>
      <c r="I4" s="1109">
        <v>1.4500000000000001E-2</v>
      </c>
      <c r="J4" s="1109">
        <v>1.26E-2</v>
      </c>
      <c r="K4" s="1109">
        <v>1.7000000000000001E-2</v>
      </c>
      <c r="L4" s="1109">
        <v>8.4</v>
      </c>
      <c r="M4" s="1111" t="s">
        <v>593</v>
      </c>
      <c r="N4" s="1112" t="s">
        <v>155</v>
      </c>
      <c r="O4" s="1105" t="s">
        <v>594</v>
      </c>
    </row>
    <row r="5" spans="1:15" x14ac:dyDescent="0.35">
      <c r="A5" s="140" t="s">
        <v>630</v>
      </c>
      <c r="B5" s="161">
        <v>1</v>
      </c>
      <c r="C5" s="142">
        <v>60000</v>
      </c>
      <c r="D5" s="142">
        <f>C5+25000</f>
        <v>85000</v>
      </c>
      <c r="E5" s="143">
        <f>C5+5000</f>
        <v>65000</v>
      </c>
      <c r="F5" s="162">
        <f>B5*E5</f>
        <v>65000</v>
      </c>
      <c r="G5" s="149">
        <f t="shared" ref="G5:G18" si="0">+$G$4*B5</f>
        <v>5880</v>
      </c>
      <c r="H5" s="138">
        <f>+F5*$H$4</f>
        <v>14020.5</v>
      </c>
      <c r="I5" s="1118">
        <f t="shared" ref="I5:I22" si="1">+$I$4*F5</f>
        <v>942.5</v>
      </c>
      <c r="J5" s="149">
        <f t="shared" ref="J5:J22" si="2">+$J$4*F5</f>
        <v>819</v>
      </c>
      <c r="K5" s="149">
        <f t="shared" ref="K5:K22" si="3">+$K$4*F5</f>
        <v>1105</v>
      </c>
      <c r="L5" s="138">
        <f t="shared" ref="L5:L18" si="4">+$L$4*B5</f>
        <v>8.4</v>
      </c>
      <c r="N5" s="138">
        <f t="shared" ref="N5:N22" si="5">SUM(H5:L5)</f>
        <v>16895.400000000001</v>
      </c>
      <c r="O5" s="149">
        <f t="shared" ref="O5:O22" si="6">+N5+F5</f>
        <v>81895.399999999994</v>
      </c>
    </row>
    <row r="6" spans="1:15" x14ac:dyDescent="0.35">
      <c r="A6" s="140" t="s">
        <v>631</v>
      </c>
      <c r="B6" s="161">
        <v>1</v>
      </c>
      <c r="C6" s="142">
        <v>60000</v>
      </c>
      <c r="D6" s="142">
        <f>C6+25000</f>
        <v>85000</v>
      </c>
      <c r="E6" s="143">
        <f t="shared" ref="E6:E22" si="7">C6+5000</f>
        <v>65000</v>
      </c>
      <c r="F6" s="162">
        <f t="shared" ref="F6:F22" si="8">B6*E6</f>
        <v>65000</v>
      </c>
      <c r="G6" s="149">
        <f t="shared" si="0"/>
        <v>5880</v>
      </c>
      <c r="H6" s="138">
        <f t="shared" ref="H6:H22" si="9">+F6*$H$4</f>
        <v>14020.5</v>
      </c>
      <c r="I6" s="1118">
        <f t="shared" si="1"/>
        <v>942.5</v>
      </c>
      <c r="J6" s="149">
        <f t="shared" si="2"/>
        <v>819</v>
      </c>
      <c r="K6" s="149">
        <f t="shared" si="3"/>
        <v>1105</v>
      </c>
      <c r="L6" s="138">
        <f t="shared" si="4"/>
        <v>8.4</v>
      </c>
      <c r="N6" s="138">
        <f t="shared" si="5"/>
        <v>16895.400000000001</v>
      </c>
      <c r="O6" s="149">
        <f t="shared" si="6"/>
        <v>81895.399999999994</v>
      </c>
    </row>
    <row r="7" spans="1:15" x14ac:dyDescent="0.35">
      <c r="A7" s="1162" t="s">
        <v>692</v>
      </c>
      <c r="B7" s="161">
        <v>1</v>
      </c>
      <c r="C7" s="142">
        <v>64000</v>
      </c>
      <c r="D7" s="142">
        <f t="shared" ref="D7:D22" si="10">C7+25000</f>
        <v>89000</v>
      </c>
      <c r="E7" s="143">
        <f t="shared" si="7"/>
        <v>69000</v>
      </c>
      <c r="F7" s="162">
        <f t="shared" si="8"/>
        <v>69000</v>
      </c>
      <c r="G7" s="149">
        <f t="shared" si="0"/>
        <v>5880</v>
      </c>
      <c r="H7" s="138">
        <f t="shared" si="9"/>
        <v>14883.300000000001</v>
      </c>
      <c r="I7" s="1118">
        <f t="shared" si="1"/>
        <v>1000.5</v>
      </c>
      <c r="J7" s="149">
        <f t="shared" si="2"/>
        <v>869.4</v>
      </c>
      <c r="K7" s="149">
        <f t="shared" si="3"/>
        <v>1173</v>
      </c>
      <c r="L7" s="138">
        <f t="shared" si="4"/>
        <v>8.4</v>
      </c>
      <c r="N7" s="138">
        <f t="shared" si="5"/>
        <v>17934.600000000002</v>
      </c>
      <c r="O7" s="149">
        <f t="shared" si="6"/>
        <v>86934.6</v>
      </c>
    </row>
    <row r="8" spans="1:15" x14ac:dyDescent="0.35">
      <c r="A8" s="140" t="s">
        <v>693</v>
      </c>
      <c r="B8" s="161">
        <v>1</v>
      </c>
      <c r="C8" s="142">
        <v>60000</v>
      </c>
      <c r="D8" s="142">
        <f t="shared" si="10"/>
        <v>85000</v>
      </c>
      <c r="E8" s="143">
        <f t="shared" si="7"/>
        <v>65000</v>
      </c>
      <c r="F8" s="162">
        <f t="shared" si="8"/>
        <v>65000</v>
      </c>
      <c r="G8" s="149">
        <f t="shared" si="0"/>
        <v>5880</v>
      </c>
      <c r="H8" s="138">
        <f t="shared" si="9"/>
        <v>14020.5</v>
      </c>
      <c r="I8" s="1118">
        <f t="shared" si="1"/>
        <v>942.5</v>
      </c>
      <c r="J8" s="149">
        <f t="shared" si="2"/>
        <v>819</v>
      </c>
      <c r="K8" s="149">
        <f t="shared" si="3"/>
        <v>1105</v>
      </c>
      <c r="L8" s="138">
        <f t="shared" si="4"/>
        <v>8.4</v>
      </c>
      <c r="N8" s="138">
        <f t="shared" si="5"/>
        <v>16895.400000000001</v>
      </c>
      <c r="O8" s="149">
        <f t="shared" si="6"/>
        <v>81895.399999999994</v>
      </c>
    </row>
    <row r="9" spans="1:15" x14ac:dyDescent="0.35">
      <c r="A9" s="140" t="s">
        <v>694</v>
      </c>
      <c r="B9" s="161">
        <v>1</v>
      </c>
      <c r="C9" s="142">
        <v>67000</v>
      </c>
      <c r="D9" s="142">
        <f t="shared" si="10"/>
        <v>92000</v>
      </c>
      <c r="E9" s="143">
        <v>72000</v>
      </c>
      <c r="F9" s="162">
        <f t="shared" si="8"/>
        <v>72000</v>
      </c>
      <c r="G9" s="149">
        <f t="shared" si="0"/>
        <v>5880</v>
      </c>
      <c r="H9" s="138">
        <f t="shared" si="9"/>
        <v>15530.4</v>
      </c>
      <c r="I9" s="1118">
        <f t="shared" si="1"/>
        <v>1044</v>
      </c>
      <c r="J9" s="149">
        <f t="shared" si="2"/>
        <v>907.2</v>
      </c>
      <c r="K9" s="149">
        <f t="shared" si="3"/>
        <v>1224</v>
      </c>
      <c r="L9" s="138">
        <f t="shared" si="4"/>
        <v>8.4</v>
      </c>
      <c r="N9" s="138">
        <f t="shared" si="5"/>
        <v>18714.000000000004</v>
      </c>
      <c r="O9" s="149">
        <f t="shared" si="6"/>
        <v>90714</v>
      </c>
    </row>
    <row r="10" spans="1:15" x14ac:dyDescent="0.35">
      <c r="A10" s="140" t="s">
        <v>695</v>
      </c>
      <c r="B10" s="161">
        <v>1</v>
      </c>
      <c r="C10" s="142">
        <v>61000</v>
      </c>
      <c r="D10" s="142">
        <f t="shared" si="10"/>
        <v>86000</v>
      </c>
      <c r="E10" s="143">
        <f t="shared" si="7"/>
        <v>66000</v>
      </c>
      <c r="F10" s="162">
        <f t="shared" si="8"/>
        <v>66000</v>
      </c>
      <c r="G10" s="149">
        <f t="shared" si="0"/>
        <v>5880</v>
      </c>
      <c r="H10" s="138">
        <f t="shared" si="9"/>
        <v>14236.2</v>
      </c>
      <c r="I10" s="1118">
        <f t="shared" si="1"/>
        <v>957</v>
      </c>
      <c r="J10" s="149">
        <f t="shared" si="2"/>
        <v>831.6</v>
      </c>
      <c r="K10" s="149">
        <f t="shared" si="3"/>
        <v>1122</v>
      </c>
      <c r="L10" s="138">
        <f t="shared" si="4"/>
        <v>8.4</v>
      </c>
      <c r="N10" s="138">
        <f t="shared" si="5"/>
        <v>17155.200000000004</v>
      </c>
      <c r="O10" s="149">
        <f t="shared" si="6"/>
        <v>83155.200000000012</v>
      </c>
    </row>
    <row r="11" spans="1:15" x14ac:dyDescent="0.35">
      <c r="A11" s="1168" t="s">
        <v>696</v>
      </c>
      <c r="B11" s="163">
        <v>1</v>
      </c>
      <c r="C11" s="142">
        <v>62000</v>
      </c>
      <c r="D11" s="142">
        <f t="shared" si="10"/>
        <v>87000</v>
      </c>
      <c r="E11" s="143">
        <f t="shared" si="7"/>
        <v>67000</v>
      </c>
      <c r="F11" s="162">
        <v>62000</v>
      </c>
      <c r="G11" s="149">
        <f t="shared" si="0"/>
        <v>5880</v>
      </c>
      <c r="H11" s="138">
        <f t="shared" si="9"/>
        <v>13373.4</v>
      </c>
      <c r="I11" s="1118">
        <f t="shared" si="1"/>
        <v>899</v>
      </c>
      <c r="J11" s="149">
        <f t="shared" si="2"/>
        <v>781.2</v>
      </c>
      <c r="K11" s="149">
        <f t="shared" si="3"/>
        <v>1054</v>
      </c>
      <c r="L11" s="138">
        <f t="shared" si="4"/>
        <v>8.4</v>
      </c>
      <c r="N11" s="138">
        <f t="shared" si="5"/>
        <v>16116</v>
      </c>
      <c r="O11" s="149">
        <f t="shared" si="6"/>
        <v>78116</v>
      </c>
    </row>
    <row r="12" spans="1:15" x14ac:dyDescent="0.35">
      <c r="A12" s="140" t="s">
        <v>697</v>
      </c>
      <c r="B12" s="161">
        <v>1</v>
      </c>
      <c r="C12" s="142">
        <v>60000</v>
      </c>
      <c r="D12" s="142">
        <f t="shared" si="10"/>
        <v>85000</v>
      </c>
      <c r="E12" s="143">
        <f t="shared" si="7"/>
        <v>65000</v>
      </c>
      <c r="F12" s="162">
        <f t="shared" si="8"/>
        <v>65000</v>
      </c>
      <c r="G12" s="149">
        <f t="shared" si="0"/>
        <v>5880</v>
      </c>
      <c r="H12" s="138">
        <f t="shared" si="9"/>
        <v>14020.5</v>
      </c>
      <c r="I12" s="1118">
        <f t="shared" si="1"/>
        <v>942.5</v>
      </c>
      <c r="J12" s="149">
        <f t="shared" si="2"/>
        <v>819</v>
      </c>
      <c r="K12" s="149">
        <f t="shared" si="3"/>
        <v>1105</v>
      </c>
      <c r="L12" s="138">
        <f t="shared" si="4"/>
        <v>8.4</v>
      </c>
      <c r="N12" s="138">
        <f t="shared" si="5"/>
        <v>16895.400000000001</v>
      </c>
      <c r="O12" s="149">
        <f t="shared" si="6"/>
        <v>81895.399999999994</v>
      </c>
    </row>
    <row r="13" spans="1:15" x14ac:dyDescent="0.35">
      <c r="A13" s="140" t="s">
        <v>698</v>
      </c>
      <c r="B13" s="161">
        <v>1</v>
      </c>
      <c r="C13" s="142">
        <v>69000</v>
      </c>
      <c r="D13" s="142">
        <f t="shared" si="10"/>
        <v>94000</v>
      </c>
      <c r="E13" s="143">
        <v>77000</v>
      </c>
      <c r="F13" s="162">
        <f t="shared" si="8"/>
        <v>77000</v>
      </c>
      <c r="G13" s="149">
        <f t="shared" si="0"/>
        <v>5880</v>
      </c>
      <c r="H13" s="138">
        <f t="shared" si="9"/>
        <v>16608.900000000001</v>
      </c>
      <c r="I13" s="1118">
        <f t="shared" si="1"/>
        <v>1116.5</v>
      </c>
      <c r="J13" s="149">
        <f t="shared" si="2"/>
        <v>970.2</v>
      </c>
      <c r="K13" s="149">
        <f t="shared" si="3"/>
        <v>1309</v>
      </c>
      <c r="L13" s="138">
        <f t="shared" si="4"/>
        <v>8.4</v>
      </c>
      <c r="N13" s="138">
        <f t="shared" si="5"/>
        <v>20013.000000000004</v>
      </c>
      <c r="O13" s="149">
        <f t="shared" si="6"/>
        <v>97013</v>
      </c>
    </row>
    <row r="14" spans="1:15" x14ac:dyDescent="0.35">
      <c r="A14" s="140" t="s">
        <v>699</v>
      </c>
      <c r="B14" s="161">
        <v>1</v>
      </c>
      <c r="C14" s="142">
        <v>64000</v>
      </c>
      <c r="D14" s="142">
        <f t="shared" si="10"/>
        <v>89000</v>
      </c>
      <c r="E14" s="143">
        <f t="shared" si="7"/>
        <v>69000</v>
      </c>
      <c r="F14" s="162">
        <f t="shared" si="8"/>
        <v>69000</v>
      </c>
      <c r="G14" s="149">
        <f t="shared" si="0"/>
        <v>5880</v>
      </c>
      <c r="H14" s="138">
        <f t="shared" si="9"/>
        <v>14883.300000000001</v>
      </c>
      <c r="I14" s="1118">
        <f t="shared" si="1"/>
        <v>1000.5</v>
      </c>
      <c r="J14" s="149">
        <f t="shared" si="2"/>
        <v>869.4</v>
      </c>
      <c r="K14" s="149">
        <f t="shared" si="3"/>
        <v>1173</v>
      </c>
      <c r="L14" s="138">
        <f t="shared" si="4"/>
        <v>8.4</v>
      </c>
      <c r="N14" s="138">
        <f t="shared" si="5"/>
        <v>17934.600000000002</v>
      </c>
      <c r="O14" s="149">
        <f t="shared" si="6"/>
        <v>86934.6</v>
      </c>
    </row>
    <row r="15" spans="1:15" x14ac:dyDescent="0.35">
      <c r="A15" s="1162" t="s">
        <v>700</v>
      </c>
      <c r="B15" s="161">
        <v>1</v>
      </c>
      <c r="C15" s="142">
        <v>64000</v>
      </c>
      <c r="D15" s="142">
        <f t="shared" si="10"/>
        <v>89000</v>
      </c>
      <c r="E15" s="143">
        <f t="shared" si="7"/>
        <v>69000</v>
      </c>
      <c r="F15" s="162">
        <f t="shared" si="8"/>
        <v>69000</v>
      </c>
      <c r="G15" s="149">
        <f t="shared" si="0"/>
        <v>5880</v>
      </c>
      <c r="H15" s="138">
        <f t="shared" si="9"/>
        <v>14883.300000000001</v>
      </c>
      <c r="I15" s="1118">
        <f t="shared" si="1"/>
        <v>1000.5</v>
      </c>
      <c r="J15" s="149">
        <f t="shared" si="2"/>
        <v>869.4</v>
      </c>
      <c r="K15" s="149">
        <f t="shared" si="3"/>
        <v>1173</v>
      </c>
      <c r="L15" s="138">
        <f t="shared" si="4"/>
        <v>8.4</v>
      </c>
      <c r="N15" s="138">
        <f t="shared" si="5"/>
        <v>17934.600000000002</v>
      </c>
      <c r="O15" s="149">
        <f t="shared" si="6"/>
        <v>86934.6</v>
      </c>
    </row>
    <row r="16" spans="1:15" x14ac:dyDescent="0.35">
      <c r="A16" s="1169" t="s">
        <v>701</v>
      </c>
      <c r="B16" s="164">
        <v>1</v>
      </c>
      <c r="C16" s="165">
        <v>62000</v>
      </c>
      <c r="D16" s="142">
        <f t="shared" si="10"/>
        <v>87000</v>
      </c>
      <c r="E16" s="143">
        <f t="shared" si="7"/>
        <v>67000</v>
      </c>
      <c r="F16" s="162">
        <v>62000</v>
      </c>
      <c r="G16" s="149">
        <f t="shared" si="0"/>
        <v>5880</v>
      </c>
      <c r="H16" s="138">
        <f t="shared" si="9"/>
        <v>13373.4</v>
      </c>
      <c r="I16" s="1118">
        <f t="shared" si="1"/>
        <v>899</v>
      </c>
      <c r="J16" s="149">
        <f t="shared" si="2"/>
        <v>781.2</v>
      </c>
      <c r="K16" s="149">
        <f t="shared" si="3"/>
        <v>1054</v>
      </c>
      <c r="L16" s="138">
        <f t="shared" si="4"/>
        <v>8.4</v>
      </c>
      <c r="N16" s="138">
        <f t="shared" si="5"/>
        <v>16116</v>
      </c>
      <c r="O16" s="149">
        <f t="shared" si="6"/>
        <v>78116</v>
      </c>
    </row>
    <row r="17" spans="1:15" x14ac:dyDescent="0.35">
      <c r="A17" s="166" t="s">
        <v>702</v>
      </c>
      <c r="B17" s="163">
        <v>1</v>
      </c>
      <c r="C17" s="142">
        <v>67000</v>
      </c>
      <c r="D17" s="142">
        <f>C17+25000</f>
        <v>92000</v>
      </c>
      <c r="E17" s="143">
        <v>72000</v>
      </c>
      <c r="F17" s="162">
        <f t="shared" si="8"/>
        <v>72000</v>
      </c>
      <c r="G17" s="149">
        <f t="shared" si="0"/>
        <v>5880</v>
      </c>
      <c r="H17" s="138">
        <f t="shared" si="9"/>
        <v>15530.4</v>
      </c>
      <c r="I17" s="1118">
        <f t="shared" si="1"/>
        <v>1044</v>
      </c>
      <c r="J17" s="149">
        <f t="shared" si="2"/>
        <v>907.2</v>
      </c>
      <c r="K17" s="149">
        <f t="shared" si="3"/>
        <v>1224</v>
      </c>
      <c r="L17" s="138">
        <f t="shared" si="4"/>
        <v>8.4</v>
      </c>
      <c r="N17" s="138">
        <f t="shared" si="5"/>
        <v>18714.000000000004</v>
      </c>
      <c r="O17" s="149">
        <f t="shared" si="6"/>
        <v>90714</v>
      </c>
    </row>
    <row r="18" spans="1:15" x14ac:dyDescent="0.35">
      <c r="A18" s="144" t="s">
        <v>703</v>
      </c>
      <c r="B18" s="163">
        <v>1</v>
      </c>
      <c r="C18" s="142">
        <v>64000</v>
      </c>
      <c r="D18" s="142">
        <f t="shared" si="10"/>
        <v>89000</v>
      </c>
      <c r="E18" s="143">
        <f t="shared" si="7"/>
        <v>69000</v>
      </c>
      <c r="F18" s="162">
        <f t="shared" si="8"/>
        <v>69000</v>
      </c>
      <c r="G18" s="149">
        <f t="shared" si="0"/>
        <v>5880</v>
      </c>
      <c r="H18" s="138">
        <f t="shared" si="9"/>
        <v>14883.300000000001</v>
      </c>
      <c r="I18" s="1118">
        <f t="shared" si="1"/>
        <v>1000.5</v>
      </c>
      <c r="J18" s="149">
        <f t="shared" si="2"/>
        <v>869.4</v>
      </c>
      <c r="K18" s="149">
        <f t="shared" si="3"/>
        <v>1173</v>
      </c>
      <c r="L18" s="138">
        <f t="shared" si="4"/>
        <v>8.4</v>
      </c>
      <c r="N18" s="138">
        <f t="shared" si="5"/>
        <v>17934.600000000002</v>
      </c>
      <c r="O18" s="149">
        <f t="shared" si="6"/>
        <v>86934.6</v>
      </c>
    </row>
    <row r="19" spans="1:15" x14ac:dyDescent="0.35">
      <c r="A19" s="1170" t="s">
        <v>704</v>
      </c>
      <c r="B19" s="161">
        <v>1</v>
      </c>
      <c r="C19" s="142">
        <v>62000</v>
      </c>
      <c r="D19" s="142">
        <f t="shared" si="10"/>
        <v>87000</v>
      </c>
      <c r="E19" s="143">
        <f t="shared" si="7"/>
        <v>67000</v>
      </c>
      <c r="F19" s="162">
        <v>0</v>
      </c>
      <c r="G19" s="149"/>
      <c r="H19" s="138">
        <f t="shared" si="9"/>
        <v>0</v>
      </c>
      <c r="I19" s="1118">
        <f t="shared" si="1"/>
        <v>0</v>
      </c>
      <c r="J19" s="149">
        <f t="shared" si="2"/>
        <v>0</v>
      </c>
      <c r="K19" s="149">
        <f t="shared" si="3"/>
        <v>0</v>
      </c>
      <c r="N19" s="138">
        <f t="shared" si="5"/>
        <v>0</v>
      </c>
      <c r="O19" s="149">
        <f t="shared" si="6"/>
        <v>0</v>
      </c>
    </row>
    <row r="20" spans="1:15" x14ac:dyDescent="0.35">
      <c r="A20" s="140" t="s">
        <v>660</v>
      </c>
      <c r="B20" s="161">
        <v>1</v>
      </c>
      <c r="C20" s="142">
        <v>52000</v>
      </c>
      <c r="D20" s="142">
        <f t="shared" si="10"/>
        <v>77000</v>
      </c>
      <c r="E20" s="143">
        <f t="shared" si="7"/>
        <v>57000</v>
      </c>
      <c r="F20" s="162">
        <f t="shared" si="8"/>
        <v>57000</v>
      </c>
      <c r="G20" s="149">
        <f>+$G$4*B20</f>
        <v>5880</v>
      </c>
      <c r="H20" s="138">
        <f t="shared" si="9"/>
        <v>12294.9</v>
      </c>
      <c r="I20" s="1118">
        <f t="shared" si="1"/>
        <v>826.5</v>
      </c>
      <c r="J20" s="149">
        <f t="shared" si="2"/>
        <v>718.2</v>
      </c>
      <c r="K20" s="149">
        <f t="shared" si="3"/>
        <v>969.00000000000011</v>
      </c>
      <c r="L20" s="138">
        <f>+$L$4*B20</f>
        <v>8.4</v>
      </c>
      <c r="N20" s="138">
        <f t="shared" si="5"/>
        <v>14817</v>
      </c>
      <c r="O20" s="149">
        <f t="shared" si="6"/>
        <v>71817</v>
      </c>
    </row>
    <row r="21" spans="1:15" x14ac:dyDescent="0.35">
      <c r="A21" s="140" t="s">
        <v>663</v>
      </c>
      <c r="B21" s="161">
        <v>4</v>
      </c>
      <c r="C21" s="142">
        <v>52000</v>
      </c>
      <c r="D21" s="142">
        <f t="shared" si="10"/>
        <v>77000</v>
      </c>
      <c r="E21" s="143">
        <f t="shared" si="7"/>
        <v>57000</v>
      </c>
      <c r="F21" s="162">
        <f t="shared" si="8"/>
        <v>228000</v>
      </c>
      <c r="G21" s="149">
        <f>+$G$4*B21</f>
        <v>23520</v>
      </c>
      <c r="H21" s="138">
        <f t="shared" si="9"/>
        <v>49179.6</v>
      </c>
      <c r="I21" s="1118">
        <f t="shared" si="1"/>
        <v>3306</v>
      </c>
      <c r="J21" s="149">
        <f t="shared" si="2"/>
        <v>2872.8</v>
      </c>
      <c r="K21" s="149">
        <f t="shared" si="3"/>
        <v>3876.0000000000005</v>
      </c>
      <c r="L21" s="138">
        <f>+$L$4*B21</f>
        <v>33.6</v>
      </c>
      <c r="N21" s="138">
        <f t="shared" si="5"/>
        <v>59268</v>
      </c>
      <c r="O21" s="149">
        <f t="shared" si="6"/>
        <v>287268</v>
      </c>
    </row>
    <row r="22" spans="1:15" x14ac:dyDescent="0.35">
      <c r="A22" s="140" t="s">
        <v>664</v>
      </c>
      <c r="B22" s="161">
        <v>1</v>
      </c>
      <c r="C22" s="142">
        <v>60000</v>
      </c>
      <c r="D22" s="142">
        <f t="shared" si="10"/>
        <v>85000</v>
      </c>
      <c r="E22" s="143">
        <f t="shared" si="7"/>
        <v>65000</v>
      </c>
      <c r="F22" s="162">
        <f t="shared" si="8"/>
        <v>65000</v>
      </c>
      <c r="G22" s="149">
        <f>+$G$4*B22</f>
        <v>5880</v>
      </c>
      <c r="H22" s="138">
        <f t="shared" si="9"/>
        <v>14020.5</v>
      </c>
      <c r="I22" s="1118">
        <f t="shared" si="1"/>
        <v>942.5</v>
      </c>
      <c r="J22" s="149">
        <f t="shared" si="2"/>
        <v>819</v>
      </c>
      <c r="K22" s="149">
        <f t="shared" si="3"/>
        <v>1105</v>
      </c>
      <c r="L22" s="138">
        <f>+$L$4*B22</f>
        <v>8.4</v>
      </c>
      <c r="N22" s="138">
        <f t="shared" si="5"/>
        <v>16895.400000000001</v>
      </c>
      <c r="O22" s="149">
        <f t="shared" si="6"/>
        <v>81895.399999999994</v>
      </c>
    </row>
    <row r="24" spans="1:15" ht="15.5" x14ac:dyDescent="0.35">
      <c r="B24" s="141">
        <f>SUM(B5:B23)</f>
        <v>21</v>
      </c>
      <c r="F24" s="167">
        <f>SUM(F5:F23)</f>
        <v>1297000</v>
      </c>
      <c r="G24" s="149">
        <f>SUM(G5:G22)</f>
        <v>117600</v>
      </c>
      <c r="N24" s="138">
        <f>SUM(N5:N23)</f>
        <v>337128.60000000009</v>
      </c>
    </row>
    <row r="26" spans="1:15" x14ac:dyDescent="0.35">
      <c r="A26" s="1162" t="s">
        <v>705</v>
      </c>
      <c r="B26" s="161">
        <v>0</v>
      </c>
      <c r="C26" s="142">
        <v>64000</v>
      </c>
      <c r="D26" s="142">
        <f>C26+25000</f>
        <v>89000</v>
      </c>
      <c r="E26" s="143">
        <f>C26+5000</f>
        <v>69000</v>
      </c>
      <c r="F26" s="162">
        <v>0</v>
      </c>
    </row>
    <row r="29" spans="1:15" x14ac:dyDescent="0.35">
      <c r="A29" s="140" t="s">
        <v>666</v>
      </c>
      <c r="B29" s="161">
        <v>1</v>
      </c>
      <c r="C29" s="168">
        <v>135000</v>
      </c>
      <c r="D29" s="140"/>
      <c r="E29" s="140"/>
      <c r="F29" s="491">
        <f>C29*B29</f>
        <v>135000</v>
      </c>
      <c r="G29" s="149">
        <f>+$G$4*B29</f>
        <v>5880</v>
      </c>
      <c r="H29" s="138">
        <f t="shared" ref="H29:H33" si="11">+F29*$H$4</f>
        <v>29119.5</v>
      </c>
      <c r="I29" s="1118">
        <f>+$I$4*F29</f>
        <v>1957.5</v>
      </c>
      <c r="J29" s="149">
        <f>+$J$4*F29</f>
        <v>1701</v>
      </c>
      <c r="K29" s="149">
        <f>+$K$4*F29</f>
        <v>2295</v>
      </c>
      <c r="L29" s="138">
        <f>+$L$4*B29</f>
        <v>8.4</v>
      </c>
      <c r="N29" s="138">
        <f>SUM(H29:L29)</f>
        <v>35081.4</v>
      </c>
      <c r="O29" s="149">
        <f>+N29+F29</f>
        <v>170081.4</v>
      </c>
    </row>
    <row r="30" spans="1:15" x14ac:dyDescent="0.35">
      <c r="A30" s="140" t="s">
        <v>706</v>
      </c>
      <c r="B30" s="161">
        <v>1</v>
      </c>
      <c r="C30" s="168">
        <v>95000</v>
      </c>
      <c r="D30" s="140"/>
      <c r="E30" s="140"/>
      <c r="F30" s="491">
        <f>C30*B30</f>
        <v>95000</v>
      </c>
      <c r="G30" s="149">
        <f>+$G$4*B30</f>
        <v>5880</v>
      </c>
      <c r="H30" s="138">
        <f t="shared" si="11"/>
        <v>20491.5</v>
      </c>
      <c r="I30" s="1118">
        <f>+$I$4*F30</f>
        <v>1377.5</v>
      </c>
      <c r="J30" s="149">
        <f>+$J$4*F30</f>
        <v>1197</v>
      </c>
      <c r="K30" s="149">
        <f>+$K$4*F30</f>
        <v>1615.0000000000002</v>
      </c>
      <c r="L30" s="138">
        <f>+$L$4*B30</f>
        <v>8.4</v>
      </c>
      <c r="N30" s="138">
        <f>SUM(H30:L30)</f>
        <v>24689.4</v>
      </c>
      <c r="O30" s="149">
        <f>+N30+F30</f>
        <v>119689.4</v>
      </c>
    </row>
    <row r="31" spans="1:15" x14ac:dyDescent="0.35">
      <c r="A31" s="140" t="s">
        <v>672</v>
      </c>
      <c r="B31" s="161">
        <v>1</v>
      </c>
      <c r="C31" s="168">
        <v>55000</v>
      </c>
      <c r="D31" s="140"/>
      <c r="E31" s="140"/>
      <c r="F31" s="491">
        <f>C31*B31</f>
        <v>55000</v>
      </c>
      <c r="G31" s="149">
        <f>+$G$4*B31</f>
        <v>5880</v>
      </c>
      <c r="H31" s="138">
        <f t="shared" si="11"/>
        <v>11863.5</v>
      </c>
      <c r="I31" s="1118">
        <f>+$I$4*F31</f>
        <v>797.5</v>
      </c>
      <c r="J31" s="149">
        <f>+$J$4*F31</f>
        <v>693</v>
      </c>
      <c r="K31" s="149">
        <f>+$K$4*F31</f>
        <v>935.00000000000011</v>
      </c>
      <c r="L31" s="138">
        <f>+$L$4*B31</f>
        <v>8.4</v>
      </c>
      <c r="N31" s="138">
        <f>SUM(H31:L31)</f>
        <v>14297.4</v>
      </c>
      <c r="O31" s="149">
        <f>+N31+F31</f>
        <v>69297.399999999994</v>
      </c>
    </row>
    <row r="32" spans="1:15" x14ac:dyDescent="0.35">
      <c r="A32" s="1162" t="s">
        <v>707</v>
      </c>
      <c r="B32" s="161">
        <v>1</v>
      </c>
      <c r="C32" s="168">
        <v>40000</v>
      </c>
      <c r="D32" s="140"/>
      <c r="E32" s="140"/>
      <c r="F32" s="491">
        <f>C32*B32</f>
        <v>40000</v>
      </c>
      <c r="G32" s="149">
        <f>+$G$4*B32</f>
        <v>5880</v>
      </c>
      <c r="H32" s="138">
        <f t="shared" si="11"/>
        <v>8628</v>
      </c>
      <c r="I32" s="1118">
        <f>+$I$4*F32</f>
        <v>580</v>
      </c>
      <c r="J32" s="149">
        <f>+$J$4*F32</f>
        <v>504</v>
      </c>
      <c r="K32" s="149">
        <f>+$K$4*F32</f>
        <v>680</v>
      </c>
      <c r="L32" s="138">
        <f>+$L$4*B32</f>
        <v>8.4</v>
      </c>
      <c r="N32" s="138">
        <f>SUM(H32:L32)</f>
        <v>10400.4</v>
      </c>
      <c r="O32" s="149">
        <f>+N32+F32</f>
        <v>50400.4</v>
      </c>
    </row>
    <row r="33" spans="1:15" x14ac:dyDescent="0.35">
      <c r="A33" s="760" t="s">
        <v>708</v>
      </c>
      <c r="B33" s="161">
        <v>1</v>
      </c>
      <c r="C33" s="168">
        <v>35000</v>
      </c>
      <c r="D33" s="140"/>
      <c r="E33" s="140"/>
      <c r="F33" s="491">
        <f>C33*B33</f>
        <v>35000</v>
      </c>
      <c r="G33" s="149">
        <f>+$G$4*B33</f>
        <v>5880</v>
      </c>
      <c r="H33" s="138">
        <f t="shared" si="11"/>
        <v>7549.5</v>
      </c>
      <c r="I33" s="1118">
        <f>+$I$4*F33</f>
        <v>507.5</v>
      </c>
      <c r="J33" s="149">
        <f>+$J$4*F33</f>
        <v>441</v>
      </c>
      <c r="K33" s="149">
        <f>+$K$4*F33</f>
        <v>595</v>
      </c>
      <c r="L33" s="138">
        <f>+$L$4*B33</f>
        <v>8.4</v>
      </c>
      <c r="N33" s="138">
        <f>SUM(H33:L33)</f>
        <v>9101.4</v>
      </c>
      <c r="O33" s="149">
        <f>+N33+F33</f>
        <v>44101.4</v>
      </c>
    </row>
    <row r="35" spans="1:15" ht="15.5" x14ac:dyDescent="0.35">
      <c r="B35" s="141">
        <f>SUM(B29:B34)</f>
        <v>5</v>
      </c>
      <c r="C35" s="167">
        <f>SUM(C29:C34)</f>
        <v>360000</v>
      </c>
      <c r="G35" s="149">
        <f>SUM(G29:G34)</f>
        <v>29400</v>
      </c>
      <c r="N35" s="138">
        <f>SUM(N29:N34)</f>
        <v>93569.999999999985</v>
      </c>
    </row>
    <row r="38" spans="1:15" ht="15.5" x14ac:dyDescent="0.35">
      <c r="B38" s="169">
        <f>B24+B35</f>
        <v>26</v>
      </c>
      <c r="F38" s="160">
        <f>F24+C35</f>
        <v>1657000</v>
      </c>
    </row>
  </sheetData>
  <mergeCells count="7">
    <mergeCell ref="A1:F1"/>
    <mergeCell ref="A2:F2"/>
    <mergeCell ref="A3:A4"/>
    <mergeCell ref="B3:B4"/>
    <mergeCell ref="C3:D3"/>
    <mergeCell ref="E3:E4"/>
    <mergeCell ref="F3:F4"/>
  </mergeCells>
  <pageMargins left="0.7" right="0.7" top="0.75" bottom="0.75" header="0.3" footer="0.3"/>
  <pageSetup scale="9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E1D4-F201-408B-959A-133DC7C78727}">
  <dimension ref="A1:D167"/>
  <sheetViews>
    <sheetView workbookViewId="0">
      <selection activeCell="C28" sqref="C28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3" width="14.453125" style="560" customWidth="1"/>
    <col min="4" max="4" width="14.1796875" style="560" bestFit="1" customWidth="1"/>
    <col min="5" max="16384" width="9.1796875" style="319"/>
  </cols>
  <sheetData>
    <row r="1" spans="1:4" s="559" customFormat="1" ht="19" thickBot="1" x14ac:dyDescent="0.5">
      <c r="B1" s="584" t="s">
        <v>473</v>
      </c>
      <c r="C1" s="1257" t="s">
        <v>113</v>
      </c>
      <c r="D1" s="1258"/>
    </row>
    <row r="2" spans="1:4" s="559" customFormat="1" ht="18" customHeight="1" thickBot="1" x14ac:dyDescent="0.4">
      <c r="A2" s="575" t="s">
        <v>520</v>
      </c>
      <c r="B2" s="585" t="s">
        <v>94</v>
      </c>
      <c r="C2" s="597" t="s">
        <v>475</v>
      </c>
      <c r="D2" s="597" t="s">
        <v>96</v>
      </c>
    </row>
    <row r="3" spans="1:4" ht="16" thickBot="1" x14ac:dyDescent="0.4">
      <c r="A3" s="574" t="s">
        <v>521</v>
      </c>
      <c r="B3" s="320" t="s">
        <v>7</v>
      </c>
      <c r="C3" s="588">
        <f>'C3 FY23-FY27 Budget '!D10</f>
        <v>262137</v>
      </c>
      <c r="D3" s="588">
        <v>254797</v>
      </c>
    </row>
    <row r="4" spans="1:4" ht="16" thickBot="1" x14ac:dyDescent="0.4">
      <c r="A4" s="575" t="s">
        <v>522</v>
      </c>
      <c r="B4" s="663" t="s">
        <v>353</v>
      </c>
      <c r="C4" s="556"/>
      <c r="D4" s="556"/>
    </row>
    <row r="5" spans="1:4" s="560" customFormat="1" x14ac:dyDescent="0.35">
      <c r="A5" s="576">
        <v>1</v>
      </c>
      <c r="B5" s="656" t="s">
        <v>99</v>
      </c>
      <c r="C5" s="659"/>
      <c r="D5" s="659"/>
    </row>
    <row r="6" spans="1:4" s="560" customFormat="1" x14ac:dyDescent="0.35">
      <c r="A6" s="577">
        <v>2</v>
      </c>
      <c r="B6" s="645" t="s">
        <v>477</v>
      </c>
      <c r="C6" s="650"/>
      <c r="D6" s="651"/>
    </row>
    <row r="7" spans="1:4" s="560" customFormat="1" x14ac:dyDescent="0.35">
      <c r="A7" s="577">
        <v>3</v>
      </c>
      <c r="B7" s="645" t="s">
        <v>478</v>
      </c>
      <c r="C7" s="650"/>
      <c r="D7" s="650"/>
    </row>
    <row r="8" spans="1:4" s="560" customFormat="1" x14ac:dyDescent="0.35">
      <c r="A8" s="576">
        <v>4</v>
      </c>
      <c r="B8" s="525" t="s">
        <v>101</v>
      </c>
      <c r="C8" s="603"/>
      <c r="D8" s="615"/>
    </row>
    <row r="9" spans="1:4" s="560" customFormat="1" x14ac:dyDescent="0.35">
      <c r="A9" s="576">
        <v>5</v>
      </c>
      <c r="B9" s="525" t="s">
        <v>356</v>
      </c>
      <c r="C9" s="603"/>
      <c r="D9" s="603"/>
    </row>
    <row r="10" spans="1:4" s="560" customFormat="1" x14ac:dyDescent="0.35">
      <c r="A10" s="577">
        <v>6</v>
      </c>
      <c r="B10" s="614" t="s">
        <v>262</v>
      </c>
      <c r="C10" s="603"/>
      <c r="D10" s="603"/>
    </row>
    <row r="11" spans="1:4" s="560" customFormat="1" x14ac:dyDescent="0.35">
      <c r="A11" s="577">
        <v>7</v>
      </c>
      <c r="B11" s="614" t="s">
        <v>19</v>
      </c>
      <c r="C11" s="603"/>
      <c r="D11" s="603"/>
    </row>
    <row r="12" spans="1:4" s="560" customFormat="1" x14ac:dyDescent="0.35">
      <c r="A12" s="577">
        <v>8</v>
      </c>
      <c r="B12" s="614" t="s">
        <v>18</v>
      </c>
      <c r="C12" s="603"/>
      <c r="D12" s="603"/>
    </row>
    <row r="13" spans="1:4" s="560" customFormat="1" x14ac:dyDescent="0.35">
      <c r="A13" s="578">
        <v>9</v>
      </c>
      <c r="B13" s="525" t="s">
        <v>218</v>
      </c>
      <c r="C13" s="603"/>
      <c r="D13" s="603"/>
    </row>
    <row r="14" spans="1:4" s="560" customFormat="1" x14ac:dyDescent="0.35">
      <c r="A14" s="578">
        <v>10</v>
      </c>
      <c r="B14" s="525" t="s">
        <v>357</v>
      </c>
      <c r="C14" s="603"/>
      <c r="D14" s="603"/>
    </row>
    <row r="15" spans="1:4" s="560" customFormat="1" x14ac:dyDescent="0.35">
      <c r="A15" s="578">
        <v>11</v>
      </c>
      <c r="B15" s="525" t="s">
        <v>219</v>
      </c>
      <c r="C15" s="603"/>
      <c r="D15" s="603"/>
    </row>
    <row r="16" spans="1:4" s="560" customFormat="1" x14ac:dyDescent="0.35">
      <c r="A16" s="578">
        <v>12</v>
      </c>
      <c r="B16" s="525" t="s">
        <v>230</v>
      </c>
      <c r="C16" s="603"/>
      <c r="D16" s="603"/>
    </row>
    <row r="17" spans="1:4" s="560" customFormat="1" x14ac:dyDescent="0.35">
      <c r="A17" s="578">
        <v>13</v>
      </c>
      <c r="B17" s="525" t="s">
        <v>359</v>
      </c>
      <c r="C17" s="603"/>
      <c r="D17" s="603"/>
    </row>
    <row r="18" spans="1:4" s="560" customFormat="1" x14ac:dyDescent="0.35">
      <c r="A18" s="578">
        <v>14</v>
      </c>
      <c r="B18" s="525" t="s">
        <v>260</v>
      </c>
      <c r="C18" s="603"/>
      <c r="D18" s="603"/>
    </row>
    <row r="19" spans="1:4" s="560" customFormat="1" x14ac:dyDescent="0.35">
      <c r="A19" s="578">
        <v>15</v>
      </c>
      <c r="B19" s="525" t="s">
        <v>12</v>
      </c>
      <c r="C19" s="603"/>
      <c r="D19" s="603"/>
    </row>
    <row r="20" spans="1:4" s="560" customFormat="1" x14ac:dyDescent="0.35">
      <c r="A20" s="578">
        <v>16</v>
      </c>
      <c r="B20" s="525" t="s">
        <v>220</v>
      </c>
      <c r="C20" s="603"/>
      <c r="D20" s="603"/>
    </row>
    <row r="21" spans="1:4" s="560" customFormat="1" x14ac:dyDescent="0.35">
      <c r="A21" s="578">
        <v>17</v>
      </c>
      <c r="B21" s="525" t="s">
        <v>8</v>
      </c>
      <c r="C21" s="603"/>
      <c r="D21" s="603"/>
    </row>
    <row r="22" spans="1:4" s="560" customFormat="1" x14ac:dyDescent="0.35">
      <c r="A22" s="578">
        <v>18</v>
      </c>
      <c r="B22" s="525" t="s">
        <v>117</v>
      </c>
      <c r="C22" s="603"/>
      <c r="D22" s="603"/>
    </row>
    <row r="23" spans="1:4" s="560" customFormat="1" x14ac:dyDescent="0.35">
      <c r="A23" s="578">
        <v>19</v>
      </c>
      <c r="B23" s="525" t="s">
        <v>118</v>
      </c>
      <c r="C23" s="603"/>
      <c r="D23" s="603"/>
    </row>
    <row r="24" spans="1:4" s="560" customFormat="1" x14ac:dyDescent="0.35">
      <c r="A24" s="576">
        <v>20</v>
      </c>
      <c r="B24" s="525" t="s">
        <v>108</v>
      </c>
      <c r="C24" s="603"/>
      <c r="D24" s="603"/>
    </row>
    <row r="25" spans="1:4" s="560" customFormat="1" x14ac:dyDescent="0.35">
      <c r="A25" s="577">
        <v>21</v>
      </c>
      <c r="B25" s="614" t="s">
        <v>13</v>
      </c>
      <c r="C25" s="603"/>
      <c r="D25" s="603"/>
    </row>
    <row r="26" spans="1:4" s="560" customFormat="1" x14ac:dyDescent="0.35">
      <c r="A26" s="577">
        <v>22</v>
      </c>
      <c r="B26" s="614" t="s">
        <v>20</v>
      </c>
      <c r="C26" s="603"/>
      <c r="D26" s="603"/>
    </row>
    <row r="27" spans="1:4" s="560" customFormat="1" x14ac:dyDescent="0.35">
      <c r="A27" s="576">
        <v>23</v>
      </c>
      <c r="B27" s="525" t="s">
        <v>104</v>
      </c>
      <c r="C27" s="603"/>
      <c r="D27" s="603"/>
    </row>
    <row r="28" spans="1:4" s="560" customFormat="1" x14ac:dyDescent="0.35">
      <c r="A28" s="576">
        <v>24</v>
      </c>
      <c r="B28" s="525" t="s">
        <v>105</v>
      </c>
      <c r="C28" s="603"/>
      <c r="D28" s="603"/>
    </row>
    <row r="29" spans="1:4" s="560" customFormat="1" x14ac:dyDescent="0.35">
      <c r="A29" s="576">
        <v>25</v>
      </c>
      <c r="B29" s="525" t="s">
        <v>106</v>
      </c>
      <c r="C29" s="603"/>
      <c r="D29" s="615"/>
    </row>
    <row r="30" spans="1:4" s="560" customFormat="1" x14ac:dyDescent="0.35">
      <c r="A30" s="576">
        <v>26</v>
      </c>
      <c r="B30" s="525" t="s">
        <v>107</v>
      </c>
      <c r="C30" s="603"/>
      <c r="D30" s="615"/>
    </row>
    <row r="31" spans="1:4" s="560" customFormat="1" x14ac:dyDescent="0.35">
      <c r="A31" s="576">
        <v>27</v>
      </c>
      <c r="B31" s="525" t="s">
        <v>109</v>
      </c>
      <c r="C31" s="603"/>
      <c r="D31" s="603"/>
    </row>
    <row r="32" spans="1:4" s="560" customFormat="1" x14ac:dyDescent="0.35">
      <c r="A32" s="577">
        <v>28</v>
      </c>
      <c r="B32" s="525" t="s">
        <v>222</v>
      </c>
      <c r="C32" s="603"/>
      <c r="D32" s="603"/>
    </row>
    <row r="33" spans="1:4" s="560" customFormat="1" x14ac:dyDescent="0.35">
      <c r="A33" s="578">
        <v>29</v>
      </c>
      <c r="B33" s="525" t="s">
        <v>361</v>
      </c>
      <c r="C33" s="603"/>
      <c r="D33" s="615"/>
    </row>
    <row r="34" spans="1:4" s="560" customFormat="1" x14ac:dyDescent="0.35">
      <c r="A34" s="578">
        <v>30</v>
      </c>
      <c r="B34" s="525" t="s">
        <v>111</v>
      </c>
      <c r="C34" s="603"/>
      <c r="D34" s="603"/>
    </row>
    <row r="35" spans="1:4" s="560" customFormat="1" x14ac:dyDescent="0.35">
      <c r="A35" s="577">
        <v>31</v>
      </c>
      <c r="B35" s="614" t="s">
        <v>261</v>
      </c>
      <c r="C35" s="603"/>
      <c r="D35" s="603"/>
    </row>
    <row r="36" spans="1:4" s="560" customFormat="1" x14ac:dyDescent="0.35">
      <c r="A36" s="576">
        <v>32</v>
      </c>
      <c r="B36" s="525" t="s">
        <v>479</v>
      </c>
      <c r="C36" s="603"/>
      <c r="D36" s="615"/>
    </row>
    <row r="37" spans="1:4" s="560" customFormat="1" x14ac:dyDescent="0.35">
      <c r="A37" s="579">
        <v>33</v>
      </c>
      <c r="B37" s="525" t="s">
        <v>264</v>
      </c>
      <c r="C37" s="603"/>
      <c r="D37" s="603"/>
    </row>
    <row r="38" spans="1:4" s="560" customFormat="1" x14ac:dyDescent="0.35">
      <c r="A38" s="577">
        <v>34</v>
      </c>
      <c r="B38" s="614" t="s">
        <v>14</v>
      </c>
      <c r="C38" s="603"/>
      <c r="D38" s="603"/>
    </row>
    <row r="39" spans="1:4" s="560" customFormat="1" x14ac:dyDescent="0.35">
      <c r="A39" s="577">
        <v>35</v>
      </c>
      <c r="B39" s="617" t="s">
        <v>368</v>
      </c>
      <c r="C39" s="603"/>
      <c r="D39" s="603"/>
    </row>
    <row r="40" spans="1:4" s="560" customFormat="1" x14ac:dyDescent="0.35">
      <c r="A40" s="577">
        <v>36</v>
      </c>
      <c r="B40" s="614" t="s">
        <v>265</v>
      </c>
      <c r="C40" s="603"/>
      <c r="D40" s="603"/>
    </row>
    <row r="41" spans="1:4" s="560" customFormat="1" x14ac:dyDescent="0.35">
      <c r="A41" s="577">
        <v>37</v>
      </c>
      <c r="B41" s="617" t="s">
        <v>480</v>
      </c>
      <c r="C41" s="603"/>
      <c r="D41" s="603"/>
    </row>
    <row r="42" spans="1:4" s="568" customFormat="1" ht="15.5" x14ac:dyDescent="0.35">
      <c r="A42" s="580"/>
      <c r="B42" s="561" t="s">
        <v>371</v>
      </c>
      <c r="C42" s="564"/>
      <c r="D42" s="564"/>
    </row>
    <row r="43" spans="1:4" s="568" customFormat="1" ht="9.75" customHeight="1" x14ac:dyDescent="0.35">
      <c r="A43" s="581"/>
      <c r="B43" s="569"/>
      <c r="C43" s="570"/>
      <c r="D43" s="570"/>
    </row>
    <row r="44" spans="1:4" ht="15.5" x14ac:dyDescent="0.35">
      <c r="A44" s="575"/>
      <c r="B44" s="554" t="s">
        <v>372</v>
      </c>
      <c r="C44" s="554"/>
      <c r="D44" s="554"/>
    </row>
    <row r="45" spans="1:4" x14ac:dyDescent="0.35">
      <c r="A45" s="576">
        <v>1</v>
      </c>
      <c r="B45" s="524" t="s">
        <v>373</v>
      </c>
      <c r="C45" s="603"/>
      <c r="D45" s="603"/>
    </row>
    <row r="46" spans="1:4" x14ac:dyDescent="0.35">
      <c r="A46" s="576">
        <v>2</v>
      </c>
      <c r="B46" s="525" t="s">
        <v>374</v>
      </c>
      <c r="C46" s="603"/>
      <c r="D46" s="603"/>
    </row>
    <row r="47" spans="1:4" x14ac:dyDescent="0.35">
      <c r="A47" s="576">
        <v>3</v>
      </c>
      <c r="B47" s="607" t="s">
        <v>375</v>
      </c>
      <c r="C47" s="603"/>
      <c r="D47" s="603"/>
    </row>
    <row r="48" spans="1:4" x14ac:dyDescent="0.35">
      <c r="A48" s="576">
        <v>4</v>
      </c>
      <c r="B48" s="524" t="s">
        <v>483</v>
      </c>
      <c r="C48" s="603"/>
      <c r="D48" s="603"/>
    </row>
    <row r="49" spans="1:4" x14ac:dyDescent="0.35">
      <c r="A49" s="576">
        <v>5</v>
      </c>
      <c r="B49" s="524" t="s">
        <v>378</v>
      </c>
      <c r="C49" s="603"/>
      <c r="D49" s="603"/>
    </row>
    <row r="50" spans="1:4" x14ac:dyDescent="0.35">
      <c r="A50" s="576">
        <v>8</v>
      </c>
      <c r="B50" s="524" t="s">
        <v>484</v>
      </c>
      <c r="C50" s="603"/>
      <c r="D50" s="603"/>
    </row>
    <row r="51" spans="1:4" x14ac:dyDescent="0.35">
      <c r="A51" s="576">
        <v>6</v>
      </c>
      <c r="B51" s="524" t="s">
        <v>381</v>
      </c>
      <c r="C51" s="603"/>
      <c r="D51" s="603"/>
    </row>
    <row r="52" spans="1:4" x14ac:dyDescent="0.35">
      <c r="A52" s="576">
        <v>7</v>
      </c>
      <c r="B52" s="524" t="s">
        <v>382</v>
      </c>
      <c r="C52" s="603"/>
      <c r="D52" s="603"/>
    </row>
    <row r="53" spans="1:4" x14ac:dyDescent="0.35">
      <c r="A53" s="576">
        <v>9</v>
      </c>
      <c r="B53" s="524" t="s">
        <v>384</v>
      </c>
      <c r="C53" s="603"/>
      <c r="D53" s="603"/>
    </row>
    <row r="54" spans="1:4" x14ac:dyDescent="0.35">
      <c r="A54" s="576">
        <v>10</v>
      </c>
      <c r="B54" s="550" t="s">
        <v>485</v>
      </c>
      <c r="C54" s="603"/>
      <c r="D54" s="603"/>
    </row>
    <row r="55" spans="1:4" x14ac:dyDescent="0.35">
      <c r="A55" s="576">
        <v>11</v>
      </c>
      <c r="B55" s="550" t="s">
        <v>486</v>
      </c>
      <c r="C55" s="603"/>
      <c r="D55" s="603"/>
    </row>
    <row r="56" spans="1:4" x14ac:dyDescent="0.35">
      <c r="A56" s="576">
        <v>12</v>
      </c>
      <c r="B56" s="524" t="s">
        <v>487</v>
      </c>
      <c r="C56" s="603"/>
      <c r="D56" s="603"/>
    </row>
    <row r="57" spans="1:4" x14ac:dyDescent="0.35">
      <c r="A57" s="576">
        <v>13</v>
      </c>
      <c r="B57" s="550" t="s">
        <v>523</v>
      </c>
      <c r="C57" s="603"/>
      <c r="D57" s="603"/>
    </row>
    <row r="58" spans="1:4" x14ac:dyDescent="0.35">
      <c r="A58" s="576">
        <v>14</v>
      </c>
      <c r="B58" s="550" t="s">
        <v>524</v>
      </c>
      <c r="C58" s="603"/>
      <c r="D58" s="603"/>
    </row>
    <row r="59" spans="1:4" x14ac:dyDescent="0.35">
      <c r="A59" s="576">
        <v>15</v>
      </c>
      <c r="B59" s="550" t="s">
        <v>490</v>
      </c>
      <c r="C59" s="603"/>
      <c r="D59" s="603"/>
    </row>
    <row r="60" spans="1:4" x14ac:dyDescent="0.35">
      <c r="A60" s="576">
        <v>16</v>
      </c>
      <c r="B60" s="524" t="s">
        <v>491</v>
      </c>
      <c r="C60" s="603"/>
      <c r="D60" s="603"/>
    </row>
    <row r="61" spans="1:4" x14ac:dyDescent="0.35">
      <c r="A61" s="576">
        <v>17</v>
      </c>
      <c r="B61" s="524" t="s">
        <v>492</v>
      </c>
      <c r="C61" s="603"/>
      <c r="D61" s="603"/>
    </row>
    <row r="62" spans="1:4" x14ac:dyDescent="0.35">
      <c r="A62" s="576">
        <v>18</v>
      </c>
      <c r="B62" s="524" t="s">
        <v>244</v>
      </c>
      <c r="C62" s="603"/>
      <c r="D62" s="603"/>
    </row>
    <row r="63" spans="1:4" x14ac:dyDescent="0.35">
      <c r="A63" s="576">
        <v>19</v>
      </c>
      <c r="B63" s="524" t="s">
        <v>397</v>
      </c>
      <c r="C63" s="603"/>
      <c r="D63" s="603"/>
    </row>
    <row r="64" spans="1:4" x14ac:dyDescent="0.35">
      <c r="A64" s="576">
        <v>20</v>
      </c>
      <c r="B64" s="524" t="s">
        <v>398</v>
      </c>
      <c r="C64" s="603"/>
      <c r="D64" s="603"/>
    </row>
    <row r="65" spans="1:4" x14ac:dyDescent="0.35">
      <c r="A65" s="576">
        <v>21</v>
      </c>
      <c r="B65" s="524" t="s">
        <v>399</v>
      </c>
      <c r="C65" s="603"/>
      <c r="D65" s="603"/>
    </row>
    <row r="66" spans="1:4" x14ac:dyDescent="0.35">
      <c r="A66" s="576">
        <v>22</v>
      </c>
      <c r="B66" s="524" t="s">
        <v>525</v>
      </c>
      <c r="C66" s="603"/>
      <c r="D66" s="603"/>
    </row>
    <row r="67" spans="1:4" x14ac:dyDescent="0.35">
      <c r="A67" s="576">
        <v>23</v>
      </c>
      <c r="B67" s="551" t="s">
        <v>526</v>
      </c>
      <c r="C67" s="603"/>
      <c r="D67" s="603"/>
    </row>
    <row r="68" spans="1:4" x14ac:dyDescent="0.35">
      <c r="A68" s="576">
        <v>24</v>
      </c>
      <c r="B68" s="551" t="s">
        <v>494</v>
      </c>
      <c r="C68" s="603"/>
      <c r="D68" s="603"/>
    </row>
    <row r="69" spans="1:4" s="560" customFormat="1" x14ac:dyDescent="0.35">
      <c r="A69" s="576">
        <v>25</v>
      </c>
      <c r="B69" s="551" t="s">
        <v>171</v>
      </c>
      <c r="C69" s="603"/>
      <c r="D69" s="603"/>
    </row>
    <row r="70" spans="1:4" x14ac:dyDescent="0.35">
      <c r="A70" s="576">
        <v>26</v>
      </c>
      <c r="B70" s="551" t="s">
        <v>314</v>
      </c>
      <c r="C70" s="603"/>
      <c r="D70" s="603"/>
    </row>
    <row r="71" spans="1:4" x14ac:dyDescent="0.35">
      <c r="A71" s="576">
        <v>27</v>
      </c>
      <c r="B71" s="524" t="s">
        <v>195</v>
      </c>
      <c r="C71" s="603"/>
      <c r="D71" s="603"/>
    </row>
    <row r="72" spans="1:4" x14ac:dyDescent="0.35">
      <c r="A72" s="576">
        <v>28</v>
      </c>
      <c r="B72" s="524" t="s">
        <v>495</v>
      </c>
      <c r="C72" s="603"/>
      <c r="D72" s="603"/>
    </row>
    <row r="73" spans="1:4" x14ac:dyDescent="0.35">
      <c r="A73" s="576">
        <v>29</v>
      </c>
      <c r="B73" s="524" t="s">
        <v>527</v>
      </c>
      <c r="C73" s="603"/>
      <c r="D73" s="603"/>
    </row>
    <row r="74" spans="1:4" x14ac:dyDescent="0.35">
      <c r="A74" s="576">
        <v>30</v>
      </c>
      <c r="B74" s="524" t="s">
        <v>505</v>
      </c>
      <c r="C74" s="603"/>
      <c r="D74" s="603"/>
    </row>
    <row r="75" spans="1:4" x14ac:dyDescent="0.35">
      <c r="A75" s="576">
        <v>31</v>
      </c>
      <c r="B75" s="524" t="s">
        <v>507</v>
      </c>
      <c r="C75" s="603"/>
      <c r="D75" s="603"/>
    </row>
    <row r="76" spans="1:4" x14ac:dyDescent="0.35">
      <c r="A76" s="576">
        <v>32</v>
      </c>
      <c r="B76" s="608" t="s">
        <v>511</v>
      </c>
      <c r="C76" s="603"/>
      <c r="D76" s="603"/>
    </row>
    <row r="77" spans="1:4" x14ac:dyDescent="0.35">
      <c r="A77" s="576">
        <v>33</v>
      </c>
      <c r="B77" s="608" t="s">
        <v>512</v>
      </c>
      <c r="C77" s="603"/>
      <c r="D77" s="603"/>
    </row>
    <row r="78" spans="1:4" x14ac:dyDescent="0.35">
      <c r="A78" s="576">
        <v>34</v>
      </c>
      <c r="B78" s="609" t="s">
        <v>202</v>
      </c>
      <c r="C78" s="603"/>
      <c r="D78" s="603"/>
    </row>
    <row r="79" spans="1:4" x14ac:dyDescent="0.35">
      <c r="A79" s="576">
        <v>35</v>
      </c>
      <c r="B79" s="524" t="s">
        <v>508</v>
      </c>
      <c r="C79" s="603"/>
      <c r="D79" s="603"/>
    </row>
    <row r="80" spans="1:4" x14ac:dyDescent="0.35">
      <c r="A80" s="576">
        <v>36</v>
      </c>
      <c r="B80" s="552" t="s">
        <v>528</v>
      </c>
      <c r="C80" s="603"/>
      <c r="D80" s="603"/>
    </row>
    <row r="81" spans="1:4" x14ac:dyDescent="0.35">
      <c r="A81" s="576">
        <v>37</v>
      </c>
      <c r="B81" s="524" t="s">
        <v>198</v>
      </c>
      <c r="C81" s="603"/>
      <c r="D81" s="603"/>
    </row>
    <row r="82" spans="1:4" x14ac:dyDescent="0.35">
      <c r="A82" s="576">
        <v>38</v>
      </c>
      <c r="B82" s="524" t="s">
        <v>316</v>
      </c>
      <c r="C82" s="603"/>
      <c r="D82" s="603"/>
    </row>
    <row r="83" spans="1:4" x14ac:dyDescent="0.35">
      <c r="A83" s="576">
        <v>39</v>
      </c>
      <c r="B83" s="610" t="s">
        <v>317</v>
      </c>
      <c r="C83" s="603"/>
      <c r="D83" s="603"/>
    </row>
    <row r="84" spans="1:4" x14ac:dyDescent="0.35">
      <c r="A84" s="576">
        <v>40</v>
      </c>
      <c r="B84" s="524" t="s">
        <v>404</v>
      </c>
      <c r="C84" s="603"/>
      <c r="D84" s="603"/>
    </row>
    <row r="85" spans="1:4" x14ac:dyDescent="0.35">
      <c r="A85" s="576">
        <v>41</v>
      </c>
      <c r="B85" s="524" t="s">
        <v>496</v>
      </c>
      <c r="C85" s="603"/>
      <c r="D85" s="603"/>
    </row>
    <row r="86" spans="1:4" x14ac:dyDescent="0.35">
      <c r="A86" s="576">
        <v>42</v>
      </c>
      <c r="B86" s="524" t="s">
        <v>497</v>
      </c>
      <c r="C86" s="603"/>
      <c r="D86" s="603"/>
    </row>
    <row r="87" spans="1:4" x14ac:dyDescent="0.35">
      <c r="A87" s="576">
        <v>43</v>
      </c>
      <c r="B87" s="524" t="s">
        <v>173</v>
      </c>
      <c r="C87" s="603"/>
      <c r="D87" s="603"/>
    </row>
    <row r="88" spans="1:4" x14ac:dyDescent="0.35">
      <c r="A88" s="576">
        <v>44</v>
      </c>
      <c r="B88" s="524" t="s">
        <v>179</v>
      </c>
      <c r="C88" s="603"/>
      <c r="D88" s="603"/>
    </row>
    <row r="89" spans="1:4" x14ac:dyDescent="0.35">
      <c r="A89" s="576">
        <v>45</v>
      </c>
      <c r="B89" s="603" t="s">
        <v>529</v>
      </c>
      <c r="C89" s="603"/>
      <c r="D89" s="603"/>
    </row>
    <row r="90" spans="1:4" x14ac:dyDescent="0.35">
      <c r="A90" s="576">
        <v>46</v>
      </c>
      <c r="B90" s="603" t="s">
        <v>174</v>
      </c>
      <c r="C90" s="603"/>
      <c r="D90" s="603"/>
    </row>
    <row r="91" spans="1:4" x14ac:dyDescent="0.35">
      <c r="A91" s="576">
        <v>47</v>
      </c>
      <c r="B91" s="524" t="s">
        <v>175</v>
      </c>
      <c r="C91" s="603"/>
      <c r="D91" s="603"/>
    </row>
    <row r="92" spans="1:4" x14ac:dyDescent="0.35">
      <c r="A92" s="576">
        <v>48</v>
      </c>
      <c r="B92" s="527" t="s">
        <v>406</v>
      </c>
      <c r="C92" s="603"/>
      <c r="D92" s="603"/>
    </row>
    <row r="93" spans="1:4" x14ac:dyDescent="0.35">
      <c r="A93" s="576">
        <v>49</v>
      </c>
      <c r="B93" s="524" t="s">
        <v>176</v>
      </c>
      <c r="C93" s="603"/>
      <c r="D93" s="603"/>
    </row>
    <row r="94" spans="1:4" x14ac:dyDescent="0.35">
      <c r="A94" s="576">
        <v>50</v>
      </c>
      <c r="B94" s="526" t="s">
        <v>407</v>
      </c>
      <c r="C94" s="603"/>
      <c r="D94" s="603"/>
    </row>
    <row r="95" spans="1:4" x14ac:dyDescent="0.35">
      <c r="A95" s="576">
        <v>51</v>
      </c>
      <c r="B95" s="524" t="s">
        <v>125</v>
      </c>
      <c r="C95" s="603"/>
      <c r="D95" s="603"/>
    </row>
    <row r="96" spans="1:4" x14ac:dyDescent="0.35">
      <c r="A96" s="576">
        <v>52</v>
      </c>
      <c r="B96" s="610" t="s">
        <v>498</v>
      </c>
      <c r="C96" s="603"/>
      <c r="D96" s="603"/>
    </row>
    <row r="97" spans="1:4" x14ac:dyDescent="0.35">
      <c r="A97" s="576">
        <v>53</v>
      </c>
      <c r="B97" s="610" t="s">
        <v>178</v>
      </c>
      <c r="C97" s="603"/>
      <c r="D97" s="603"/>
    </row>
    <row r="98" spans="1:4" x14ac:dyDescent="0.35">
      <c r="A98" s="576">
        <v>54</v>
      </c>
      <c r="B98" s="526" t="s">
        <v>410</v>
      </c>
      <c r="C98" s="603"/>
      <c r="D98" s="603"/>
    </row>
    <row r="99" spans="1:4" x14ac:dyDescent="0.35">
      <c r="A99" s="576">
        <v>55</v>
      </c>
      <c r="B99" s="526" t="s">
        <v>411</v>
      </c>
      <c r="C99" s="603"/>
      <c r="D99" s="603"/>
    </row>
    <row r="100" spans="1:4" x14ac:dyDescent="0.35">
      <c r="A100" s="576">
        <v>56</v>
      </c>
      <c r="B100" s="526" t="s">
        <v>412</v>
      </c>
      <c r="C100" s="603"/>
      <c r="D100" s="603"/>
    </row>
    <row r="101" spans="1:4" x14ac:dyDescent="0.35">
      <c r="A101" s="576">
        <v>57</v>
      </c>
      <c r="B101" s="524" t="s">
        <v>182</v>
      </c>
      <c r="C101" s="603"/>
      <c r="D101" s="603"/>
    </row>
    <row r="102" spans="1:4" x14ac:dyDescent="0.35">
      <c r="A102" s="576">
        <v>58</v>
      </c>
      <c r="B102" s="524" t="s">
        <v>183</v>
      </c>
      <c r="C102" s="603"/>
      <c r="D102" s="603"/>
    </row>
    <row r="103" spans="1:4" x14ac:dyDescent="0.35">
      <c r="A103" s="576">
        <v>59</v>
      </c>
      <c r="B103" s="528" t="s">
        <v>413</v>
      </c>
      <c r="C103" s="603"/>
      <c r="D103" s="603"/>
    </row>
    <row r="104" spans="1:4" x14ac:dyDescent="0.35">
      <c r="A104" s="576">
        <v>60</v>
      </c>
      <c r="B104" s="528" t="s">
        <v>499</v>
      </c>
      <c r="C104" s="603"/>
      <c r="D104" s="603"/>
    </row>
    <row r="105" spans="1:4" x14ac:dyDescent="0.35">
      <c r="A105" s="576">
        <v>61</v>
      </c>
      <c r="B105" s="524" t="s">
        <v>184</v>
      </c>
      <c r="C105" s="603"/>
      <c r="D105" s="603"/>
    </row>
    <row r="106" spans="1:4" x14ac:dyDescent="0.35">
      <c r="A106" s="576">
        <v>62</v>
      </c>
      <c r="B106" s="524" t="s">
        <v>185</v>
      </c>
      <c r="C106" s="603"/>
      <c r="D106" s="603"/>
    </row>
    <row r="107" spans="1:4" x14ac:dyDescent="0.35">
      <c r="A107" s="576">
        <v>63</v>
      </c>
      <c r="B107" s="528" t="s">
        <v>415</v>
      </c>
      <c r="C107" s="603"/>
      <c r="D107" s="603"/>
    </row>
    <row r="108" spans="1:4" x14ac:dyDescent="0.35">
      <c r="A108" s="576">
        <v>64</v>
      </c>
      <c r="B108" s="528" t="s">
        <v>503</v>
      </c>
      <c r="C108" s="603"/>
      <c r="D108" s="603"/>
    </row>
    <row r="109" spans="1:4" x14ac:dyDescent="0.35">
      <c r="A109" s="576">
        <v>65</v>
      </c>
      <c r="B109" s="524" t="s">
        <v>186</v>
      </c>
      <c r="C109" s="603"/>
      <c r="D109" s="603"/>
    </row>
    <row r="110" spans="1:4" x14ac:dyDescent="0.35">
      <c r="A110" s="576">
        <v>66</v>
      </c>
      <c r="B110" s="524" t="s">
        <v>187</v>
      </c>
      <c r="C110" s="603"/>
      <c r="D110" s="603"/>
    </row>
    <row r="111" spans="1:4" x14ac:dyDescent="0.35">
      <c r="A111" s="576">
        <v>67</v>
      </c>
      <c r="B111" s="524" t="s">
        <v>188</v>
      </c>
      <c r="C111" s="603"/>
      <c r="D111" s="603"/>
    </row>
    <row r="112" spans="1:4" x14ac:dyDescent="0.35">
      <c r="A112" s="576">
        <v>68</v>
      </c>
      <c r="B112" s="524" t="s">
        <v>194</v>
      </c>
      <c r="C112" s="603"/>
      <c r="D112" s="603"/>
    </row>
    <row r="113" spans="1:4" x14ac:dyDescent="0.35">
      <c r="A113" s="576">
        <v>69</v>
      </c>
      <c r="B113" s="524" t="s">
        <v>322</v>
      </c>
      <c r="C113" s="603"/>
      <c r="D113" s="603"/>
    </row>
    <row r="114" spans="1:4" x14ac:dyDescent="0.35">
      <c r="A114" s="576">
        <v>70</v>
      </c>
      <c r="B114" s="526" t="s">
        <v>417</v>
      </c>
      <c r="C114" s="603"/>
      <c r="D114" s="603"/>
    </row>
    <row r="115" spans="1:4" x14ac:dyDescent="0.35">
      <c r="A115" s="576">
        <v>71</v>
      </c>
      <c r="B115" s="524" t="s">
        <v>189</v>
      </c>
      <c r="C115" s="603"/>
      <c r="D115" s="603"/>
    </row>
    <row r="116" spans="1:4" x14ac:dyDescent="0.35">
      <c r="A116" s="576">
        <v>72</v>
      </c>
      <c r="B116" s="526" t="s">
        <v>419</v>
      </c>
      <c r="C116" s="603"/>
      <c r="D116" s="603"/>
    </row>
    <row r="117" spans="1:4" x14ac:dyDescent="0.35">
      <c r="A117" s="576">
        <v>73</v>
      </c>
      <c r="B117" s="602" t="s">
        <v>530</v>
      </c>
      <c r="C117" s="603"/>
      <c r="D117" s="603"/>
    </row>
    <row r="118" spans="1:4" x14ac:dyDescent="0.35">
      <c r="A118" s="576">
        <v>74</v>
      </c>
      <c r="B118" s="524" t="s">
        <v>191</v>
      </c>
      <c r="C118" s="603"/>
      <c r="D118" s="603"/>
    </row>
    <row r="119" spans="1:4" x14ac:dyDescent="0.35">
      <c r="A119" s="576">
        <v>75</v>
      </c>
      <c r="B119" s="524" t="s">
        <v>192</v>
      </c>
      <c r="C119" s="603"/>
      <c r="D119" s="603"/>
    </row>
    <row r="120" spans="1:4" x14ac:dyDescent="0.35">
      <c r="A120" s="576">
        <v>76</v>
      </c>
      <c r="B120" s="524" t="s">
        <v>193</v>
      </c>
      <c r="C120" s="603"/>
      <c r="D120" s="603"/>
    </row>
    <row r="121" spans="1:4" x14ac:dyDescent="0.35">
      <c r="A121" s="576">
        <v>77</v>
      </c>
      <c r="B121" s="524" t="s">
        <v>212</v>
      </c>
      <c r="C121" s="603"/>
      <c r="D121" s="603"/>
    </row>
    <row r="122" spans="1:4" x14ac:dyDescent="0.35">
      <c r="A122" s="576">
        <v>78</v>
      </c>
      <c r="B122" s="524" t="s">
        <v>204</v>
      </c>
      <c r="C122" s="603"/>
      <c r="D122" s="603"/>
    </row>
    <row r="123" spans="1:4" x14ac:dyDescent="0.35">
      <c r="A123" s="576">
        <v>79</v>
      </c>
      <c r="B123" s="524" t="s">
        <v>205</v>
      </c>
      <c r="C123" s="603"/>
      <c r="D123" s="603"/>
    </row>
    <row r="124" spans="1:4" x14ac:dyDescent="0.35">
      <c r="A124" s="576">
        <v>80</v>
      </c>
      <c r="B124" s="524" t="s">
        <v>206</v>
      </c>
      <c r="C124" s="603"/>
      <c r="D124" s="603"/>
    </row>
    <row r="125" spans="1:4" x14ac:dyDescent="0.35">
      <c r="A125" s="576">
        <v>81</v>
      </c>
      <c r="B125" s="526" t="s">
        <v>425</v>
      </c>
      <c r="C125" s="603"/>
      <c r="D125" s="603"/>
    </row>
    <row r="126" spans="1:4" x14ac:dyDescent="0.35">
      <c r="A126" s="576">
        <v>82</v>
      </c>
      <c r="B126" s="526" t="s">
        <v>509</v>
      </c>
      <c r="C126" s="603"/>
      <c r="D126" s="603"/>
    </row>
    <row r="127" spans="1:4" x14ac:dyDescent="0.35">
      <c r="A127" s="576">
        <v>83</v>
      </c>
      <c r="B127" s="526" t="s">
        <v>426</v>
      </c>
      <c r="C127" s="603"/>
      <c r="D127" s="603"/>
    </row>
    <row r="128" spans="1:4" x14ac:dyDescent="0.35">
      <c r="A128" s="576">
        <v>84</v>
      </c>
      <c r="B128" s="605" t="s">
        <v>531</v>
      </c>
      <c r="C128" s="603"/>
      <c r="D128" s="603"/>
    </row>
    <row r="129" spans="1:4" x14ac:dyDescent="0.35">
      <c r="A129" s="576">
        <v>85</v>
      </c>
      <c r="B129" s="524" t="s">
        <v>427</v>
      </c>
      <c r="C129" s="603"/>
      <c r="D129" s="603"/>
    </row>
    <row r="130" spans="1:4" x14ac:dyDescent="0.35">
      <c r="A130" s="576">
        <v>86</v>
      </c>
      <c r="B130" s="524" t="s">
        <v>428</v>
      </c>
      <c r="C130" s="603"/>
      <c r="D130" s="603"/>
    </row>
    <row r="131" spans="1:4" x14ac:dyDescent="0.35">
      <c r="A131" s="576">
        <v>87</v>
      </c>
      <c r="B131" s="524" t="s">
        <v>211</v>
      </c>
      <c r="C131" s="603"/>
      <c r="D131" s="603"/>
    </row>
    <row r="132" spans="1:4" x14ac:dyDescent="0.35">
      <c r="A132" s="576">
        <v>88</v>
      </c>
      <c r="B132" s="524" t="s">
        <v>85</v>
      </c>
      <c r="C132" s="603"/>
      <c r="D132" s="603"/>
    </row>
    <row r="133" spans="1:4" x14ac:dyDescent="0.35">
      <c r="A133" s="576">
        <v>89</v>
      </c>
      <c r="B133" s="602" t="s">
        <v>532</v>
      </c>
      <c r="C133" s="603"/>
      <c r="D133" s="603"/>
    </row>
    <row r="134" spans="1:4" x14ac:dyDescent="0.35">
      <c r="A134" s="576">
        <v>90</v>
      </c>
      <c r="B134" s="602" t="s">
        <v>214</v>
      </c>
      <c r="C134" s="603"/>
      <c r="D134" s="603"/>
    </row>
    <row r="135" spans="1:4" x14ac:dyDescent="0.35">
      <c r="A135" s="576">
        <v>91</v>
      </c>
      <c r="B135" s="524" t="s">
        <v>128</v>
      </c>
      <c r="C135" s="603"/>
      <c r="D135" s="603"/>
    </row>
    <row r="136" spans="1:4" x14ac:dyDescent="0.35">
      <c r="A136" s="576">
        <v>92</v>
      </c>
      <c r="B136" s="524" t="s">
        <v>129</v>
      </c>
      <c r="C136" s="603"/>
      <c r="D136" s="603"/>
    </row>
    <row r="137" spans="1:4" x14ac:dyDescent="0.35">
      <c r="A137" s="576">
        <v>93</v>
      </c>
      <c r="B137" s="524" t="s">
        <v>429</v>
      </c>
      <c r="C137" s="603"/>
      <c r="D137" s="603"/>
    </row>
    <row r="138" spans="1:4" x14ac:dyDescent="0.35">
      <c r="A138" s="576">
        <v>94</v>
      </c>
      <c r="B138" s="524" t="s">
        <v>510</v>
      </c>
      <c r="C138" s="603"/>
      <c r="D138" s="603"/>
    </row>
    <row r="139" spans="1:4" x14ac:dyDescent="0.35">
      <c r="A139" s="576">
        <v>95</v>
      </c>
      <c r="B139" s="524" t="s">
        <v>67</v>
      </c>
      <c r="C139" s="603"/>
      <c r="D139" s="603"/>
    </row>
    <row r="140" spans="1:4" x14ac:dyDescent="0.35">
      <c r="A140" s="576">
        <v>96</v>
      </c>
      <c r="B140" s="526" t="s">
        <v>431</v>
      </c>
      <c r="C140" s="603"/>
      <c r="D140" s="603"/>
    </row>
    <row r="141" spans="1:4" x14ac:dyDescent="0.35">
      <c r="A141" s="576">
        <v>97</v>
      </c>
      <c r="B141" s="524" t="s">
        <v>131</v>
      </c>
      <c r="C141" s="603"/>
      <c r="D141" s="603"/>
    </row>
    <row r="142" spans="1:4" x14ac:dyDescent="0.35">
      <c r="A142" s="576">
        <v>98</v>
      </c>
      <c r="B142" s="524" t="s">
        <v>132</v>
      </c>
      <c r="C142" s="603"/>
      <c r="D142" s="603"/>
    </row>
    <row r="143" spans="1:4" x14ac:dyDescent="0.35">
      <c r="A143" s="576">
        <v>99</v>
      </c>
      <c r="B143" s="524" t="s">
        <v>41</v>
      </c>
      <c r="C143" s="603"/>
      <c r="D143" s="603"/>
    </row>
    <row r="144" spans="1:4" x14ac:dyDescent="0.35">
      <c r="A144" s="576">
        <v>100</v>
      </c>
      <c r="B144" s="524" t="s">
        <v>134</v>
      </c>
      <c r="C144" s="603"/>
      <c r="D144" s="603"/>
    </row>
    <row r="145" spans="1:4" x14ac:dyDescent="0.35">
      <c r="A145" s="576">
        <v>101</v>
      </c>
      <c r="B145" s="524" t="s">
        <v>135</v>
      </c>
      <c r="C145" s="603"/>
      <c r="D145" s="603"/>
    </row>
    <row r="146" spans="1:4" x14ac:dyDescent="0.35">
      <c r="A146" s="576">
        <v>102</v>
      </c>
      <c r="B146" s="526" t="s">
        <v>432</v>
      </c>
      <c r="C146" s="603"/>
      <c r="D146" s="603"/>
    </row>
    <row r="147" spans="1:4" x14ac:dyDescent="0.35">
      <c r="A147" s="576">
        <v>103</v>
      </c>
      <c r="B147" s="524" t="s">
        <v>136</v>
      </c>
      <c r="C147" s="603"/>
      <c r="D147" s="603"/>
    </row>
    <row r="148" spans="1:4" x14ac:dyDescent="0.35">
      <c r="A148" s="576">
        <v>104</v>
      </c>
      <c r="B148" s="524" t="s">
        <v>124</v>
      </c>
      <c r="C148" s="603"/>
      <c r="D148" s="603"/>
    </row>
    <row r="149" spans="1:4" x14ac:dyDescent="0.35">
      <c r="A149" s="576">
        <v>105</v>
      </c>
      <c r="B149" s="526" t="s">
        <v>435</v>
      </c>
      <c r="C149" s="603"/>
      <c r="D149" s="603"/>
    </row>
    <row r="150" spans="1:4" x14ac:dyDescent="0.35">
      <c r="A150" s="576">
        <v>106</v>
      </c>
      <c r="B150" s="524" t="s">
        <v>133</v>
      </c>
      <c r="C150" s="603"/>
      <c r="D150" s="603"/>
    </row>
    <row r="151" spans="1:4" x14ac:dyDescent="0.35">
      <c r="A151" s="576">
        <v>107</v>
      </c>
      <c r="B151" s="524" t="s">
        <v>436</v>
      </c>
      <c r="C151" s="603"/>
      <c r="D151" s="603"/>
    </row>
    <row r="152" spans="1:4" x14ac:dyDescent="0.35">
      <c r="A152" s="576">
        <v>108</v>
      </c>
      <c r="B152" s="608" t="s">
        <v>513</v>
      </c>
      <c r="C152" s="603"/>
      <c r="D152" s="603"/>
    </row>
    <row r="153" spans="1:4" x14ac:dyDescent="0.35">
      <c r="A153" s="576">
        <v>109</v>
      </c>
      <c r="B153" s="524" t="s">
        <v>139</v>
      </c>
      <c r="C153" s="603"/>
      <c r="D153" s="603"/>
    </row>
    <row r="154" spans="1:4" x14ac:dyDescent="0.35">
      <c r="A154" s="576">
        <v>110</v>
      </c>
      <c r="B154" s="524" t="s">
        <v>143</v>
      </c>
      <c r="C154" s="603"/>
      <c r="D154" s="603"/>
    </row>
    <row r="155" spans="1:4" x14ac:dyDescent="0.35">
      <c r="A155" s="576">
        <v>111</v>
      </c>
      <c r="B155" s="524" t="s">
        <v>151</v>
      </c>
      <c r="C155" s="603"/>
      <c r="D155" s="603"/>
    </row>
    <row r="156" spans="1:4" x14ac:dyDescent="0.35">
      <c r="A156" s="576">
        <v>112</v>
      </c>
      <c r="B156" s="524" t="s">
        <v>144</v>
      </c>
      <c r="C156" s="603"/>
      <c r="D156" s="603"/>
    </row>
    <row r="157" spans="1:4" x14ac:dyDescent="0.35">
      <c r="A157" s="576">
        <v>113</v>
      </c>
      <c r="B157" s="524" t="s">
        <v>145</v>
      </c>
      <c r="C157" s="603"/>
      <c r="D157" s="603"/>
    </row>
    <row r="158" spans="1:4" x14ac:dyDescent="0.35">
      <c r="A158" s="576">
        <v>114</v>
      </c>
      <c r="B158" s="524" t="s">
        <v>152</v>
      </c>
      <c r="C158" s="603"/>
      <c r="D158" s="603"/>
    </row>
    <row r="159" spans="1:4" x14ac:dyDescent="0.35">
      <c r="A159" s="576">
        <v>115</v>
      </c>
      <c r="B159" s="524" t="s">
        <v>146</v>
      </c>
      <c r="C159" s="603"/>
      <c r="D159" s="603"/>
    </row>
    <row r="160" spans="1:4" x14ac:dyDescent="0.35">
      <c r="A160" s="576">
        <v>116</v>
      </c>
      <c r="B160" s="524" t="s">
        <v>147</v>
      </c>
      <c r="C160" s="603"/>
      <c r="D160" s="603"/>
    </row>
    <row r="161" spans="1:4" x14ac:dyDescent="0.35">
      <c r="A161" s="576">
        <v>117</v>
      </c>
      <c r="B161" s="524" t="s">
        <v>148</v>
      </c>
      <c r="C161" s="603"/>
      <c r="D161" s="603"/>
    </row>
    <row r="162" spans="1:4" x14ac:dyDescent="0.35">
      <c r="A162" s="576">
        <v>118</v>
      </c>
      <c r="B162" s="524" t="s">
        <v>506</v>
      </c>
      <c r="C162" s="603"/>
      <c r="D162" s="603"/>
    </row>
    <row r="163" spans="1:4" x14ac:dyDescent="0.35">
      <c r="A163" s="576">
        <v>119</v>
      </c>
      <c r="B163" s="524" t="s">
        <v>533</v>
      </c>
      <c r="C163" s="603"/>
      <c r="D163" s="603">
        <f>'Total Debt'!G19</f>
        <v>654521</v>
      </c>
    </row>
    <row r="164" spans="1:4" x14ac:dyDescent="0.35">
      <c r="A164" s="576">
        <v>121</v>
      </c>
      <c r="B164" s="524" t="s">
        <v>142</v>
      </c>
      <c r="C164" s="603"/>
      <c r="D164" s="603"/>
    </row>
    <row r="165" spans="1:4" s="568" customFormat="1" ht="15.5" x14ac:dyDescent="0.35">
      <c r="A165" s="582"/>
      <c r="B165" s="573" t="s">
        <v>444</v>
      </c>
      <c r="C165" s="564">
        <f>SUM(C45:C164)</f>
        <v>0</v>
      </c>
      <c r="D165" s="564">
        <f>SUM(D45:D164)</f>
        <v>654521</v>
      </c>
    </row>
    <row r="166" spans="1:4" s="568" customFormat="1" ht="9.75" customHeight="1" x14ac:dyDescent="0.35">
      <c r="A166" s="581"/>
      <c r="B166" s="569"/>
      <c r="C166" s="570"/>
      <c r="D166" s="570"/>
    </row>
    <row r="167" spans="1:4" s="568" customFormat="1" ht="15.5" x14ac:dyDescent="0.35">
      <c r="A167" s="583"/>
      <c r="B167" s="561" t="s">
        <v>445</v>
      </c>
      <c r="C167" s="564">
        <f>C42-C165</f>
        <v>0</v>
      </c>
      <c r="D167" s="564">
        <f>D42-D165</f>
        <v>-654521</v>
      </c>
    </row>
  </sheetData>
  <protectedRanges>
    <protectedRange algorithmName="SHA-512" hashValue="sib5Nlt62x8Cjehj5QpvQOfZQRWFyVXdW4ymlOfnLMMNdxZw1XVdONARla6+9R164l5kN77+d8cnUihMlL+w0A==" saltValue="TiYlffcKhraV9z9Br0ykmA==" spinCount="100000" sqref="C166:D166 C42:D43" name="Range1_3"/>
  </protectedRanges>
  <mergeCells count="1">
    <mergeCell ref="C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AF58-A90F-49A5-9269-87619B0C0722}">
  <sheetPr>
    <tabColor theme="7" tint="0.79998168889431442"/>
  </sheetPr>
  <dimension ref="A1:O138"/>
  <sheetViews>
    <sheetView topLeftCell="B126" zoomScaleNormal="100" workbookViewId="0">
      <selection activeCell="B135" sqref="B135:E138"/>
    </sheetView>
  </sheetViews>
  <sheetFormatPr defaultRowHeight="14.5" x14ac:dyDescent="0.35"/>
  <cols>
    <col min="1" max="1" width="0" hidden="1" customWidth="1"/>
    <col min="2" max="2" width="30.1796875" bestFit="1" customWidth="1"/>
    <col min="3" max="3" width="44.1796875" customWidth="1"/>
    <col min="4" max="5" width="15.54296875" style="13" customWidth="1"/>
    <col min="6" max="9" width="15.54296875" hidden="1" customWidth="1"/>
    <col min="11" max="11" width="62.1796875" bestFit="1" customWidth="1"/>
  </cols>
  <sheetData>
    <row r="1" spans="1:11" ht="18.5" x14ac:dyDescent="0.45">
      <c r="B1" s="1260" t="s">
        <v>709</v>
      </c>
      <c r="C1" s="1260"/>
      <c r="D1" s="1260"/>
      <c r="E1" s="1260"/>
      <c r="F1" s="1260"/>
      <c r="G1" s="1260"/>
      <c r="H1" s="1260"/>
      <c r="I1" s="1260"/>
    </row>
    <row r="2" spans="1:11" s="74" customFormat="1" ht="15.65" customHeight="1" x14ac:dyDescent="0.35">
      <c r="B2" s="136" t="s">
        <v>596</v>
      </c>
      <c r="C2" s="136"/>
      <c r="D2" s="136"/>
      <c r="E2" s="296" t="s">
        <v>535</v>
      </c>
      <c r="F2" s="136"/>
      <c r="G2" s="136"/>
      <c r="H2" s="136"/>
      <c r="I2" s="136"/>
    </row>
    <row r="3" spans="1:11" x14ac:dyDescent="0.35">
      <c r="D3"/>
      <c r="E3" s="129" t="s">
        <v>536</v>
      </c>
    </row>
    <row r="4" spans="1:11" x14ac:dyDescent="0.35">
      <c r="A4" t="s">
        <v>537</v>
      </c>
      <c r="B4" s="17" t="s">
        <v>93</v>
      </c>
      <c r="C4" s="9" t="s">
        <v>94</v>
      </c>
      <c r="D4" s="50" t="s">
        <v>598</v>
      </c>
      <c r="E4" s="50" t="s">
        <v>96</v>
      </c>
      <c r="F4" s="50" t="s">
        <v>538</v>
      </c>
      <c r="G4" s="50" t="s">
        <v>539</v>
      </c>
      <c r="H4" s="50" t="s">
        <v>540</v>
      </c>
      <c r="I4" s="50" t="s">
        <v>541</v>
      </c>
    </row>
    <row r="5" spans="1:11" x14ac:dyDescent="0.35">
      <c r="C5" s="92" t="s">
        <v>599</v>
      </c>
      <c r="D5" s="280">
        <v>0.94</v>
      </c>
      <c r="E5" s="280">
        <v>0.94</v>
      </c>
    </row>
    <row r="6" spans="1:11" x14ac:dyDescent="0.35">
      <c r="C6" s="19" t="s">
        <v>348</v>
      </c>
      <c r="D6" s="57">
        <v>450</v>
      </c>
      <c r="E6" s="306">
        <v>400</v>
      </c>
      <c r="F6" s="279">
        <v>465</v>
      </c>
      <c r="G6" s="57">
        <v>490</v>
      </c>
      <c r="H6" s="57">
        <v>515</v>
      </c>
      <c r="I6" s="57">
        <v>540</v>
      </c>
    </row>
    <row r="7" spans="1:11" x14ac:dyDescent="0.35">
      <c r="C7" s="19" t="s">
        <v>349</v>
      </c>
      <c r="D7" s="113">
        <v>450</v>
      </c>
      <c r="E7" s="307">
        <v>400</v>
      </c>
      <c r="F7" s="279">
        <v>465</v>
      </c>
      <c r="G7" s="57">
        <v>490</v>
      </c>
      <c r="H7" s="57">
        <v>515</v>
      </c>
      <c r="I7" s="57">
        <v>540</v>
      </c>
    </row>
    <row r="8" spans="1:11" x14ac:dyDescent="0.35">
      <c r="C8" s="19" t="s">
        <v>350</v>
      </c>
      <c r="D8" s="99">
        <f>D37/D6</f>
        <v>8760.9111111111106</v>
      </c>
      <c r="E8" s="309">
        <v>9401</v>
      </c>
      <c r="F8" s="284">
        <f>D8+(D8*0.03)</f>
        <v>9023.7384444444433</v>
      </c>
      <c r="G8" s="47">
        <f>F8+(F8*0.03)</f>
        <v>9294.4505977777771</v>
      </c>
      <c r="H8" s="47">
        <f>G8+(G8*0.03)</f>
        <v>9573.2841157111106</v>
      </c>
      <c r="I8" s="47">
        <f>H8+(H8*0.03)</f>
        <v>9860.4826391824445</v>
      </c>
      <c r="K8" t="s">
        <v>676</v>
      </c>
    </row>
    <row r="9" spans="1:11" x14ac:dyDescent="0.35">
      <c r="D9" s="103"/>
      <c r="E9" s="103"/>
    </row>
    <row r="10" spans="1:11" x14ac:dyDescent="0.35">
      <c r="A10">
        <v>1</v>
      </c>
      <c r="B10" s="286" t="s">
        <v>7</v>
      </c>
      <c r="C10" s="286" t="s">
        <v>7</v>
      </c>
      <c r="D10" s="287">
        <v>262137</v>
      </c>
      <c r="E10" s="302">
        <v>238293</v>
      </c>
      <c r="F10" s="35">
        <f>D128</f>
        <v>210499.04</v>
      </c>
      <c r="G10" s="35">
        <f>F128</f>
        <v>0</v>
      </c>
      <c r="H10" s="35">
        <f>G128</f>
        <v>0</v>
      </c>
      <c r="I10" s="35">
        <f>H128</f>
        <v>0</v>
      </c>
    </row>
    <row r="11" spans="1:11" x14ac:dyDescent="0.35">
      <c r="A11">
        <v>2</v>
      </c>
      <c r="B11" t="s">
        <v>98</v>
      </c>
      <c r="C11" t="s">
        <v>99</v>
      </c>
      <c r="D11" s="119">
        <v>14000</v>
      </c>
      <c r="E11" s="119">
        <v>14000</v>
      </c>
      <c r="F11" s="34">
        <f>D11+(D11*0.03)</f>
        <v>14420</v>
      </c>
      <c r="G11" s="34">
        <f>F11+(F11*0.03)</f>
        <v>14852.6</v>
      </c>
      <c r="H11" s="34">
        <f>G11+(G11*0.03)</f>
        <v>15298.178</v>
      </c>
      <c r="I11" s="34">
        <f>H11+(H11*0.03)</f>
        <v>15757.12334</v>
      </c>
    </row>
    <row r="12" spans="1:11" x14ac:dyDescent="0.35">
      <c r="A12">
        <v>3</v>
      </c>
      <c r="B12" t="s">
        <v>100</v>
      </c>
      <c r="C12" t="s">
        <v>16</v>
      </c>
      <c r="D12" s="119">
        <v>100000</v>
      </c>
      <c r="E12" s="302">
        <v>200000</v>
      </c>
      <c r="F12" s="34">
        <v>100000</v>
      </c>
      <c r="G12" s="34">
        <v>100000</v>
      </c>
      <c r="H12" s="34">
        <v>100000</v>
      </c>
      <c r="I12" s="34">
        <v>100000</v>
      </c>
    </row>
    <row r="13" spans="1:11" x14ac:dyDescent="0.35">
      <c r="A13">
        <v>4</v>
      </c>
      <c r="B13" t="s">
        <v>100</v>
      </c>
      <c r="C13" t="s">
        <v>677</v>
      </c>
      <c r="D13" s="119">
        <v>100000</v>
      </c>
      <c r="E13" s="302">
        <v>300000</v>
      </c>
      <c r="F13" s="34"/>
      <c r="G13" s="34"/>
      <c r="H13" s="34"/>
      <c r="I13" s="34"/>
    </row>
    <row r="14" spans="1:11" x14ac:dyDescent="0.35">
      <c r="A14">
        <v>5</v>
      </c>
      <c r="B14" t="s">
        <v>102</v>
      </c>
      <c r="C14" t="s">
        <v>103</v>
      </c>
      <c r="D14" s="119">
        <v>120012</v>
      </c>
      <c r="E14" s="128">
        <v>120012</v>
      </c>
      <c r="F14" s="34">
        <f t="shared" ref="F14:F20" si="0">D14+(D14*0.03)</f>
        <v>123612.36</v>
      </c>
      <c r="G14" s="34">
        <f t="shared" ref="G14:I30" si="1">F14+(F14*0.03)</f>
        <v>127320.7308</v>
      </c>
      <c r="H14" s="34">
        <f t="shared" si="1"/>
        <v>131140.352724</v>
      </c>
      <c r="I14" s="34">
        <f t="shared" si="1"/>
        <v>135074.56330571999</v>
      </c>
      <c r="K14" t="s">
        <v>678</v>
      </c>
    </row>
    <row r="15" spans="1:11" x14ac:dyDescent="0.35">
      <c r="A15">
        <v>6</v>
      </c>
      <c r="B15" t="s">
        <v>102</v>
      </c>
      <c r="C15" t="s">
        <v>104</v>
      </c>
      <c r="D15" s="119">
        <v>68444</v>
      </c>
      <c r="E15" s="128">
        <v>68444</v>
      </c>
      <c r="F15" s="34">
        <f t="shared" si="0"/>
        <v>70497.320000000007</v>
      </c>
      <c r="G15" s="34">
        <f t="shared" si="1"/>
        <v>72612.239600000001</v>
      </c>
      <c r="H15" s="34">
        <f t="shared" si="1"/>
        <v>74790.606788000005</v>
      </c>
      <c r="I15" s="34">
        <f t="shared" si="1"/>
        <v>77034.324991640009</v>
      </c>
    </row>
    <row r="16" spans="1:11" x14ac:dyDescent="0.35">
      <c r="A16">
        <v>7</v>
      </c>
      <c r="B16" t="s">
        <v>102</v>
      </c>
      <c r="C16" t="s">
        <v>105</v>
      </c>
      <c r="D16" s="119">
        <v>500</v>
      </c>
      <c r="E16" s="128">
        <v>500</v>
      </c>
      <c r="F16" s="34">
        <f t="shared" si="0"/>
        <v>515</v>
      </c>
      <c r="G16" s="34">
        <f t="shared" si="1"/>
        <v>530.45000000000005</v>
      </c>
      <c r="H16" s="34">
        <f t="shared" si="1"/>
        <v>546.36350000000004</v>
      </c>
      <c r="I16" s="34">
        <f t="shared" si="1"/>
        <v>562.75440500000002</v>
      </c>
      <c r="K16" t="s">
        <v>680</v>
      </c>
    </row>
    <row r="17" spans="1:11" x14ac:dyDescent="0.35">
      <c r="A17">
        <v>8</v>
      </c>
      <c r="B17" t="s">
        <v>102</v>
      </c>
      <c r="C17" t="s">
        <v>106</v>
      </c>
      <c r="D17" s="119">
        <v>15000</v>
      </c>
      <c r="E17" s="119">
        <v>0</v>
      </c>
      <c r="F17" s="34">
        <f t="shared" si="0"/>
        <v>15450</v>
      </c>
      <c r="G17" s="34">
        <f t="shared" si="1"/>
        <v>15913.5</v>
      </c>
      <c r="H17" s="34">
        <f t="shared" si="1"/>
        <v>16390.904999999999</v>
      </c>
      <c r="I17" s="34">
        <f t="shared" si="1"/>
        <v>16882.632149999998</v>
      </c>
    </row>
    <row r="18" spans="1:11" x14ac:dyDescent="0.35">
      <c r="A18">
        <v>9</v>
      </c>
      <c r="B18" t="s">
        <v>102</v>
      </c>
      <c r="C18" t="s">
        <v>107</v>
      </c>
      <c r="D18" s="119">
        <v>14000</v>
      </c>
      <c r="E18" s="190">
        <v>8872.59</v>
      </c>
      <c r="F18" s="34">
        <f t="shared" si="0"/>
        <v>14420</v>
      </c>
      <c r="G18" s="34">
        <f t="shared" si="1"/>
        <v>14852.6</v>
      </c>
      <c r="H18" s="34">
        <f t="shared" si="1"/>
        <v>15298.178</v>
      </c>
      <c r="I18" s="34">
        <f t="shared" si="1"/>
        <v>15757.12334</v>
      </c>
      <c r="K18" t="s">
        <v>681</v>
      </c>
    </row>
    <row r="19" spans="1:11" x14ac:dyDescent="0.35">
      <c r="A19">
        <v>10</v>
      </c>
      <c r="B19" t="s">
        <v>102</v>
      </c>
      <c r="C19" t="s">
        <v>108</v>
      </c>
      <c r="D19" s="119">
        <v>17894</v>
      </c>
      <c r="E19" s="128">
        <v>17894</v>
      </c>
      <c r="F19" s="34">
        <f t="shared" si="0"/>
        <v>18430.82</v>
      </c>
      <c r="G19" s="34">
        <f t="shared" si="1"/>
        <v>18983.744599999998</v>
      </c>
      <c r="H19" s="34">
        <f t="shared" si="1"/>
        <v>19553.256937999999</v>
      </c>
      <c r="I19" s="34">
        <f t="shared" si="1"/>
        <v>20139.85464614</v>
      </c>
      <c r="K19" t="s">
        <v>682</v>
      </c>
    </row>
    <row r="20" spans="1:11" x14ac:dyDescent="0.35">
      <c r="A20">
        <v>11</v>
      </c>
      <c r="B20" t="s">
        <v>102</v>
      </c>
      <c r="C20" t="s">
        <v>109</v>
      </c>
      <c r="D20" s="119">
        <v>293</v>
      </c>
      <c r="E20" s="119">
        <v>293</v>
      </c>
      <c r="F20" s="34">
        <f t="shared" si="0"/>
        <v>301.79000000000002</v>
      </c>
      <c r="G20" s="34">
        <f t="shared" si="1"/>
        <v>310.84370000000001</v>
      </c>
      <c r="H20" s="34">
        <f t="shared" si="1"/>
        <v>320.16901100000001</v>
      </c>
      <c r="I20" s="34">
        <f t="shared" si="1"/>
        <v>329.77408133</v>
      </c>
    </row>
    <row r="21" spans="1:11" x14ac:dyDescent="0.35">
      <c r="A21">
        <v>12</v>
      </c>
      <c r="B21" t="s">
        <v>110</v>
      </c>
      <c r="C21" t="s">
        <v>111</v>
      </c>
      <c r="D21" s="119"/>
      <c r="E21" s="119"/>
      <c r="F21" s="34"/>
      <c r="G21" s="34"/>
      <c r="H21" s="34"/>
      <c r="I21" s="34"/>
    </row>
    <row r="22" spans="1:11" x14ac:dyDescent="0.35">
      <c r="A22">
        <v>13</v>
      </c>
      <c r="B22" t="s">
        <v>110</v>
      </c>
      <c r="C22" t="s">
        <v>218</v>
      </c>
      <c r="D22" s="119">
        <v>114352</v>
      </c>
      <c r="E22" s="128">
        <v>114352</v>
      </c>
      <c r="F22" s="34">
        <f>D22+(D22*0.03)</f>
        <v>117782.56</v>
      </c>
      <c r="G22" s="34">
        <f t="shared" si="1"/>
        <v>121316.0368</v>
      </c>
      <c r="H22" s="34">
        <f t="shared" si="1"/>
        <v>124955.51790400001</v>
      </c>
      <c r="I22" s="34">
        <f t="shared" si="1"/>
        <v>128704.18344112001</v>
      </c>
      <c r="K22" t="s">
        <v>683</v>
      </c>
    </row>
    <row r="23" spans="1:11" x14ac:dyDescent="0.35">
      <c r="A23">
        <v>14</v>
      </c>
      <c r="B23" t="s">
        <v>110</v>
      </c>
      <c r="C23" t="s">
        <v>357</v>
      </c>
      <c r="D23" s="119">
        <v>200</v>
      </c>
      <c r="E23" s="119">
        <v>0</v>
      </c>
      <c r="F23" s="34">
        <f>D23+(D23*0.03)</f>
        <v>206</v>
      </c>
      <c r="G23" s="34">
        <f t="shared" si="1"/>
        <v>212.18</v>
      </c>
      <c r="H23" s="34">
        <f t="shared" si="1"/>
        <v>218.5454</v>
      </c>
      <c r="I23" s="34">
        <f t="shared" si="1"/>
        <v>225.10176200000001</v>
      </c>
      <c r="K23" t="s">
        <v>684</v>
      </c>
    </row>
    <row r="24" spans="1:11" x14ac:dyDescent="0.35">
      <c r="A24">
        <v>15</v>
      </c>
      <c r="B24" t="s">
        <v>110</v>
      </c>
      <c r="C24" t="s">
        <v>219</v>
      </c>
      <c r="D24" s="119">
        <v>1805</v>
      </c>
      <c r="E24" s="128">
        <v>1805</v>
      </c>
      <c r="F24" s="34">
        <f>D24+(D24*0.03)</f>
        <v>1859.15</v>
      </c>
      <c r="G24" s="34">
        <f t="shared" si="1"/>
        <v>1914.9245000000001</v>
      </c>
      <c r="H24" s="34">
        <f t="shared" si="1"/>
        <v>1972.372235</v>
      </c>
      <c r="I24" s="34">
        <f t="shared" si="1"/>
        <v>2031.5434020499999</v>
      </c>
      <c r="K24" t="s">
        <v>685</v>
      </c>
    </row>
    <row r="25" spans="1:11" x14ac:dyDescent="0.35">
      <c r="A25">
        <v>16</v>
      </c>
      <c r="B25" t="s">
        <v>110</v>
      </c>
      <c r="C25" t="s">
        <v>230</v>
      </c>
      <c r="D25" s="119">
        <v>3300</v>
      </c>
      <c r="E25" s="128">
        <v>3300</v>
      </c>
      <c r="F25" s="34">
        <f>D25+(D25*0.03)</f>
        <v>3399</v>
      </c>
      <c r="G25" s="34">
        <f t="shared" si="1"/>
        <v>3500.97</v>
      </c>
      <c r="H25" s="34">
        <f t="shared" si="1"/>
        <v>3605.9991</v>
      </c>
      <c r="I25" s="34">
        <f t="shared" si="1"/>
        <v>3714.1790729999998</v>
      </c>
      <c r="K25" t="s">
        <v>686</v>
      </c>
    </row>
    <row r="26" spans="1:11" x14ac:dyDescent="0.35">
      <c r="A26">
        <v>17</v>
      </c>
      <c r="B26" t="s">
        <v>110</v>
      </c>
      <c r="C26" t="s">
        <v>359</v>
      </c>
      <c r="D26" s="119">
        <v>3472</v>
      </c>
      <c r="E26" s="128">
        <v>3472</v>
      </c>
      <c r="F26" s="34">
        <f>D26+(D26*0.03)</f>
        <v>3576.16</v>
      </c>
      <c r="G26" s="34">
        <f t="shared" si="1"/>
        <v>3683.4447999999998</v>
      </c>
      <c r="H26" s="34">
        <f t="shared" si="1"/>
        <v>3793.948144</v>
      </c>
      <c r="I26" s="34">
        <f t="shared" si="1"/>
        <v>3907.7665883199998</v>
      </c>
      <c r="K26" t="s">
        <v>687</v>
      </c>
    </row>
    <row r="27" spans="1:11" x14ac:dyDescent="0.35">
      <c r="A27">
        <v>18</v>
      </c>
      <c r="B27" t="s">
        <v>110</v>
      </c>
      <c r="C27" t="s">
        <v>260</v>
      </c>
      <c r="D27" s="119"/>
      <c r="E27" s="119"/>
      <c r="F27" s="34"/>
      <c r="G27" s="34"/>
      <c r="H27" s="34"/>
      <c r="I27" s="34"/>
    </row>
    <row r="28" spans="1:11" x14ac:dyDescent="0.35">
      <c r="A28">
        <v>19</v>
      </c>
      <c r="B28" t="s">
        <v>221</v>
      </c>
      <c r="C28" t="s">
        <v>222</v>
      </c>
      <c r="D28" s="119">
        <v>3763</v>
      </c>
      <c r="E28" s="128">
        <v>3763</v>
      </c>
      <c r="F28" s="34"/>
      <c r="G28" s="34"/>
      <c r="H28" s="34"/>
      <c r="I28" s="34"/>
      <c r="K28" t="s">
        <v>710</v>
      </c>
    </row>
    <row r="29" spans="1:11" x14ac:dyDescent="0.35">
      <c r="A29">
        <v>20</v>
      </c>
      <c r="B29" t="s">
        <v>110</v>
      </c>
      <c r="C29" t="s">
        <v>12</v>
      </c>
      <c r="D29" s="119">
        <v>68607</v>
      </c>
      <c r="E29" s="128">
        <v>68607</v>
      </c>
      <c r="F29" s="34">
        <f>D29+(D29*0.03)</f>
        <v>70665.210000000006</v>
      </c>
      <c r="G29" s="34">
        <f t="shared" si="1"/>
        <v>72785.166300000012</v>
      </c>
      <c r="H29" s="34">
        <f t="shared" si="1"/>
        <v>74968.721289000008</v>
      </c>
      <c r="I29" s="34">
        <f t="shared" si="1"/>
        <v>77217.782927670007</v>
      </c>
      <c r="K29" t="s">
        <v>688</v>
      </c>
    </row>
    <row r="30" spans="1:11" x14ac:dyDescent="0.35">
      <c r="A30">
        <v>21</v>
      </c>
      <c r="B30" t="s">
        <v>110</v>
      </c>
      <c r="C30" t="s">
        <v>220</v>
      </c>
      <c r="D30" s="119">
        <v>16602</v>
      </c>
      <c r="E30" s="128">
        <v>16602</v>
      </c>
      <c r="F30" s="34">
        <f>D30+(D30*0.03)</f>
        <v>17100.060000000001</v>
      </c>
      <c r="G30" s="34">
        <f t="shared" si="1"/>
        <v>17613.061800000003</v>
      </c>
      <c r="H30" s="34">
        <f t="shared" si="1"/>
        <v>18141.453654000004</v>
      </c>
      <c r="I30" s="34">
        <f t="shared" si="1"/>
        <v>18685.697263620004</v>
      </c>
      <c r="K30" t="s">
        <v>689</v>
      </c>
    </row>
    <row r="31" spans="1:11" x14ac:dyDescent="0.35">
      <c r="A31">
        <v>22</v>
      </c>
      <c r="B31" t="s">
        <v>110</v>
      </c>
      <c r="C31" t="s">
        <v>8</v>
      </c>
      <c r="D31" s="119">
        <v>120247</v>
      </c>
      <c r="E31" s="304">
        <v>120247</v>
      </c>
      <c r="F31" s="34"/>
      <c r="G31" s="34"/>
      <c r="H31" s="34"/>
      <c r="I31" s="34"/>
    </row>
    <row r="32" spans="1:11" x14ac:dyDescent="0.35">
      <c r="A32">
        <v>23</v>
      </c>
      <c r="B32" t="s">
        <v>110</v>
      </c>
      <c r="C32" t="s">
        <v>117</v>
      </c>
      <c r="D32" s="119">
        <v>6727</v>
      </c>
      <c r="E32" s="119">
        <v>6727</v>
      </c>
      <c r="F32" s="34"/>
      <c r="G32" s="34"/>
      <c r="H32" s="34"/>
      <c r="I32" s="34"/>
    </row>
    <row r="33" spans="1:15" x14ac:dyDescent="0.35">
      <c r="A33">
        <v>24</v>
      </c>
      <c r="B33" t="s">
        <v>110</v>
      </c>
      <c r="C33" t="s">
        <v>118</v>
      </c>
      <c r="D33" s="119">
        <v>132096</v>
      </c>
      <c r="E33" s="119">
        <v>132096</v>
      </c>
      <c r="F33" s="34"/>
      <c r="G33" s="34"/>
      <c r="H33" s="34"/>
      <c r="I33" s="34"/>
    </row>
    <row r="34" spans="1:15" x14ac:dyDescent="0.35">
      <c r="A34">
        <v>25</v>
      </c>
      <c r="B34" t="s">
        <v>110</v>
      </c>
      <c r="C34" t="s">
        <v>603</v>
      </c>
      <c r="D34" s="119"/>
      <c r="E34" s="119"/>
      <c r="F34" s="34"/>
      <c r="G34" s="34"/>
      <c r="H34" s="34"/>
      <c r="I34" s="34"/>
    </row>
    <row r="35" spans="1:15" x14ac:dyDescent="0.35">
      <c r="A35">
        <v>26</v>
      </c>
      <c r="B35" t="s">
        <v>110</v>
      </c>
      <c r="C35" t="s">
        <v>604</v>
      </c>
      <c r="D35" s="119"/>
      <c r="E35" s="119"/>
      <c r="F35" s="34"/>
      <c r="G35" s="34"/>
      <c r="H35" s="34"/>
      <c r="I35" s="34"/>
    </row>
    <row r="36" spans="1:15" x14ac:dyDescent="0.35">
      <c r="A36">
        <v>27</v>
      </c>
      <c r="B36" t="s">
        <v>102</v>
      </c>
      <c r="C36" t="s">
        <v>119</v>
      </c>
      <c r="D36" s="119">
        <v>340674</v>
      </c>
      <c r="E36" s="128">
        <v>340674</v>
      </c>
      <c r="F36" s="34">
        <f>D36+(D36*0.03)</f>
        <v>350894.22</v>
      </c>
      <c r="G36" s="34">
        <f>F36+(F36*0.03)</f>
        <v>361421.04659999994</v>
      </c>
      <c r="H36" s="34">
        <f>G36+(G36*0.03)</f>
        <v>372263.67799799994</v>
      </c>
      <c r="I36" s="34">
        <f>H36+(H36*0.03)</f>
        <v>383431.58833793993</v>
      </c>
      <c r="K36" t="s">
        <v>710</v>
      </c>
    </row>
    <row r="37" spans="1:15" x14ac:dyDescent="0.35">
      <c r="A37">
        <v>28</v>
      </c>
      <c r="B37" t="s">
        <v>102</v>
      </c>
      <c r="C37" t="s">
        <v>120</v>
      </c>
      <c r="D37" s="119">
        <v>3942410</v>
      </c>
      <c r="E37" s="241">
        <f>E8*E6</f>
        <v>3760400</v>
      </c>
      <c r="F37" s="34">
        <f>F7*F8</f>
        <v>4196038.376666666</v>
      </c>
      <c r="G37" s="34">
        <f>G7*G8</f>
        <v>4554280.7929111104</v>
      </c>
      <c r="H37" s="34">
        <f>H7*H8</f>
        <v>4930241.3195912223</v>
      </c>
      <c r="I37" s="34">
        <f>I7*I8</f>
        <v>5324660.6251585204</v>
      </c>
      <c r="K37" s="235" t="s">
        <v>711</v>
      </c>
    </row>
    <row r="38" spans="1:15" ht="15" thickBot="1" x14ac:dyDescent="0.4">
      <c r="A38">
        <v>29</v>
      </c>
      <c r="B38" t="s">
        <v>102</v>
      </c>
      <c r="C38" t="s">
        <v>121</v>
      </c>
      <c r="D38" s="192"/>
      <c r="E38" s="192">
        <v>36568.32</v>
      </c>
      <c r="F38" s="34">
        <f>F6*F7</f>
        <v>216225</v>
      </c>
      <c r="G38" s="34">
        <f>G6*G7</f>
        <v>240100</v>
      </c>
      <c r="H38" s="34">
        <f>H6*H7</f>
        <v>265225</v>
      </c>
      <c r="I38" s="34">
        <f>I6*I7</f>
        <v>291600</v>
      </c>
      <c r="O38" s="48"/>
    </row>
    <row r="39" spans="1:15" ht="16" thickBot="1" x14ac:dyDescent="0.4">
      <c r="B39" s="270"/>
      <c r="C39" s="271" t="s">
        <v>371</v>
      </c>
      <c r="D39" s="272">
        <f>SUM(D10:D38)</f>
        <v>5466535</v>
      </c>
      <c r="E39" s="273">
        <f>SUM(E10:E38)</f>
        <v>5576921.9100000001</v>
      </c>
      <c r="F39" s="269">
        <f>SUM(F11:F37)</f>
        <v>5119168.0266666664</v>
      </c>
      <c r="G39" s="36">
        <f>SUM(G11:G37)</f>
        <v>5502104.3324111104</v>
      </c>
      <c r="H39" s="36">
        <f>SUM(H11:H37)</f>
        <v>5903499.5652762223</v>
      </c>
      <c r="I39" s="36">
        <f>SUM(I11:I37)</f>
        <v>6324116.6182140708</v>
      </c>
    </row>
    <row r="40" spans="1:15" ht="15" thickBot="1" x14ac:dyDescent="0.4">
      <c r="D40" s="121"/>
      <c r="E40" s="121"/>
      <c r="F40" s="8"/>
      <c r="G40" s="8"/>
      <c r="H40" s="8"/>
      <c r="I40" s="8"/>
    </row>
    <row r="41" spans="1:15" x14ac:dyDescent="0.35">
      <c r="A41">
        <v>1</v>
      </c>
      <c r="B41" s="494" t="s">
        <v>122</v>
      </c>
      <c r="C41" s="495" t="s">
        <v>123</v>
      </c>
      <c r="D41" s="496">
        <v>1899000</v>
      </c>
      <c r="E41" s="497">
        <f>'23-24 C3 staffing'!F27</f>
        <v>1688000</v>
      </c>
      <c r="F41" s="492">
        <f>D41+(D41*0.03)</f>
        <v>1955970</v>
      </c>
      <c r="G41" s="35">
        <f>F41+(F41*0.04)</f>
        <v>2034208.8</v>
      </c>
      <c r="H41" s="52">
        <f>G41+(G41*0.04)+220000</f>
        <v>2335577.1520000002</v>
      </c>
      <c r="I41" s="34">
        <f>H41+(H41*0.04)</f>
        <v>2429000.23808</v>
      </c>
    </row>
    <row r="42" spans="1:15" x14ac:dyDescent="0.35">
      <c r="A42">
        <v>2</v>
      </c>
      <c r="B42" s="453" t="s">
        <v>122</v>
      </c>
      <c r="C42" t="s">
        <v>153</v>
      </c>
      <c r="D42" s="117">
        <v>0</v>
      </c>
      <c r="E42" s="498">
        <v>0</v>
      </c>
      <c r="F42" s="492">
        <f>D42+(D42*0.03)</f>
        <v>0</v>
      </c>
      <c r="G42" s="34">
        <f t="shared" ref="G42:I49" si="2">F42+(F42*0.03)</f>
        <v>0</v>
      </c>
      <c r="H42" s="34">
        <f t="shared" si="2"/>
        <v>0</v>
      </c>
      <c r="I42" s="34">
        <f t="shared" si="2"/>
        <v>0</v>
      </c>
    </row>
    <row r="43" spans="1:15" x14ac:dyDescent="0.35">
      <c r="A43">
        <v>3</v>
      </c>
      <c r="B43" s="453" t="s">
        <v>122</v>
      </c>
      <c r="C43" s="2" t="s">
        <v>154</v>
      </c>
      <c r="D43" s="119">
        <v>57400</v>
      </c>
      <c r="E43" s="499">
        <f>E41*0.04</f>
        <v>67520</v>
      </c>
      <c r="F43" s="492">
        <f>D43+(D43*0.03)</f>
        <v>59122</v>
      </c>
      <c r="G43" s="34">
        <f t="shared" si="2"/>
        <v>60895.66</v>
      </c>
      <c r="H43" s="34">
        <f t="shared" si="2"/>
        <v>62722.529800000004</v>
      </c>
      <c r="I43" s="34">
        <f t="shared" si="2"/>
        <v>64604.205694000004</v>
      </c>
    </row>
    <row r="44" spans="1:15" x14ac:dyDescent="0.35">
      <c r="A44">
        <v>4</v>
      </c>
      <c r="B44" s="453" t="s">
        <v>155</v>
      </c>
      <c r="C44" t="s">
        <v>606</v>
      </c>
      <c r="D44" s="119">
        <v>637744</v>
      </c>
      <c r="E44" s="500" t="e">
        <f>'23-24 C3 staffing'!#REF!</f>
        <v>#REF!</v>
      </c>
      <c r="F44" s="492">
        <v>0</v>
      </c>
      <c r="G44" s="34">
        <v>0</v>
      </c>
      <c r="H44" s="34">
        <v>0</v>
      </c>
      <c r="I44" s="34">
        <v>0</v>
      </c>
      <c r="M44" s="125"/>
    </row>
    <row r="45" spans="1:15" x14ac:dyDescent="0.35">
      <c r="A45">
        <v>10</v>
      </c>
      <c r="B45" s="453" t="s">
        <v>122</v>
      </c>
      <c r="C45" t="s">
        <v>378</v>
      </c>
      <c r="D45" s="119">
        <v>69000</v>
      </c>
      <c r="E45" s="501">
        <f>'23-24 C3 staffing'!F29</f>
        <v>71000</v>
      </c>
      <c r="F45" s="492">
        <f>D45+(D45*0.03)</f>
        <v>71070</v>
      </c>
      <c r="G45" s="34">
        <f t="shared" si="2"/>
        <v>73202.100000000006</v>
      </c>
      <c r="H45" s="34">
        <f t="shared" si="2"/>
        <v>75398.163</v>
      </c>
      <c r="I45" s="34">
        <f t="shared" si="2"/>
        <v>77660.107889999999</v>
      </c>
    </row>
    <row r="46" spans="1:15" x14ac:dyDescent="0.35">
      <c r="A46">
        <v>11</v>
      </c>
      <c r="B46" s="453" t="s">
        <v>155</v>
      </c>
      <c r="C46" t="s">
        <v>607</v>
      </c>
      <c r="D46" s="117">
        <v>15767</v>
      </c>
      <c r="E46" s="501" t="e">
        <f>'23-24 C3 staffing'!#REF!</f>
        <v>#REF!</v>
      </c>
      <c r="F46" s="492">
        <v>0</v>
      </c>
      <c r="G46" s="34">
        <v>0</v>
      </c>
      <c r="H46" s="34">
        <v>0</v>
      </c>
      <c r="I46" s="34">
        <v>0</v>
      </c>
    </row>
    <row r="47" spans="1:15" x14ac:dyDescent="0.35">
      <c r="A47">
        <v>13</v>
      </c>
      <c r="B47" s="453" t="s">
        <v>122</v>
      </c>
      <c r="C47" t="s">
        <v>164</v>
      </c>
      <c r="D47" s="117">
        <v>375000</v>
      </c>
      <c r="E47" s="499">
        <f>'23-24 C3 staffing'!C41</f>
        <v>385000</v>
      </c>
      <c r="F47" s="492">
        <f>D47+(D47*0.03)</f>
        <v>386250</v>
      </c>
      <c r="G47" s="34">
        <f t="shared" si="2"/>
        <v>397837.5</v>
      </c>
      <c r="H47" s="34">
        <f t="shared" si="2"/>
        <v>409772.625</v>
      </c>
      <c r="I47" s="34">
        <f t="shared" si="2"/>
        <v>422065.80375000002</v>
      </c>
    </row>
    <row r="48" spans="1:15" x14ac:dyDescent="0.35">
      <c r="A48">
        <v>14</v>
      </c>
      <c r="B48" s="453" t="s">
        <v>122</v>
      </c>
      <c r="C48" t="s">
        <v>165</v>
      </c>
      <c r="D48" s="117">
        <v>0</v>
      </c>
      <c r="E48" s="498">
        <v>0</v>
      </c>
      <c r="F48" s="492">
        <v>0</v>
      </c>
      <c r="G48" s="34">
        <v>0</v>
      </c>
      <c r="H48" s="34">
        <v>0</v>
      </c>
      <c r="I48" s="34">
        <v>0</v>
      </c>
    </row>
    <row r="49" spans="1:12" x14ac:dyDescent="0.35">
      <c r="A49">
        <v>15</v>
      </c>
      <c r="B49" s="453" t="s">
        <v>122</v>
      </c>
      <c r="C49" t="s">
        <v>166</v>
      </c>
      <c r="D49" s="117">
        <v>10000</v>
      </c>
      <c r="E49" s="506">
        <v>10000</v>
      </c>
      <c r="F49" s="492">
        <f>D49+(D49*0.03)</f>
        <v>10300</v>
      </c>
      <c r="G49" s="34">
        <f t="shared" si="2"/>
        <v>10609</v>
      </c>
      <c r="H49" s="34">
        <f t="shared" si="2"/>
        <v>10927.27</v>
      </c>
      <c r="I49" s="34">
        <f t="shared" si="2"/>
        <v>11255.088100000001</v>
      </c>
    </row>
    <row r="50" spans="1:12" x14ac:dyDescent="0.35">
      <c r="B50" s="453" t="s">
        <v>155</v>
      </c>
      <c r="C50" t="s">
        <v>608</v>
      </c>
      <c r="D50" s="117">
        <v>85688</v>
      </c>
      <c r="E50" s="506" t="e">
        <f>'23-24 C3 staffing'!#REF!</f>
        <v>#REF!</v>
      </c>
      <c r="F50" s="492"/>
      <c r="G50" s="34"/>
      <c r="H50" s="34"/>
      <c r="I50" s="34"/>
      <c r="L50" s="125"/>
    </row>
    <row r="51" spans="1:12" ht="15" thickBot="1" x14ac:dyDescent="0.4">
      <c r="A51">
        <v>18</v>
      </c>
      <c r="B51" s="502" t="s">
        <v>155</v>
      </c>
      <c r="C51" s="503" t="s">
        <v>121</v>
      </c>
      <c r="D51" s="504">
        <v>0</v>
      </c>
      <c r="E51" s="507">
        <v>36568</v>
      </c>
      <c r="F51" s="492"/>
      <c r="G51" s="34"/>
      <c r="H51" s="34"/>
      <c r="I51" s="34"/>
    </row>
    <row r="52" spans="1:12" x14ac:dyDescent="0.35">
      <c r="A52">
        <v>19</v>
      </c>
      <c r="B52" t="s">
        <v>169</v>
      </c>
      <c r="C52" t="s">
        <v>170</v>
      </c>
      <c r="D52" s="117">
        <v>2600</v>
      </c>
      <c r="E52" s="117">
        <v>2600</v>
      </c>
      <c r="F52" s="34">
        <f>D52+(D52*0.03)</f>
        <v>2678</v>
      </c>
      <c r="G52" s="34">
        <f>F52+(F52*0.03)</f>
        <v>2758.34</v>
      </c>
      <c r="H52" s="34">
        <f>G52+(G52*0.03)</f>
        <v>2841.0902000000001</v>
      </c>
      <c r="I52" s="34">
        <f>H52+(H52*0.03)</f>
        <v>2926.3229059999999</v>
      </c>
    </row>
    <row r="53" spans="1:12" x14ac:dyDescent="0.35">
      <c r="A53">
        <v>20</v>
      </c>
      <c r="B53" t="s">
        <v>169</v>
      </c>
      <c r="C53" t="s">
        <v>171</v>
      </c>
      <c r="D53" s="117"/>
      <c r="E53" s="117"/>
      <c r="F53" s="34"/>
      <c r="G53" s="34"/>
      <c r="H53" s="34"/>
      <c r="I53" s="34"/>
    </row>
    <row r="54" spans="1:12" x14ac:dyDescent="0.35">
      <c r="A54">
        <v>21</v>
      </c>
      <c r="B54" t="s">
        <v>172</v>
      </c>
      <c r="C54" t="s">
        <v>173</v>
      </c>
      <c r="D54" s="117">
        <v>94006</v>
      </c>
      <c r="E54" s="117">
        <v>94006</v>
      </c>
      <c r="F54" s="34"/>
      <c r="G54" s="34"/>
      <c r="H54" s="34"/>
      <c r="I54" s="34"/>
    </row>
    <row r="55" spans="1:12" x14ac:dyDescent="0.35">
      <c r="A55">
        <v>22</v>
      </c>
      <c r="B55" t="s">
        <v>172</v>
      </c>
      <c r="C55" t="s">
        <v>174</v>
      </c>
      <c r="D55" s="117"/>
      <c r="E55" s="117"/>
      <c r="F55" s="34"/>
      <c r="G55" s="34"/>
      <c r="H55" s="34"/>
      <c r="I55" s="34"/>
    </row>
    <row r="56" spans="1:12" x14ac:dyDescent="0.35">
      <c r="A56">
        <v>23</v>
      </c>
      <c r="B56" t="s">
        <v>172</v>
      </c>
      <c r="C56" t="s">
        <v>175</v>
      </c>
      <c r="D56" s="117">
        <v>30000</v>
      </c>
      <c r="E56" s="117">
        <v>30000</v>
      </c>
      <c r="F56" s="34">
        <f>D56+(D56*0.03)</f>
        <v>30900</v>
      </c>
      <c r="G56" s="34">
        <f t="shared" ref="G56:I71" si="3">F56+(F56*0.03)</f>
        <v>31827</v>
      </c>
      <c r="H56" s="34">
        <f t="shared" si="3"/>
        <v>32781.81</v>
      </c>
      <c r="I56" s="34">
        <f t="shared" si="3"/>
        <v>33765.264299999995</v>
      </c>
    </row>
    <row r="57" spans="1:12" x14ac:dyDescent="0.35">
      <c r="A57">
        <v>24</v>
      </c>
      <c r="B57" t="s">
        <v>172</v>
      </c>
      <c r="C57" t="s">
        <v>176</v>
      </c>
      <c r="D57" s="117"/>
      <c r="E57" s="117"/>
      <c r="F57" s="34"/>
      <c r="G57" s="34"/>
      <c r="H57" s="34"/>
      <c r="I57" s="34"/>
    </row>
    <row r="58" spans="1:12" x14ac:dyDescent="0.35">
      <c r="A58">
        <v>25</v>
      </c>
      <c r="B58" t="s">
        <v>172</v>
      </c>
      <c r="C58" s="2" t="s">
        <v>177</v>
      </c>
      <c r="D58" s="117">
        <v>10000</v>
      </c>
      <c r="E58" s="117">
        <v>10000</v>
      </c>
      <c r="F58" s="34">
        <f>D58+(D58*0.03)</f>
        <v>10300</v>
      </c>
      <c r="G58" s="34">
        <f t="shared" si="3"/>
        <v>10609</v>
      </c>
      <c r="H58" s="34">
        <f t="shared" si="3"/>
        <v>10927.27</v>
      </c>
      <c r="I58" s="34">
        <f t="shared" si="3"/>
        <v>11255.088100000001</v>
      </c>
    </row>
    <row r="59" spans="1:12" x14ac:dyDescent="0.35">
      <c r="A59">
        <v>26</v>
      </c>
      <c r="B59" t="s">
        <v>172</v>
      </c>
      <c r="C59" s="2" t="s">
        <v>178</v>
      </c>
      <c r="D59" s="117">
        <v>20000</v>
      </c>
      <c r="E59" s="117">
        <v>20000</v>
      </c>
      <c r="F59" s="34">
        <f>D59+(D59*0.03)</f>
        <v>20600</v>
      </c>
      <c r="G59" s="34">
        <f>F59+(F59*0.03)</f>
        <v>21218</v>
      </c>
      <c r="H59" s="34">
        <f>G59+(G59*0.03)</f>
        <v>21854.54</v>
      </c>
      <c r="I59" s="34">
        <f>H59+(H59*0.03)</f>
        <v>22510.176200000002</v>
      </c>
    </row>
    <row r="60" spans="1:12" x14ac:dyDescent="0.35">
      <c r="A60">
        <v>27</v>
      </c>
      <c r="B60" t="s">
        <v>172</v>
      </c>
      <c r="C60" t="s">
        <v>179</v>
      </c>
      <c r="D60" s="117">
        <v>5000</v>
      </c>
      <c r="E60" s="117">
        <v>5000</v>
      </c>
      <c r="F60" s="34">
        <f>D60+(D60*0.03)</f>
        <v>5150</v>
      </c>
      <c r="G60" s="34">
        <f t="shared" ref="G60:I62" si="4">F60+(F60*0.03)</f>
        <v>5304.5</v>
      </c>
      <c r="H60" s="34">
        <f t="shared" si="4"/>
        <v>5463.6350000000002</v>
      </c>
      <c r="I60" s="34">
        <f t="shared" si="4"/>
        <v>5627.5440500000004</v>
      </c>
    </row>
    <row r="61" spans="1:12" x14ac:dyDescent="0.35">
      <c r="A61">
        <v>28</v>
      </c>
      <c r="B61" t="s">
        <v>172</v>
      </c>
      <c r="C61" t="s">
        <v>180</v>
      </c>
      <c r="D61" s="117"/>
      <c r="E61" s="117"/>
      <c r="F61" s="34"/>
      <c r="G61" s="34"/>
      <c r="H61" s="34"/>
      <c r="I61" s="34"/>
    </row>
    <row r="62" spans="1:12" x14ac:dyDescent="0.35">
      <c r="A62">
        <v>29</v>
      </c>
      <c r="B62" t="s">
        <v>181</v>
      </c>
      <c r="C62" t="s">
        <v>182</v>
      </c>
      <c r="D62" s="117">
        <v>5000</v>
      </c>
      <c r="E62" s="117">
        <v>5000</v>
      </c>
      <c r="F62" s="34">
        <f t="shared" ref="F62:F69" si="5">D62+(D62*0.03)</f>
        <v>5150</v>
      </c>
      <c r="G62" s="34">
        <f t="shared" si="4"/>
        <v>5304.5</v>
      </c>
      <c r="H62" s="34">
        <f t="shared" si="4"/>
        <v>5463.6350000000002</v>
      </c>
      <c r="I62" s="34">
        <f t="shared" si="4"/>
        <v>5627.5440500000004</v>
      </c>
    </row>
    <row r="63" spans="1:12" x14ac:dyDescent="0.35">
      <c r="A63">
        <v>30</v>
      </c>
      <c r="B63" t="s">
        <v>181</v>
      </c>
      <c r="C63" t="s">
        <v>232</v>
      </c>
      <c r="D63" s="127">
        <v>30000</v>
      </c>
      <c r="E63" s="127">
        <v>30000</v>
      </c>
      <c r="F63" s="34">
        <f t="shared" si="5"/>
        <v>30900</v>
      </c>
      <c r="G63" s="34">
        <f t="shared" si="3"/>
        <v>31827</v>
      </c>
      <c r="H63" s="34">
        <f t="shared" si="3"/>
        <v>32781.81</v>
      </c>
      <c r="I63" s="34">
        <f t="shared" si="3"/>
        <v>33765.264299999995</v>
      </c>
    </row>
    <row r="64" spans="1:12" x14ac:dyDescent="0.35">
      <c r="A64">
        <v>31</v>
      </c>
      <c r="B64" t="s">
        <v>181</v>
      </c>
      <c r="C64" t="s">
        <v>184</v>
      </c>
      <c r="D64" s="117">
        <v>20000</v>
      </c>
      <c r="E64" s="117">
        <v>20000</v>
      </c>
      <c r="F64" s="34">
        <f t="shared" si="5"/>
        <v>20600</v>
      </c>
      <c r="G64" s="34">
        <f t="shared" si="3"/>
        <v>21218</v>
      </c>
      <c r="H64" s="34">
        <f t="shared" si="3"/>
        <v>21854.54</v>
      </c>
      <c r="I64" s="34">
        <f t="shared" si="3"/>
        <v>22510.176200000002</v>
      </c>
    </row>
    <row r="65" spans="1:9" x14ac:dyDescent="0.35">
      <c r="A65">
        <v>32</v>
      </c>
      <c r="B65" t="s">
        <v>181</v>
      </c>
      <c r="C65" t="s">
        <v>185</v>
      </c>
      <c r="D65" s="117">
        <v>50000</v>
      </c>
      <c r="E65" s="117">
        <v>50000</v>
      </c>
      <c r="F65" s="34">
        <f t="shared" si="5"/>
        <v>51500</v>
      </c>
      <c r="G65" s="34">
        <f t="shared" si="3"/>
        <v>53045</v>
      </c>
      <c r="H65" s="34">
        <f t="shared" si="3"/>
        <v>54636.35</v>
      </c>
      <c r="I65" s="34">
        <f t="shared" si="3"/>
        <v>56275.440499999997</v>
      </c>
    </row>
    <row r="66" spans="1:9" x14ac:dyDescent="0.35">
      <c r="A66">
        <v>33</v>
      </c>
      <c r="B66" t="s">
        <v>181</v>
      </c>
      <c r="C66" t="s">
        <v>186</v>
      </c>
      <c r="D66" s="117">
        <v>5000</v>
      </c>
      <c r="E66" s="117">
        <v>5000</v>
      </c>
      <c r="F66" s="34">
        <f t="shared" si="5"/>
        <v>5150</v>
      </c>
      <c r="G66" s="34">
        <f t="shared" si="3"/>
        <v>5304.5</v>
      </c>
      <c r="H66" s="34">
        <f t="shared" si="3"/>
        <v>5463.6350000000002</v>
      </c>
      <c r="I66" s="34">
        <f t="shared" si="3"/>
        <v>5627.5440500000004</v>
      </c>
    </row>
    <row r="67" spans="1:9" x14ac:dyDescent="0.35">
      <c r="A67">
        <v>34</v>
      </c>
      <c r="B67" t="s">
        <v>181</v>
      </c>
      <c r="C67" t="s">
        <v>187</v>
      </c>
      <c r="D67" s="117">
        <v>2000</v>
      </c>
      <c r="E67" s="117">
        <v>2000</v>
      </c>
      <c r="F67" s="34">
        <f t="shared" si="5"/>
        <v>2060</v>
      </c>
      <c r="G67" s="34">
        <f t="shared" si="3"/>
        <v>2121.8000000000002</v>
      </c>
      <c r="H67" s="34">
        <f t="shared" si="3"/>
        <v>2185.4540000000002</v>
      </c>
      <c r="I67" s="34">
        <f t="shared" si="3"/>
        <v>2251.0176200000001</v>
      </c>
    </row>
    <row r="68" spans="1:9" x14ac:dyDescent="0.35">
      <c r="A68">
        <v>35</v>
      </c>
      <c r="B68" t="s">
        <v>181</v>
      </c>
      <c r="C68" t="s">
        <v>188</v>
      </c>
      <c r="D68" s="117">
        <v>5000</v>
      </c>
      <c r="E68" s="117">
        <v>5000</v>
      </c>
      <c r="F68" s="34">
        <f t="shared" si="5"/>
        <v>5150</v>
      </c>
      <c r="G68" s="34">
        <f t="shared" si="3"/>
        <v>5304.5</v>
      </c>
      <c r="H68" s="34">
        <f t="shared" si="3"/>
        <v>5463.6350000000002</v>
      </c>
      <c r="I68" s="34">
        <f t="shared" si="3"/>
        <v>5627.5440500000004</v>
      </c>
    </row>
    <row r="69" spans="1:9" x14ac:dyDescent="0.35">
      <c r="A69">
        <v>36</v>
      </c>
      <c r="B69" t="s">
        <v>181</v>
      </c>
      <c r="C69" t="s">
        <v>189</v>
      </c>
      <c r="D69" s="117">
        <v>40000</v>
      </c>
      <c r="E69" s="117">
        <v>40000</v>
      </c>
      <c r="F69" s="34">
        <f t="shared" si="5"/>
        <v>41200</v>
      </c>
      <c r="G69" s="34">
        <f t="shared" si="3"/>
        <v>42436</v>
      </c>
      <c r="H69" s="34">
        <f t="shared" si="3"/>
        <v>43709.08</v>
      </c>
      <c r="I69" s="34">
        <f t="shared" si="3"/>
        <v>45020.352400000003</v>
      </c>
    </row>
    <row r="70" spans="1:9" x14ac:dyDescent="0.35">
      <c r="A70">
        <v>37</v>
      </c>
      <c r="B70" t="s">
        <v>181</v>
      </c>
      <c r="C70" t="s">
        <v>190</v>
      </c>
      <c r="D70" s="117"/>
      <c r="E70" s="117"/>
      <c r="F70" s="34"/>
      <c r="G70" s="34"/>
      <c r="H70" s="34"/>
      <c r="I70" s="34"/>
    </row>
    <row r="71" spans="1:9" x14ac:dyDescent="0.35">
      <c r="A71">
        <v>38</v>
      </c>
      <c r="B71" t="s">
        <v>181</v>
      </c>
      <c r="C71" t="s">
        <v>191</v>
      </c>
      <c r="D71" s="117">
        <v>15000</v>
      </c>
      <c r="E71" s="117">
        <v>15000</v>
      </c>
      <c r="F71" s="34">
        <f>D71+(D71*0.03)</f>
        <v>15450</v>
      </c>
      <c r="G71" s="34">
        <f t="shared" si="3"/>
        <v>15913.5</v>
      </c>
      <c r="H71" s="34">
        <f t="shared" si="3"/>
        <v>16390.904999999999</v>
      </c>
      <c r="I71" s="34">
        <f t="shared" si="3"/>
        <v>16882.632149999998</v>
      </c>
    </row>
    <row r="72" spans="1:9" x14ac:dyDescent="0.35">
      <c r="A72">
        <v>39</v>
      </c>
      <c r="B72" t="s">
        <v>181</v>
      </c>
      <c r="C72" t="s">
        <v>192</v>
      </c>
      <c r="D72" s="117">
        <v>65000</v>
      </c>
      <c r="E72" s="117">
        <v>65000</v>
      </c>
      <c r="F72" s="34">
        <f>D72+(D72*0.03)</f>
        <v>66950</v>
      </c>
      <c r="G72" s="34">
        <f t="shared" ref="G72:I75" si="6">F72+(F72*0.03)</f>
        <v>68958.5</v>
      </c>
      <c r="H72" s="34">
        <f t="shared" si="6"/>
        <v>71027.255000000005</v>
      </c>
      <c r="I72" s="34">
        <f t="shared" si="6"/>
        <v>73158.072650000002</v>
      </c>
    </row>
    <row r="73" spans="1:9" x14ac:dyDescent="0.35">
      <c r="A73">
        <v>40</v>
      </c>
      <c r="B73" t="s">
        <v>181</v>
      </c>
      <c r="C73" t="s">
        <v>193</v>
      </c>
      <c r="D73" s="117">
        <v>550</v>
      </c>
      <c r="E73" s="117">
        <v>550</v>
      </c>
      <c r="F73" s="34">
        <f>D73+(D73*0.03)</f>
        <v>566.5</v>
      </c>
      <c r="G73" s="34">
        <f t="shared" si="6"/>
        <v>583.495</v>
      </c>
      <c r="H73" s="34">
        <f t="shared" si="6"/>
        <v>600.99985000000004</v>
      </c>
      <c r="I73" s="34">
        <f t="shared" si="6"/>
        <v>619.02984550000008</v>
      </c>
    </row>
    <row r="74" spans="1:9" x14ac:dyDescent="0.35">
      <c r="A74">
        <v>41</v>
      </c>
      <c r="B74" t="s">
        <v>181</v>
      </c>
      <c r="C74" t="s">
        <v>194</v>
      </c>
      <c r="D74" s="117">
        <v>500</v>
      </c>
      <c r="E74" s="117">
        <v>500</v>
      </c>
      <c r="F74" s="34">
        <f>D74+(D74*0.03)</f>
        <v>515</v>
      </c>
      <c r="G74" s="34">
        <f t="shared" si="6"/>
        <v>530.45000000000005</v>
      </c>
      <c r="H74" s="34">
        <f t="shared" si="6"/>
        <v>546.36350000000004</v>
      </c>
      <c r="I74" s="34">
        <f t="shared" si="6"/>
        <v>562.75440500000002</v>
      </c>
    </row>
    <row r="75" spans="1:9" x14ac:dyDescent="0.35">
      <c r="A75">
        <v>42</v>
      </c>
      <c r="B75" t="s">
        <v>169</v>
      </c>
      <c r="C75" t="s">
        <v>195</v>
      </c>
      <c r="D75" s="117">
        <v>6800</v>
      </c>
      <c r="E75" s="117">
        <v>6800</v>
      </c>
      <c r="F75" s="34">
        <f>D75+(D75*0.03)</f>
        <v>7004</v>
      </c>
      <c r="G75" s="34">
        <f t="shared" si="6"/>
        <v>7214.12</v>
      </c>
      <c r="H75" s="34">
        <f t="shared" si="6"/>
        <v>7430.5436</v>
      </c>
      <c r="I75" s="34">
        <f t="shared" si="6"/>
        <v>7653.4599079999998</v>
      </c>
    </row>
    <row r="76" spans="1:9" x14ac:dyDescent="0.35">
      <c r="A76">
        <v>43</v>
      </c>
      <c r="B76" t="s">
        <v>169</v>
      </c>
      <c r="C76" t="s">
        <v>196</v>
      </c>
      <c r="D76" s="117"/>
      <c r="E76" s="117"/>
      <c r="F76" s="34"/>
      <c r="G76" s="34"/>
      <c r="H76" s="34"/>
      <c r="I76" s="34"/>
    </row>
    <row r="77" spans="1:9" x14ac:dyDescent="0.35">
      <c r="A77">
        <v>44</v>
      </c>
      <c r="B77" t="s">
        <v>169</v>
      </c>
      <c r="C77" t="s">
        <v>197</v>
      </c>
      <c r="D77" s="117"/>
      <c r="E77" s="117"/>
      <c r="F77" s="34"/>
      <c r="G77" s="34"/>
      <c r="H77" s="34"/>
      <c r="I77" s="34"/>
    </row>
    <row r="78" spans="1:9" x14ac:dyDescent="0.35">
      <c r="A78">
        <v>45</v>
      </c>
      <c r="B78" t="s">
        <v>169</v>
      </c>
      <c r="C78" t="s">
        <v>233</v>
      </c>
      <c r="D78" s="117">
        <v>30000</v>
      </c>
      <c r="E78" s="190">
        <f>0.01*E37</f>
        <v>37604</v>
      </c>
      <c r="F78" s="34">
        <f>D78+(D78*0.03)</f>
        <v>30900</v>
      </c>
      <c r="G78" s="34">
        <f>F78+(F78*0.03)</f>
        <v>31827</v>
      </c>
      <c r="H78" s="34">
        <f>G78+(G78*0.03)</f>
        <v>32781.81</v>
      </c>
      <c r="I78" s="34">
        <f>H78+(H78*0.03)</f>
        <v>33765.264299999995</v>
      </c>
    </row>
    <row r="79" spans="1:9" x14ac:dyDescent="0.35">
      <c r="A79">
        <v>46</v>
      </c>
      <c r="B79" t="s">
        <v>199</v>
      </c>
      <c r="C79" t="s">
        <v>200</v>
      </c>
      <c r="D79" s="119">
        <v>104160</v>
      </c>
      <c r="E79" s="190">
        <f>0.03*E37</f>
        <v>112812</v>
      </c>
      <c r="F79" s="34">
        <v>104160</v>
      </c>
      <c r="G79" s="34">
        <v>104160</v>
      </c>
      <c r="H79" s="34">
        <v>104160</v>
      </c>
      <c r="I79" s="34">
        <v>104160</v>
      </c>
    </row>
    <row r="80" spans="1:9" x14ac:dyDescent="0.35">
      <c r="A80">
        <v>47</v>
      </c>
      <c r="B80" t="s">
        <v>199</v>
      </c>
      <c r="C80" t="s">
        <v>201</v>
      </c>
      <c r="D80" s="117"/>
      <c r="E80" s="117"/>
      <c r="F80" s="34"/>
      <c r="G80" s="34"/>
      <c r="H80" s="34"/>
      <c r="I80" s="34"/>
    </row>
    <row r="81" spans="1:10" x14ac:dyDescent="0.35">
      <c r="A81">
        <v>48</v>
      </c>
      <c r="B81" s="312" t="s">
        <v>199</v>
      </c>
      <c r="C81" s="312" t="s">
        <v>202</v>
      </c>
      <c r="D81" s="117">
        <v>100000</v>
      </c>
      <c r="E81" s="302">
        <f>J81*(E37+E36)</f>
        <v>246064.44</v>
      </c>
      <c r="F81" s="88">
        <v>100000</v>
      </c>
      <c r="G81" s="88">
        <v>200000</v>
      </c>
      <c r="H81" s="88">
        <v>200000</v>
      </c>
      <c r="I81" s="88">
        <v>300000</v>
      </c>
      <c r="J81" s="314">
        <v>0.06</v>
      </c>
    </row>
    <row r="82" spans="1:10" x14ac:dyDescent="0.35">
      <c r="A82">
        <v>49</v>
      </c>
      <c r="B82" t="s">
        <v>199</v>
      </c>
      <c r="C82" t="s">
        <v>203</v>
      </c>
      <c r="D82" s="117"/>
      <c r="E82" s="117"/>
      <c r="F82" s="34"/>
      <c r="G82" s="34"/>
      <c r="H82" s="34"/>
      <c r="I82" s="34"/>
    </row>
    <row r="83" spans="1:10" x14ac:dyDescent="0.35">
      <c r="A83">
        <v>50</v>
      </c>
      <c r="B83" t="s">
        <v>199</v>
      </c>
      <c r="C83" t="s">
        <v>204</v>
      </c>
      <c r="D83" s="117">
        <v>30000</v>
      </c>
      <c r="E83" s="117">
        <v>30000</v>
      </c>
      <c r="F83" s="34">
        <f>D83+(D83*0.03)</f>
        <v>30900</v>
      </c>
      <c r="G83" s="34">
        <f t="shared" ref="G83:I86" si="7">F83+(F83*0.03)</f>
        <v>31827</v>
      </c>
      <c r="H83" s="34">
        <f t="shared" si="7"/>
        <v>32781.81</v>
      </c>
      <c r="I83" s="34">
        <f t="shared" si="7"/>
        <v>33765.264299999995</v>
      </c>
    </row>
    <row r="84" spans="1:10" x14ac:dyDescent="0.35">
      <c r="A84">
        <v>51</v>
      </c>
      <c r="B84" t="s">
        <v>199</v>
      </c>
      <c r="C84" t="s">
        <v>205</v>
      </c>
      <c r="D84" s="117">
        <v>60000</v>
      </c>
      <c r="E84" s="117">
        <v>60000</v>
      </c>
      <c r="F84" s="34">
        <f>D84+(D84*0.03)</f>
        <v>61800</v>
      </c>
      <c r="G84" s="34">
        <f t="shared" si="7"/>
        <v>63654</v>
      </c>
      <c r="H84" s="34">
        <f t="shared" si="7"/>
        <v>65563.62</v>
      </c>
      <c r="I84" s="34">
        <f t="shared" si="7"/>
        <v>67530.528599999991</v>
      </c>
    </row>
    <row r="85" spans="1:10" x14ac:dyDescent="0.35">
      <c r="A85">
        <v>52</v>
      </c>
      <c r="B85" t="s">
        <v>199</v>
      </c>
      <c r="C85" t="s">
        <v>206</v>
      </c>
      <c r="D85" s="117">
        <v>15000</v>
      </c>
      <c r="E85" s="117">
        <v>15000</v>
      </c>
      <c r="F85" s="34">
        <f>D85+(D85*0.03)</f>
        <v>15450</v>
      </c>
      <c r="G85" s="34">
        <f t="shared" si="7"/>
        <v>15913.5</v>
      </c>
      <c r="H85" s="34">
        <f t="shared" si="7"/>
        <v>16390.904999999999</v>
      </c>
      <c r="I85" s="34">
        <f t="shared" si="7"/>
        <v>16882.632149999998</v>
      </c>
    </row>
    <row r="86" spans="1:10" x14ac:dyDescent="0.35">
      <c r="A86">
        <v>53</v>
      </c>
      <c r="B86" t="s">
        <v>199</v>
      </c>
      <c r="C86" t="s">
        <v>227</v>
      </c>
      <c r="D86" s="119">
        <v>200000</v>
      </c>
      <c r="E86" s="119">
        <v>200000</v>
      </c>
      <c r="F86" s="34">
        <f>D86+(D86*0.03)</f>
        <v>206000</v>
      </c>
      <c r="G86" s="34">
        <f t="shared" si="7"/>
        <v>212180</v>
      </c>
      <c r="H86" s="34">
        <f t="shared" si="7"/>
        <v>218545.4</v>
      </c>
      <c r="I86" s="34">
        <f t="shared" si="7"/>
        <v>225101.76199999999</v>
      </c>
    </row>
    <row r="87" spans="1:10" x14ac:dyDescent="0.35">
      <c r="A87">
        <v>54</v>
      </c>
      <c r="B87" t="s">
        <v>199</v>
      </c>
      <c r="C87" t="s">
        <v>208</v>
      </c>
      <c r="D87" s="120"/>
      <c r="E87" s="120"/>
      <c r="F87" s="34"/>
      <c r="G87" s="34"/>
      <c r="H87" s="34"/>
      <c r="I87" s="34"/>
    </row>
    <row r="88" spans="1:10" x14ac:dyDescent="0.35">
      <c r="A88">
        <v>55</v>
      </c>
      <c r="B88" t="s">
        <v>199</v>
      </c>
      <c r="C88" t="s">
        <v>209</v>
      </c>
      <c r="D88" s="117">
        <v>3000</v>
      </c>
      <c r="E88" s="117">
        <v>3000</v>
      </c>
      <c r="F88" s="34">
        <f>D88+(D88*0.03)</f>
        <v>3090</v>
      </c>
      <c r="G88" s="34">
        <f>F88+(F88*0.03)</f>
        <v>3182.7</v>
      </c>
      <c r="H88" s="34">
        <f>G88+(G88*0.03)</f>
        <v>3278.1809999999996</v>
      </c>
      <c r="I88" s="34">
        <f>H88+(H88*0.03)</f>
        <v>3376.5264299999994</v>
      </c>
    </row>
    <row r="89" spans="1:10" x14ac:dyDescent="0.35">
      <c r="A89">
        <v>56</v>
      </c>
      <c r="B89" t="s">
        <v>199</v>
      </c>
      <c r="C89" t="s">
        <v>210</v>
      </c>
      <c r="D89" s="117"/>
      <c r="E89" s="117"/>
      <c r="F89" s="34"/>
      <c r="G89" s="34"/>
      <c r="H89" s="34"/>
      <c r="I89" s="34"/>
    </row>
    <row r="90" spans="1:10" x14ac:dyDescent="0.35">
      <c r="A90">
        <v>57</v>
      </c>
      <c r="B90" t="s">
        <v>199</v>
      </c>
      <c r="C90" t="s">
        <v>211</v>
      </c>
      <c r="D90" s="117"/>
      <c r="E90" s="117"/>
      <c r="F90" s="34"/>
      <c r="G90" s="34"/>
      <c r="H90" s="34"/>
      <c r="I90" s="34"/>
    </row>
    <row r="91" spans="1:10" x14ac:dyDescent="0.35">
      <c r="A91">
        <v>58</v>
      </c>
      <c r="B91" t="s">
        <v>199</v>
      </c>
      <c r="C91" t="s">
        <v>212</v>
      </c>
      <c r="D91" s="117"/>
      <c r="E91" s="117"/>
      <c r="F91" s="34"/>
      <c r="G91" s="34"/>
      <c r="H91" s="34"/>
      <c r="I91" s="34"/>
    </row>
    <row r="92" spans="1:10" x14ac:dyDescent="0.35">
      <c r="A92">
        <v>59</v>
      </c>
      <c r="B92" t="s">
        <v>199</v>
      </c>
      <c r="C92" t="s">
        <v>213</v>
      </c>
      <c r="D92" s="117"/>
      <c r="E92" s="117"/>
      <c r="F92" s="34"/>
      <c r="G92" s="34"/>
      <c r="H92" s="34"/>
      <c r="I92" s="34"/>
    </row>
    <row r="93" spans="1:10" x14ac:dyDescent="0.35">
      <c r="A93">
        <v>60</v>
      </c>
      <c r="B93" t="s">
        <v>199</v>
      </c>
      <c r="C93" t="s">
        <v>214</v>
      </c>
      <c r="D93" s="117"/>
      <c r="E93" s="117"/>
      <c r="F93" s="34"/>
      <c r="G93" s="34"/>
      <c r="H93" s="34"/>
      <c r="I93" s="34"/>
    </row>
    <row r="94" spans="1:10" x14ac:dyDescent="0.35">
      <c r="A94">
        <v>61</v>
      </c>
      <c r="B94" t="s">
        <v>124</v>
      </c>
      <c r="C94" t="s">
        <v>125</v>
      </c>
      <c r="D94" s="117"/>
      <c r="E94" s="117"/>
      <c r="F94" s="34"/>
      <c r="G94" s="34"/>
      <c r="H94" s="34"/>
      <c r="I94" s="34"/>
    </row>
    <row r="95" spans="1:10" x14ac:dyDescent="0.35">
      <c r="A95">
        <v>62</v>
      </c>
      <c r="B95" t="s">
        <v>124</v>
      </c>
      <c r="C95" t="s">
        <v>67</v>
      </c>
      <c r="D95" s="117">
        <v>34330</v>
      </c>
      <c r="E95" s="117">
        <v>34330</v>
      </c>
      <c r="F95" s="34">
        <f>D95+(D95*0.03)</f>
        <v>35359.9</v>
      </c>
      <c r="G95" s="34">
        <f t="shared" ref="G95:I99" si="8">F95+(F95*0.03)</f>
        <v>36420.697</v>
      </c>
      <c r="H95" s="34">
        <f t="shared" si="8"/>
        <v>37513.317909999998</v>
      </c>
      <c r="I95" s="34">
        <f t="shared" si="8"/>
        <v>38638.717447299998</v>
      </c>
    </row>
    <row r="96" spans="1:10" x14ac:dyDescent="0.35">
      <c r="A96">
        <v>63</v>
      </c>
      <c r="B96" t="s">
        <v>124</v>
      </c>
      <c r="C96" t="s">
        <v>128</v>
      </c>
      <c r="D96" s="119">
        <v>140000</v>
      </c>
      <c r="E96" s="128">
        <v>140000</v>
      </c>
      <c r="F96" s="34">
        <f>D96+(D96*0.03)</f>
        <v>144200</v>
      </c>
      <c r="G96" s="34">
        <f t="shared" si="8"/>
        <v>148526</v>
      </c>
      <c r="H96" s="34">
        <f t="shared" si="8"/>
        <v>152981.78</v>
      </c>
      <c r="I96" s="34">
        <f t="shared" si="8"/>
        <v>157571.2334</v>
      </c>
    </row>
    <row r="97" spans="1:9" x14ac:dyDescent="0.35">
      <c r="A97">
        <v>64</v>
      </c>
      <c r="B97" t="s">
        <v>124</v>
      </c>
      <c r="C97" t="s">
        <v>129</v>
      </c>
      <c r="D97" s="117">
        <v>10000</v>
      </c>
      <c r="E97" s="117">
        <v>10000</v>
      </c>
      <c r="F97" s="34">
        <f>D97+(D97*0.03)</f>
        <v>10300</v>
      </c>
      <c r="G97" s="34">
        <f t="shared" si="8"/>
        <v>10609</v>
      </c>
      <c r="H97" s="34">
        <f t="shared" si="8"/>
        <v>10927.27</v>
      </c>
      <c r="I97" s="34">
        <f t="shared" si="8"/>
        <v>11255.088100000001</v>
      </c>
    </row>
    <row r="98" spans="1:9" x14ac:dyDescent="0.35">
      <c r="A98">
        <v>65</v>
      </c>
      <c r="B98" t="s">
        <v>124</v>
      </c>
      <c r="C98" t="s">
        <v>130</v>
      </c>
      <c r="D98" s="117">
        <v>30000</v>
      </c>
      <c r="E98" s="117">
        <v>30000</v>
      </c>
      <c r="F98" s="34">
        <f>D98+(D98*0.03)</f>
        <v>30900</v>
      </c>
      <c r="G98" s="34">
        <f t="shared" si="8"/>
        <v>31827</v>
      </c>
      <c r="H98" s="34">
        <f t="shared" si="8"/>
        <v>32781.81</v>
      </c>
      <c r="I98" s="34">
        <f t="shared" si="8"/>
        <v>33765.264299999995</v>
      </c>
    </row>
    <row r="99" spans="1:9" x14ac:dyDescent="0.35">
      <c r="A99">
        <v>66</v>
      </c>
      <c r="B99" t="s">
        <v>124</v>
      </c>
      <c r="C99" t="s">
        <v>131</v>
      </c>
      <c r="D99" s="117">
        <v>20000</v>
      </c>
      <c r="E99" s="117">
        <v>20000</v>
      </c>
      <c r="F99" s="34">
        <f>D99+(D99*0.03)</f>
        <v>20600</v>
      </c>
      <c r="G99" s="34">
        <f t="shared" si="8"/>
        <v>21218</v>
      </c>
      <c r="H99" s="34">
        <f t="shared" si="8"/>
        <v>21854.54</v>
      </c>
      <c r="I99" s="34">
        <f t="shared" si="8"/>
        <v>22510.176200000002</v>
      </c>
    </row>
    <row r="100" spans="1:9" x14ac:dyDescent="0.35">
      <c r="A100">
        <v>67</v>
      </c>
      <c r="B100" t="s">
        <v>124</v>
      </c>
      <c r="C100" t="s">
        <v>132</v>
      </c>
      <c r="D100" s="117"/>
      <c r="E100" s="117"/>
      <c r="F100" s="34"/>
      <c r="G100" s="34"/>
      <c r="H100" s="34"/>
      <c r="I100" s="34"/>
    </row>
    <row r="101" spans="1:9" x14ac:dyDescent="0.35">
      <c r="A101">
        <v>68</v>
      </c>
      <c r="B101" t="s">
        <v>124</v>
      </c>
      <c r="C101" t="s">
        <v>41</v>
      </c>
      <c r="D101" s="117">
        <v>5000</v>
      </c>
      <c r="E101" s="190">
        <v>8450</v>
      </c>
      <c r="F101" s="34">
        <f>D101+(D101*0.03)</f>
        <v>5150</v>
      </c>
      <c r="G101" s="34">
        <f t="shared" ref="G101:I116" si="9">F101+(F101*0.03)</f>
        <v>5304.5</v>
      </c>
      <c r="H101" s="34">
        <f t="shared" si="9"/>
        <v>5463.6350000000002</v>
      </c>
      <c r="I101" s="34">
        <f t="shared" si="9"/>
        <v>5627.5440500000004</v>
      </c>
    </row>
    <row r="102" spans="1:9" x14ac:dyDescent="0.35">
      <c r="A102">
        <v>69</v>
      </c>
      <c r="B102" t="s">
        <v>124</v>
      </c>
      <c r="C102" t="s">
        <v>133</v>
      </c>
      <c r="D102" s="117">
        <v>500</v>
      </c>
      <c r="E102" s="117">
        <v>500</v>
      </c>
      <c r="F102" s="34">
        <f>D102+(D102*0.03)</f>
        <v>515</v>
      </c>
      <c r="G102" s="34">
        <f t="shared" si="9"/>
        <v>530.45000000000005</v>
      </c>
      <c r="H102" s="34">
        <f t="shared" si="9"/>
        <v>546.36350000000004</v>
      </c>
      <c r="I102" s="34">
        <f t="shared" si="9"/>
        <v>562.75440500000002</v>
      </c>
    </row>
    <row r="103" spans="1:9" x14ac:dyDescent="0.35">
      <c r="A103">
        <v>70</v>
      </c>
      <c r="B103" t="s">
        <v>124</v>
      </c>
      <c r="C103" t="s">
        <v>134</v>
      </c>
      <c r="D103" s="117"/>
      <c r="E103" s="117"/>
      <c r="F103" s="34"/>
      <c r="G103" s="34"/>
      <c r="H103" s="34"/>
      <c r="I103" s="34"/>
    </row>
    <row r="104" spans="1:9" x14ac:dyDescent="0.35">
      <c r="A104">
        <v>71</v>
      </c>
      <c r="B104" t="s">
        <v>124</v>
      </c>
      <c r="C104" t="s">
        <v>135</v>
      </c>
      <c r="D104" s="117">
        <v>3000</v>
      </c>
      <c r="E104" s="117">
        <v>3000</v>
      </c>
      <c r="F104" s="34">
        <f>D104+(D104*0.03)</f>
        <v>3090</v>
      </c>
      <c r="G104" s="34">
        <f t="shared" si="9"/>
        <v>3182.7</v>
      </c>
      <c r="H104" s="34">
        <f t="shared" si="9"/>
        <v>3278.1809999999996</v>
      </c>
      <c r="I104" s="34">
        <f t="shared" si="9"/>
        <v>3376.5264299999994</v>
      </c>
    </row>
    <row r="105" spans="1:9" x14ac:dyDescent="0.35">
      <c r="A105">
        <v>72</v>
      </c>
      <c r="B105" t="s">
        <v>124</v>
      </c>
      <c r="C105" t="s">
        <v>136</v>
      </c>
      <c r="D105" s="117">
        <v>32000</v>
      </c>
      <c r="E105" s="117">
        <v>32000</v>
      </c>
      <c r="F105" s="34">
        <f>D105+(D105*0.03)</f>
        <v>32960</v>
      </c>
      <c r="G105" s="34">
        <f t="shared" si="9"/>
        <v>33948.800000000003</v>
      </c>
      <c r="H105" s="34">
        <f t="shared" si="9"/>
        <v>34967.264000000003</v>
      </c>
      <c r="I105" s="34">
        <f t="shared" si="9"/>
        <v>36016.281920000001</v>
      </c>
    </row>
    <row r="106" spans="1:9" x14ac:dyDescent="0.35">
      <c r="A106">
        <v>73</v>
      </c>
      <c r="B106" t="s">
        <v>124</v>
      </c>
      <c r="C106" t="s">
        <v>124</v>
      </c>
      <c r="D106" s="117"/>
      <c r="E106" s="117"/>
      <c r="F106" s="34"/>
      <c r="G106" s="34"/>
      <c r="H106" s="34"/>
      <c r="I106" s="34"/>
    </row>
    <row r="107" spans="1:9" x14ac:dyDescent="0.35">
      <c r="A107">
        <v>74</v>
      </c>
      <c r="B107" t="s">
        <v>137</v>
      </c>
      <c r="C107" t="s">
        <v>138</v>
      </c>
      <c r="D107" s="117">
        <v>63000</v>
      </c>
      <c r="E107" s="117">
        <v>63000</v>
      </c>
      <c r="F107" s="34">
        <f t="shared" ref="F107:F116" si="10">D107+(D107*0.03)</f>
        <v>64890</v>
      </c>
      <c r="G107" s="34">
        <f t="shared" si="9"/>
        <v>66836.7</v>
      </c>
      <c r="H107" s="34">
        <f t="shared" si="9"/>
        <v>68841.800999999992</v>
      </c>
      <c r="I107" s="34">
        <f t="shared" si="9"/>
        <v>70907.055029999989</v>
      </c>
    </row>
    <row r="108" spans="1:9" x14ac:dyDescent="0.35">
      <c r="A108">
        <v>75</v>
      </c>
      <c r="B108" t="s">
        <v>137</v>
      </c>
      <c r="C108" t="s">
        <v>139</v>
      </c>
      <c r="D108" s="117">
        <v>34000</v>
      </c>
      <c r="E108" s="117">
        <v>34000</v>
      </c>
      <c r="F108" s="34">
        <f t="shared" si="10"/>
        <v>35020</v>
      </c>
      <c r="G108" s="34">
        <f t="shared" ref="G108:I111" si="11">F108+(F108*0.03)</f>
        <v>36070.6</v>
      </c>
      <c r="H108" s="34">
        <f t="shared" si="11"/>
        <v>37152.718000000001</v>
      </c>
      <c r="I108" s="34">
        <f t="shared" si="11"/>
        <v>38267.29954</v>
      </c>
    </row>
    <row r="109" spans="1:9" x14ac:dyDescent="0.35">
      <c r="A109">
        <v>76</v>
      </c>
      <c r="B109" t="s">
        <v>137</v>
      </c>
      <c r="C109" t="s">
        <v>140</v>
      </c>
      <c r="D109" s="117">
        <v>52500</v>
      </c>
      <c r="E109" s="117">
        <v>52500</v>
      </c>
      <c r="F109" s="34">
        <f t="shared" si="10"/>
        <v>54075</v>
      </c>
      <c r="G109" s="34">
        <f t="shared" si="11"/>
        <v>55697.25</v>
      </c>
      <c r="H109" s="34">
        <f t="shared" si="11"/>
        <v>57368.167500000003</v>
      </c>
      <c r="I109" s="34">
        <f t="shared" si="11"/>
        <v>59089.212525000003</v>
      </c>
    </row>
    <row r="110" spans="1:9" x14ac:dyDescent="0.35">
      <c r="A110">
        <v>77</v>
      </c>
      <c r="B110" t="s">
        <v>137</v>
      </c>
      <c r="C110" t="s">
        <v>141</v>
      </c>
      <c r="D110" s="117">
        <v>65000</v>
      </c>
      <c r="E110" s="117">
        <v>65000</v>
      </c>
      <c r="F110" s="34">
        <f t="shared" si="10"/>
        <v>66950</v>
      </c>
      <c r="G110" s="34">
        <f t="shared" si="11"/>
        <v>68958.5</v>
      </c>
      <c r="H110" s="34">
        <f t="shared" si="11"/>
        <v>71027.255000000005</v>
      </c>
      <c r="I110" s="34">
        <f t="shared" si="11"/>
        <v>73158.072650000002</v>
      </c>
    </row>
    <row r="111" spans="1:9" x14ac:dyDescent="0.35">
      <c r="A111">
        <v>78</v>
      </c>
      <c r="B111" t="s">
        <v>137</v>
      </c>
      <c r="C111" t="s">
        <v>142</v>
      </c>
      <c r="D111" s="117">
        <v>10000</v>
      </c>
      <c r="E111" s="117">
        <v>10000</v>
      </c>
      <c r="F111" s="34">
        <f t="shared" si="10"/>
        <v>10300</v>
      </c>
      <c r="G111" s="34">
        <f t="shared" si="11"/>
        <v>10609</v>
      </c>
      <c r="H111" s="34">
        <f t="shared" si="11"/>
        <v>10927.27</v>
      </c>
      <c r="I111" s="34">
        <f t="shared" si="11"/>
        <v>11255.088100000001</v>
      </c>
    </row>
    <row r="112" spans="1:9" x14ac:dyDescent="0.35">
      <c r="A112">
        <v>79</v>
      </c>
      <c r="B112" t="s">
        <v>137</v>
      </c>
      <c r="C112" t="s">
        <v>143</v>
      </c>
      <c r="D112" s="117">
        <v>70000</v>
      </c>
      <c r="E112" s="117">
        <v>70000</v>
      </c>
      <c r="F112" s="34">
        <f t="shared" si="10"/>
        <v>72100</v>
      </c>
      <c r="G112" s="34">
        <f t="shared" si="9"/>
        <v>74263</v>
      </c>
      <c r="H112" s="34">
        <f t="shared" si="9"/>
        <v>76490.89</v>
      </c>
      <c r="I112" s="34">
        <f t="shared" si="9"/>
        <v>78785.616699999999</v>
      </c>
    </row>
    <row r="113" spans="1:11" x14ac:dyDescent="0.35">
      <c r="A113">
        <v>80</v>
      </c>
      <c r="B113" t="s">
        <v>137</v>
      </c>
      <c r="C113" t="s">
        <v>144</v>
      </c>
      <c r="D113" s="117">
        <v>6000</v>
      </c>
      <c r="E113" s="117">
        <v>6000</v>
      </c>
      <c r="F113" s="34">
        <f t="shared" si="10"/>
        <v>6180</v>
      </c>
      <c r="G113" s="34">
        <f t="shared" si="9"/>
        <v>6365.4</v>
      </c>
      <c r="H113" s="34">
        <f t="shared" si="9"/>
        <v>6556.3619999999992</v>
      </c>
      <c r="I113" s="34">
        <f t="shared" si="9"/>
        <v>6753.0528599999989</v>
      </c>
    </row>
    <row r="114" spans="1:11" x14ac:dyDescent="0.35">
      <c r="A114">
        <v>81</v>
      </c>
      <c r="B114" t="s">
        <v>137</v>
      </c>
      <c r="C114" t="s">
        <v>145</v>
      </c>
      <c r="D114" s="117">
        <v>2100</v>
      </c>
      <c r="E114" s="117">
        <v>2100</v>
      </c>
      <c r="F114" s="34">
        <f t="shared" si="10"/>
        <v>2163</v>
      </c>
      <c r="G114" s="34">
        <f t="shared" si="9"/>
        <v>2227.89</v>
      </c>
      <c r="H114" s="34">
        <f t="shared" si="9"/>
        <v>2294.7266999999997</v>
      </c>
      <c r="I114" s="34">
        <f t="shared" si="9"/>
        <v>2363.5685009999997</v>
      </c>
    </row>
    <row r="115" spans="1:11" x14ac:dyDescent="0.35">
      <c r="A115">
        <v>82</v>
      </c>
      <c r="B115" t="s">
        <v>137</v>
      </c>
      <c r="C115" t="s">
        <v>146</v>
      </c>
      <c r="D115" s="117">
        <v>45000</v>
      </c>
      <c r="E115" s="117">
        <v>45000</v>
      </c>
      <c r="F115" s="34">
        <f t="shared" si="10"/>
        <v>46350</v>
      </c>
      <c r="G115" s="34">
        <f t="shared" si="9"/>
        <v>47740.5</v>
      </c>
      <c r="H115" s="34">
        <f t="shared" si="9"/>
        <v>49172.714999999997</v>
      </c>
      <c r="I115" s="34">
        <f t="shared" si="9"/>
        <v>50647.896449999993</v>
      </c>
    </row>
    <row r="116" spans="1:11" x14ac:dyDescent="0.35">
      <c r="A116">
        <v>83</v>
      </c>
      <c r="B116" t="s">
        <v>137</v>
      </c>
      <c r="C116" t="s">
        <v>147</v>
      </c>
      <c r="D116" s="117">
        <v>10000</v>
      </c>
      <c r="E116" s="117">
        <v>10000</v>
      </c>
      <c r="F116" s="34">
        <f t="shared" si="10"/>
        <v>10300</v>
      </c>
      <c r="G116" s="34">
        <f t="shared" si="9"/>
        <v>10609</v>
      </c>
      <c r="H116" s="34">
        <f t="shared" si="9"/>
        <v>10927.27</v>
      </c>
      <c r="I116" s="34">
        <f t="shared" si="9"/>
        <v>11255.088100000001</v>
      </c>
    </row>
    <row r="117" spans="1:11" x14ac:dyDescent="0.35">
      <c r="A117">
        <v>84</v>
      </c>
      <c r="B117" t="s">
        <v>137</v>
      </c>
      <c r="C117" t="s">
        <v>148</v>
      </c>
      <c r="D117" s="119">
        <v>531831</v>
      </c>
      <c r="E117" s="119">
        <v>531831</v>
      </c>
      <c r="F117" s="35">
        <v>531831</v>
      </c>
      <c r="G117" s="35">
        <v>531831</v>
      </c>
      <c r="H117" s="35">
        <v>531831</v>
      </c>
      <c r="I117" s="35">
        <v>531831</v>
      </c>
    </row>
    <row r="118" spans="1:11" x14ac:dyDescent="0.35">
      <c r="A118">
        <v>85</v>
      </c>
      <c r="B118" t="s">
        <v>137</v>
      </c>
      <c r="C118" t="s">
        <v>149</v>
      </c>
      <c r="D118" s="119"/>
      <c r="E118" s="119"/>
      <c r="F118" s="34"/>
      <c r="G118" s="34"/>
      <c r="H118" s="34"/>
      <c r="I118" s="34"/>
    </row>
    <row r="119" spans="1:11" x14ac:dyDescent="0.35">
      <c r="A119">
        <v>86</v>
      </c>
      <c r="B119" t="s">
        <v>137</v>
      </c>
      <c r="C119" t="s">
        <v>150</v>
      </c>
      <c r="D119" s="117"/>
      <c r="E119" s="117"/>
      <c r="F119" s="34"/>
      <c r="G119" s="34"/>
      <c r="H119" s="34"/>
      <c r="I119" s="34"/>
    </row>
    <row r="120" spans="1:11" x14ac:dyDescent="0.35">
      <c r="A120">
        <v>87</v>
      </c>
      <c r="B120" t="s">
        <v>137</v>
      </c>
      <c r="C120" t="s">
        <v>151</v>
      </c>
      <c r="D120" s="117"/>
      <c r="E120" s="117"/>
      <c r="F120" s="34"/>
      <c r="G120" s="34"/>
      <c r="H120" s="34"/>
      <c r="I120" s="34"/>
    </row>
    <row r="121" spans="1:11" ht="15" thickBot="1" x14ac:dyDescent="0.4">
      <c r="A121">
        <v>88</v>
      </c>
      <c r="B121" t="s">
        <v>137</v>
      </c>
      <c r="C121" t="s">
        <v>152</v>
      </c>
      <c r="D121" s="192"/>
      <c r="E121" s="192"/>
      <c r="F121" s="34">
        <f>D121+(D121*0.03)</f>
        <v>0</v>
      </c>
      <c r="G121" s="34">
        <f>F121+(F121*0.03)</f>
        <v>0</v>
      </c>
      <c r="H121" s="34">
        <f>G121+(G121*0.03)</f>
        <v>0</v>
      </c>
      <c r="I121" s="34">
        <f>H121+(H121*0.03)</f>
        <v>0</v>
      </c>
    </row>
    <row r="122" spans="1:11" ht="16" thickBot="1" x14ac:dyDescent="0.4">
      <c r="B122" s="270"/>
      <c r="C122" s="274" t="s">
        <v>518</v>
      </c>
      <c r="D122" s="195">
        <f>SUM(D41:D121)</f>
        <v>5262476</v>
      </c>
      <c r="E122" s="195" t="e">
        <f>SUM(E41:E121)</f>
        <v>#REF!</v>
      </c>
      <c r="F122" s="191">
        <f>SUM(F52:F121)</f>
        <v>2057357.4</v>
      </c>
      <c r="G122" s="38">
        <f>SUM(G52:G121)</f>
        <v>2196998.392</v>
      </c>
      <c r="H122" s="38">
        <f>SUM(H52:H121)</f>
        <v>2237828.6137600001</v>
      </c>
      <c r="I122" s="38">
        <f>SUM(I52:I121)</f>
        <v>2379883.7421728</v>
      </c>
    </row>
    <row r="123" spans="1:11" x14ac:dyDescent="0.35">
      <c r="D123" s="121"/>
      <c r="E123" s="121"/>
      <c r="F123" s="49"/>
      <c r="G123" s="8"/>
      <c r="H123" s="8"/>
      <c r="I123" s="8"/>
    </row>
    <row r="124" spans="1:11" ht="15" thickBot="1" x14ac:dyDescent="0.4">
      <c r="B124" s="5"/>
      <c r="C124" s="6" t="s">
        <v>558</v>
      </c>
      <c r="D124" s="122">
        <f t="shared" ref="D124:I124" si="12">D39-D122</f>
        <v>204059</v>
      </c>
      <c r="E124" s="244" t="e">
        <f t="shared" si="12"/>
        <v>#REF!</v>
      </c>
      <c r="F124" s="39">
        <f t="shared" si="12"/>
        <v>3061810.6266666665</v>
      </c>
      <c r="G124" s="39">
        <f t="shared" si="12"/>
        <v>3305105.9404111104</v>
      </c>
      <c r="H124" s="39">
        <f t="shared" si="12"/>
        <v>3665670.9515162222</v>
      </c>
      <c r="I124" s="39">
        <f t="shared" si="12"/>
        <v>3944232.8760412708</v>
      </c>
    </row>
    <row r="125" spans="1:11" x14ac:dyDescent="0.35">
      <c r="B125" s="11"/>
      <c r="C125" s="12"/>
      <c r="D125" s="123"/>
      <c r="E125" s="242"/>
      <c r="F125" s="8"/>
      <c r="G125" s="8"/>
      <c r="H125" s="8"/>
      <c r="I125" s="8"/>
    </row>
    <row r="126" spans="1:11" x14ac:dyDescent="0.35">
      <c r="B126" s="11"/>
      <c r="C126" s="12" t="s">
        <v>609</v>
      </c>
      <c r="D126" s="124">
        <f t="shared" ref="D126:I126" si="13">D122*0.03</f>
        <v>157874.28</v>
      </c>
      <c r="E126" s="243" t="e">
        <f t="shared" si="13"/>
        <v>#REF!</v>
      </c>
      <c r="F126" s="41">
        <f t="shared" si="13"/>
        <v>61720.721999999994</v>
      </c>
      <c r="G126" s="41">
        <f t="shared" si="13"/>
        <v>65909.951759999996</v>
      </c>
      <c r="H126" s="41">
        <f t="shared" si="13"/>
        <v>67134.858412800007</v>
      </c>
      <c r="I126" s="41">
        <f t="shared" si="13"/>
        <v>71396.512265183992</v>
      </c>
    </row>
    <row r="127" spans="1:11" x14ac:dyDescent="0.35">
      <c r="B127" s="11"/>
      <c r="C127" s="12" t="s">
        <v>610</v>
      </c>
      <c r="D127" s="124">
        <f>D122*0.01</f>
        <v>52624.76</v>
      </c>
      <c r="E127" s="243" t="e">
        <f>E122*0.01</f>
        <v>#REF!</v>
      </c>
      <c r="F127" s="105"/>
      <c r="G127" s="105"/>
      <c r="H127" s="105"/>
      <c r="I127" s="105"/>
      <c r="K127" t="s">
        <v>611</v>
      </c>
    </row>
    <row r="128" spans="1:11" x14ac:dyDescent="0.35">
      <c r="B128" s="11"/>
      <c r="C128" s="12" t="s">
        <v>612</v>
      </c>
      <c r="D128" s="124">
        <f>D126+D127</f>
        <v>210499.04</v>
      </c>
      <c r="E128" s="243" t="e">
        <f>E126+E127</f>
        <v>#REF!</v>
      </c>
      <c r="F128" s="105"/>
      <c r="G128" s="105"/>
      <c r="H128" s="105"/>
      <c r="I128" s="105"/>
    </row>
    <row r="129" spans="2:11" x14ac:dyDescent="0.35">
      <c r="B129" s="11"/>
      <c r="C129" s="12" t="s">
        <v>613</v>
      </c>
      <c r="D129" s="124">
        <f>D124-D128</f>
        <v>-6440.0400000000081</v>
      </c>
      <c r="E129" s="243" t="e">
        <f>E124-E128</f>
        <v>#REF!</v>
      </c>
      <c r="F129" s="105"/>
      <c r="G129" s="105"/>
      <c r="H129" s="105"/>
      <c r="I129" s="105"/>
      <c r="K129" t="s">
        <v>614</v>
      </c>
    </row>
    <row r="130" spans="2:11" ht="15" thickBot="1" x14ac:dyDescent="0.4">
      <c r="B130" s="11"/>
      <c r="C130" s="12"/>
      <c r="D130" s="123"/>
      <c r="E130" s="242"/>
      <c r="F130" s="8"/>
      <c r="G130" s="8"/>
      <c r="H130" s="8"/>
      <c r="I130" s="8"/>
    </row>
    <row r="131" spans="2:11" ht="16" thickBot="1" x14ac:dyDescent="0.4">
      <c r="B131" s="197"/>
      <c r="C131" s="276" t="s">
        <v>615</v>
      </c>
      <c r="D131" s="282">
        <f>D124</f>
        <v>204059</v>
      </c>
      <c r="E131" s="285" t="e">
        <f>E124</f>
        <v>#REF!</v>
      </c>
      <c r="F131" s="275">
        <f>F124-F126</f>
        <v>3000089.9046666664</v>
      </c>
      <c r="G131" s="42">
        <f>G124-G126</f>
        <v>3239195.9886511103</v>
      </c>
      <c r="H131" s="42">
        <f>H124-H126</f>
        <v>3598536.0931034223</v>
      </c>
      <c r="I131" s="42">
        <f>I124-I126</f>
        <v>3872836.3637760868</v>
      </c>
    </row>
    <row r="135" spans="2:11" x14ac:dyDescent="0.35">
      <c r="B135" s="253" t="s">
        <v>560</v>
      </c>
      <c r="C135" s="253" t="s">
        <v>561</v>
      </c>
      <c r="D135" s="253" t="s">
        <v>562</v>
      </c>
      <c r="E135" s="253" t="s">
        <v>563</v>
      </c>
    </row>
    <row r="136" spans="2:11" x14ac:dyDescent="0.35">
      <c r="B136" t="s">
        <v>7</v>
      </c>
      <c r="C136" s="13">
        <f>E10</f>
        <v>238293</v>
      </c>
      <c r="D136" s="480">
        <f>'Master Budgets'!J3</f>
        <v>238293</v>
      </c>
      <c r="E136" t="str">
        <f>IF(C136=D136,"YEA","NOPE")</f>
        <v>YEA</v>
      </c>
    </row>
    <row r="137" spans="2:11" x14ac:dyDescent="0.35">
      <c r="B137" t="s">
        <v>564</v>
      </c>
      <c r="C137" s="13">
        <f>E39</f>
        <v>5576921.9100000001</v>
      </c>
      <c r="D137" s="480">
        <f>'Master Budgets'!J42</f>
        <v>5240587</v>
      </c>
      <c r="E137" s="235" t="str">
        <f>IF(C137=D137,"YEA","NOPE")</f>
        <v>NOPE</v>
      </c>
    </row>
    <row r="138" spans="2:11" x14ac:dyDescent="0.35">
      <c r="B138" t="s">
        <v>565</v>
      </c>
      <c r="C138" s="4" t="e">
        <f>E122</f>
        <v>#REF!</v>
      </c>
      <c r="D138" s="480" t="e">
        <f>'Master Budgets'!J176</f>
        <v>#REF!</v>
      </c>
      <c r="E138" t="e">
        <f>IF(C138=D138,"YEA","NOPE")</f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D41:D51" name="Range1_1"/>
  </protectedRanges>
  <mergeCells count="1">
    <mergeCell ref="B1:I1"/>
  </mergeCells>
  <phoneticPr fontId="18" type="noConversion"/>
  <dataValidations count="1">
    <dataValidation type="list" allowBlank="1" showInputMessage="1" showErrorMessage="1" sqref="B38 B33 B51" xr:uid="{C62AE7FB-4686-4484-BAA1-5A92C1F4B8B6}">
      <formula1>#REF!</formula1>
    </dataValidation>
  </dataValidations>
  <pageMargins left="0.7" right="0.7" top="0.75" bottom="0.75" header="0.3" footer="0.3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2FC4-C8D7-426A-8C20-575464F0A466}">
  <dimension ref="A1:O43"/>
  <sheetViews>
    <sheetView topLeftCell="A19" zoomScaleNormal="100" workbookViewId="0">
      <selection activeCell="H40" sqref="H40:L40"/>
    </sheetView>
  </sheetViews>
  <sheetFormatPr defaultColWidth="9" defaultRowHeight="14.5" x14ac:dyDescent="0.35"/>
  <cols>
    <col min="1" max="1" width="27.1796875" style="138" customWidth="1"/>
    <col min="2" max="2" width="7" style="138" customWidth="1"/>
    <col min="3" max="5" width="16.54296875" style="138" customWidth="1"/>
    <col min="6" max="6" width="16" style="138" customWidth="1"/>
    <col min="7" max="7" width="10.54296875" style="138" bestFit="1" customWidth="1"/>
    <col min="8" max="8" width="10.7265625" style="138" bestFit="1" customWidth="1"/>
    <col min="9" max="11" width="9.54296875" style="138" bestFit="1" customWidth="1"/>
    <col min="12" max="13" width="9.1796875" style="138" bestFit="1" customWidth="1"/>
    <col min="14" max="14" width="11.54296875" style="138" bestFit="1" customWidth="1"/>
    <col min="15" max="15" width="22.81640625" style="138" customWidth="1"/>
    <col min="16" max="16384" width="9" style="138"/>
  </cols>
  <sheetData>
    <row r="1" spans="1:15" ht="29.25" customHeight="1" x14ac:dyDescent="0.35">
      <c r="A1" s="1270" t="s">
        <v>712</v>
      </c>
      <c r="B1" s="1270"/>
      <c r="C1" s="1270"/>
      <c r="D1" s="1270"/>
      <c r="E1" s="1270"/>
      <c r="F1" s="1270"/>
    </row>
    <row r="2" spans="1:15" ht="25.9" customHeight="1" x14ac:dyDescent="0.35">
      <c r="A2" s="1271" t="s">
        <v>573</v>
      </c>
      <c r="B2" s="1271"/>
      <c r="C2" s="1271"/>
      <c r="D2" s="1271"/>
      <c r="E2" s="1271"/>
      <c r="F2" s="1271"/>
    </row>
    <row r="3" spans="1:15" ht="25.9" customHeight="1" x14ac:dyDescent="0.35">
      <c r="A3" s="1263" t="s">
        <v>584</v>
      </c>
      <c r="B3" s="1264" t="s">
        <v>622</v>
      </c>
      <c r="C3" s="1266" t="s">
        <v>623</v>
      </c>
      <c r="D3" s="1266"/>
      <c r="E3" s="1267" t="s">
        <v>624</v>
      </c>
      <c r="F3" s="1269" t="s">
        <v>625</v>
      </c>
      <c r="G3" s="1159" t="s">
        <v>585</v>
      </c>
      <c r="H3" s="1107" t="s">
        <v>586</v>
      </c>
      <c r="I3" s="1159" t="s">
        <v>587</v>
      </c>
      <c r="J3" s="1159" t="s">
        <v>588</v>
      </c>
      <c r="K3" s="1159" t="s">
        <v>589</v>
      </c>
      <c r="L3" s="1159" t="s">
        <v>590</v>
      </c>
      <c r="M3" s="1110" t="s">
        <v>591</v>
      </c>
      <c r="N3" s="1110" t="s">
        <v>592</v>
      </c>
      <c r="O3" s="1104" t="s">
        <v>592</v>
      </c>
    </row>
    <row r="4" spans="1:15" ht="24" customHeight="1" x14ac:dyDescent="0.35">
      <c r="A4" s="1263"/>
      <c r="B4" s="1265"/>
      <c r="C4" s="139" t="s">
        <v>627</v>
      </c>
      <c r="D4" s="139" t="s">
        <v>628</v>
      </c>
      <c r="E4" s="1268"/>
      <c r="F4" s="1269"/>
      <c r="G4" s="1160">
        <f>(0.9*7200)-(50*12)</f>
        <v>5880</v>
      </c>
      <c r="H4" s="1108">
        <v>0.2157</v>
      </c>
      <c r="I4" s="1109">
        <v>1.4500000000000001E-2</v>
      </c>
      <c r="J4" s="1109">
        <v>1.26E-2</v>
      </c>
      <c r="K4" s="1109">
        <v>1.7000000000000001E-2</v>
      </c>
      <c r="L4" s="1109">
        <v>8.4</v>
      </c>
      <c r="M4" s="1111" t="s">
        <v>593</v>
      </c>
      <c r="N4" s="1112" t="s">
        <v>155</v>
      </c>
      <c r="O4" s="1105" t="s">
        <v>594</v>
      </c>
    </row>
    <row r="5" spans="1:15" x14ac:dyDescent="0.35">
      <c r="A5" s="140" t="s">
        <v>630</v>
      </c>
      <c r="B5" s="161">
        <v>2</v>
      </c>
      <c r="C5" s="142">
        <v>60000</v>
      </c>
      <c r="D5" s="142">
        <f>C5+25000</f>
        <v>85000</v>
      </c>
      <c r="E5" s="143">
        <f>C5+5000</f>
        <v>65000</v>
      </c>
      <c r="F5" s="162">
        <f>B5*E5</f>
        <v>130000</v>
      </c>
      <c r="G5" s="138">
        <f t="shared" ref="G5:G16" si="0">+$G$4*B5</f>
        <v>11760</v>
      </c>
      <c r="H5" s="1161">
        <f>+F5*$H$4</f>
        <v>28041</v>
      </c>
      <c r="I5" s="149">
        <f t="shared" ref="I5:I25" si="1">+$I$4*F5</f>
        <v>1885</v>
      </c>
      <c r="J5" s="149">
        <f t="shared" ref="J5:J25" si="2">+$J$4*F5</f>
        <v>1638</v>
      </c>
      <c r="K5" s="149">
        <f t="shared" ref="K5:K24" si="3">+$K$4*F5</f>
        <v>2210</v>
      </c>
      <c r="L5" s="138">
        <f t="shared" ref="L5:L16" si="4">+$L$4*B5</f>
        <v>16.8</v>
      </c>
      <c r="N5" s="1119">
        <f t="shared" ref="N5:N24" si="5">SUM(H5:L5)</f>
        <v>33790.800000000003</v>
      </c>
      <c r="O5" s="1120">
        <f t="shared" ref="O5:O24" si="6">+F5+N5</f>
        <v>163790.79999999999</v>
      </c>
    </row>
    <row r="6" spans="1:15" x14ac:dyDescent="0.35">
      <c r="A6" s="140" t="s">
        <v>631</v>
      </c>
      <c r="B6" s="161">
        <v>2</v>
      </c>
      <c r="C6" s="142">
        <v>60000</v>
      </c>
      <c r="D6" s="142">
        <f>C6+25000</f>
        <v>85000</v>
      </c>
      <c r="E6" s="143">
        <f t="shared" ref="E6:E22" si="7">C6+5000</f>
        <v>65000</v>
      </c>
      <c r="F6" s="162">
        <f t="shared" ref="F6:F23" si="8">B6*E6</f>
        <v>130000</v>
      </c>
      <c r="G6" s="138">
        <f t="shared" si="0"/>
        <v>11760</v>
      </c>
      <c r="H6" s="1161">
        <f t="shared" ref="H6:H25" si="9">+F6*$H$4</f>
        <v>28041</v>
      </c>
      <c r="I6" s="149">
        <f t="shared" si="1"/>
        <v>1885</v>
      </c>
      <c r="J6" s="149">
        <f t="shared" si="2"/>
        <v>1638</v>
      </c>
      <c r="K6" s="149">
        <f t="shared" si="3"/>
        <v>2210</v>
      </c>
      <c r="L6" s="138">
        <f t="shared" si="4"/>
        <v>16.8</v>
      </c>
      <c r="N6" s="1119">
        <f t="shared" si="5"/>
        <v>33790.800000000003</v>
      </c>
      <c r="O6" s="1120">
        <f t="shared" si="6"/>
        <v>163790.79999999999</v>
      </c>
    </row>
    <row r="7" spans="1:15" x14ac:dyDescent="0.35">
      <c r="A7" s="1162" t="s">
        <v>713</v>
      </c>
      <c r="B7" s="161">
        <v>1</v>
      </c>
      <c r="C7" s="142">
        <v>64000</v>
      </c>
      <c r="D7" s="142">
        <f t="shared" ref="D7:D25" si="10">C7+25000</f>
        <v>89000</v>
      </c>
      <c r="E7" s="143">
        <f t="shared" si="7"/>
        <v>69000</v>
      </c>
      <c r="F7" s="162">
        <f t="shared" si="8"/>
        <v>69000</v>
      </c>
      <c r="G7" s="138">
        <f t="shared" si="0"/>
        <v>5880</v>
      </c>
      <c r="H7" s="1161">
        <f t="shared" si="9"/>
        <v>14883.300000000001</v>
      </c>
      <c r="I7" s="149">
        <f t="shared" si="1"/>
        <v>1000.5</v>
      </c>
      <c r="J7" s="149">
        <f t="shared" si="2"/>
        <v>869.4</v>
      </c>
      <c r="K7" s="149">
        <f t="shared" si="3"/>
        <v>1173</v>
      </c>
      <c r="L7" s="138">
        <f t="shared" si="4"/>
        <v>8.4</v>
      </c>
      <c r="N7" s="1119">
        <f t="shared" si="5"/>
        <v>17934.600000000002</v>
      </c>
      <c r="O7" s="1120">
        <f t="shared" si="6"/>
        <v>86934.6</v>
      </c>
    </row>
    <row r="8" spans="1:15" x14ac:dyDescent="0.35">
      <c r="A8" s="1162" t="s">
        <v>693</v>
      </c>
      <c r="B8" s="161">
        <v>1</v>
      </c>
      <c r="C8" s="142">
        <v>60000</v>
      </c>
      <c r="D8" s="142">
        <f t="shared" si="10"/>
        <v>85000</v>
      </c>
      <c r="E8" s="143">
        <f t="shared" si="7"/>
        <v>65000</v>
      </c>
      <c r="F8" s="162">
        <f t="shared" si="8"/>
        <v>65000</v>
      </c>
      <c r="G8" s="138">
        <f t="shared" si="0"/>
        <v>5880</v>
      </c>
      <c r="H8" s="1161">
        <f t="shared" si="9"/>
        <v>14020.5</v>
      </c>
      <c r="I8" s="149">
        <f t="shared" si="1"/>
        <v>942.5</v>
      </c>
      <c r="J8" s="149">
        <f t="shared" si="2"/>
        <v>819</v>
      </c>
      <c r="K8" s="149">
        <f t="shared" si="3"/>
        <v>1105</v>
      </c>
      <c r="L8" s="138">
        <f t="shared" si="4"/>
        <v>8.4</v>
      </c>
      <c r="N8" s="1119">
        <f t="shared" si="5"/>
        <v>16895.400000000001</v>
      </c>
      <c r="O8" s="1120">
        <f t="shared" si="6"/>
        <v>81895.399999999994</v>
      </c>
    </row>
    <row r="9" spans="1:15" x14ac:dyDescent="0.35">
      <c r="A9" s="1162" t="s">
        <v>694</v>
      </c>
      <c r="B9" s="161">
        <v>1</v>
      </c>
      <c r="C9" s="142">
        <v>69000</v>
      </c>
      <c r="D9" s="142">
        <f t="shared" si="10"/>
        <v>94000</v>
      </c>
      <c r="E9" s="143">
        <f>C9+5000</f>
        <v>74000</v>
      </c>
      <c r="F9" s="162">
        <f t="shared" si="8"/>
        <v>74000</v>
      </c>
      <c r="G9" s="138">
        <f t="shared" si="0"/>
        <v>5880</v>
      </c>
      <c r="H9" s="1161">
        <f t="shared" si="9"/>
        <v>15961.800000000001</v>
      </c>
      <c r="I9" s="149">
        <f t="shared" si="1"/>
        <v>1073</v>
      </c>
      <c r="J9" s="149">
        <f t="shared" si="2"/>
        <v>932.4</v>
      </c>
      <c r="K9" s="149">
        <f t="shared" si="3"/>
        <v>1258</v>
      </c>
      <c r="L9" s="138">
        <f t="shared" si="4"/>
        <v>8.4</v>
      </c>
      <c r="N9" s="1119">
        <f t="shared" si="5"/>
        <v>19233.600000000006</v>
      </c>
      <c r="O9" s="1120">
        <f t="shared" si="6"/>
        <v>93233.600000000006</v>
      </c>
    </row>
    <row r="10" spans="1:15" x14ac:dyDescent="0.35">
      <c r="A10" s="1162" t="s">
        <v>714</v>
      </c>
      <c r="B10" s="161">
        <v>1</v>
      </c>
      <c r="C10" s="142">
        <v>69000</v>
      </c>
      <c r="D10" s="142">
        <f t="shared" ref="D10" si="11">C10+25000</f>
        <v>94000</v>
      </c>
      <c r="E10" s="143">
        <f>C10+5000</f>
        <v>74000</v>
      </c>
      <c r="F10" s="162">
        <f t="shared" ref="F10" si="12">B10*E10</f>
        <v>74000</v>
      </c>
      <c r="G10" s="138">
        <f t="shared" si="0"/>
        <v>5880</v>
      </c>
      <c r="H10" s="1161">
        <f t="shared" si="9"/>
        <v>15961.800000000001</v>
      </c>
      <c r="I10" s="149">
        <f t="shared" si="1"/>
        <v>1073</v>
      </c>
      <c r="J10" s="149">
        <f t="shared" si="2"/>
        <v>932.4</v>
      </c>
      <c r="K10" s="149">
        <f t="shared" si="3"/>
        <v>1258</v>
      </c>
      <c r="L10" s="138">
        <f t="shared" si="4"/>
        <v>8.4</v>
      </c>
      <c r="N10" s="1119">
        <f t="shared" si="5"/>
        <v>19233.600000000006</v>
      </c>
      <c r="O10" s="1120">
        <f t="shared" si="6"/>
        <v>93233.600000000006</v>
      </c>
    </row>
    <row r="11" spans="1:15" x14ac:dyDescent="0.35">
      <c r="A11" s="140" t="s">
        <v>695</v>
      </c>
      <c r="B11" s="161">
        <v>1</v>
      </c>
      <c r="C11" s="142">
        <v>61000</v>
      </c>
      <c r="D11" s="142">
        <f t="shared" si="10"/>
        <v>86000</v>
      </c>
      <c r="E11" s="143">
        <f t="shared" si="7"/>
        <v>66000</v>
      </c>
      <c r="F11" s="162">
        <f t="shared" si="8"/>
        <v>66000</v>
      </c>
      <c r="G11" s="138">
        <f t="shared" si="0"/>
        <v>5880</v>
      </c>
      <c r="H11" s="1161">
        <f t="shared" si="9"/>
        <v>14236.2</v>
      </c>
      <c r="I11" s="149">
        <f t="shared" si="1"/>
        <v>957</v>
      </c>
      <c r="J11" s="149">
        <f t="shared" si="2"/>
        <v>831.6</v>
      </c>
      <c r="K11" s="149">
        <f t="shared" si="3"/>
        <v>1122</v>
      </c>
      <c r="L11" s="138">
        <f t="shared" si="4"/>
        <v>8.4</v>
      </c>
      <c r="N11" s="1119">
        <f t="shared" si="5"/>
        <v>17155.200000000004</v>
      </c>
      <c r="O11" s="1120">
        <f t="shared" si="6"/>
        <v>83155.200000000012</v>
      </c>
    </row>
    <row r="12" spans="1:15" x14ac:dyDescent="0.35">
      <c r="A12" s="140" t="s">
        <v>697</v>
      </c>
      <c r="B12" s="161">
        <v>1</v>
      </c>
      <c r="C12" s="142">
        <v>60000</v>
      </c>
      <c r="D12" s="142">
        <f t="shared" si="10"/>
        <v>85000</v>
      </c>
      <c r="E12" s="143">
        <f t="shared" si="7"/>
        <v>65000</v>
      </c>
      <c r="F12" s="162">
        <f t="shared" si="8"/>
        <v>65000</v>
      </c>
      <c r="G12" s="138">
        <f t="shared" si="0"/>
        <v>5880</v>
      </c>
      <c r="H12" s="1161">
        <f t="shared" si="9"/>
        <v>14020.5</v>
      </c>
      <c r="I12" s="149">
        <f t="shared" si="1"/>
        <v>942.5</v>
      </c>
      <c r="J12" s="149">
        <f t="shared" si="2"/>
        <v>819</v>
      </c>
      <c r="K12" s="149">
        <f t="shared" si="3"/>
        <v>1105</v>
      </c>
      <c r="L12" s="138">
        <f t="shared" si="4"/>
        <v>8.4</v>
      </c>
      <c r="N12" s="1119">
        <f t="shared" si="5"/>
        <v>16895.400000000001</v>
      </c>
      <c r="O12" s="1120">
        <f t="shared" si="6"/>
        <v>81895.399999999994</v>
      </c>
    </row>
    <row r="13" spans="1:15" x14ac:dyDescent="0.35">
      <c r="A13" s="1171" t="s">
        <v>715</v>
      </c>
      <c r="B13" s="163">
        <v>1</v>
      </c>
      <c r="C13" s="142">
        <v>62000</v>
      </c>
      <c r="D13" s="142">
        <f>C13+25000</f>
        <v>87000</v>
      </c>
      <c r="E13" s="143">
        <f>C13+5000</f>
        <v>67000</v>
      </c>
      <c r="F13" s="162">
        <f>B13*E13</f>
        <v>67000</v>
      </c>
      <c r="G13" s="138">
        <f t="shared" si="0"/>
        <v>5880</v>
      </c>
      <c r="H13" s="1161">
        <f t="shared" si="9"/>
        <v>14451.9</v>
      </c>
      <c r="I13" s="149">
        <f t="shared" si="1"/>
        <v>971.5</v>
      </c>
      <c r="J13" s="149">
        <f t="shared" si="2"/>
        <v>844.2</v>
      </c>
      <c r="K13" s="149">
        <f t="shared" si="3"/>
        <v>1139</v>
      </c>
      <c r="L13" s="138">
        <f t="shared" si="4"/>
        <v>8.4</v>
      </c>
      <c r="N13" s="1119">
        <f t="shared" si="5"/>
        <v>17415</v>
      </c>
      <c r="O13" s="1120">
        <f t="shared" si="6"/>
        <v>84415</v>
      </c>
    </row>
    <row r="14" spans="1:15" x14ac:dyDescent="0.35">
      <c r="A14" s="140" t="s">
        <v>698</v>
      </c>
      <c r="B14" s="161">
        <v>1</v>
      </c>
      <c r="C14" s="142">
        <v>69000</v>
      </c>
      <c r="D14" s="142">
        <f t="shared" si="10"/>
        <v>94000</v>
      </c>
      <c r="E14" s="143">
        <v>77000</v>
      </c>
      <c r="F14" s="162">
        <f t="shared" si="8"/>
        <v>77000</v>
      </c>
      <c r="G14" s="138">
        <f t="shared" si="0"/>
        <v>5880</v>
      </c>
      <c r="H14" s="1161">
        <f t="shared" si="9"/>
        <v>16608.900000000001</v>
      </c>
      <c r="I14" s="149">
        <f t="shared" si="1"/>
        <v>1116.5</v>
      </c>
      <c r="J14" s="149">
        <f t="shared" si="2"/>
        <v>970.2</v>
      </c>
      <c r="K14" s="149">
        <f t="shared" si="3"/>
        <v>1309</v>
      </c>
      <c r="L14" s="138">
        <f t="shared" si="4"/>
        <v>8.4</v>
      </c>
      <c r="N14" s="1119">
        <f t="shared" si="5"/>
        <v>20013.000000000004</v>
      </c>
      <c r="O14" s="1120">
        <f t="shared" si="6"/>
        <v>97013</v>
      </c>
    </row>
    <row r="15" spans="1:15" x14ac:dyDescent="0.35">
      <c r="A15" s="140" t="s">
        <v>699</v>
      </c>
      <c r="B15" s="161">
        <v>1</v>
      </c>
      <c r="C15" s="142">
        <v>64000</v>
      </c>
      <c r="D15" s="142">
        <f t="shared" si="10"/>
        <v>89000</v>
      </c>
      <c r="E15" s="143">
        <f t="shared" si="7"/>
        <v>69000</v>
      </c>
      <c r="F15" s="162">
        <f t="shared" si="8"/>
        <v>69000</v>
      </c>
      <c r="G15" s="138">
        <f t="shared" si="0"/>
        <v>5880</v>
      </c>
      <c r="H15" s="1161">
        <f t="shared" si="9"/>
        <v>14883.300000000001</v>
      </c>
      <c r="I15" s="149">
        <f t="shared" si="1"/>
        <v>1000.5</v>
      </c>
      <c r="J15" s="149">
        <f t="shared" si="2"/>
        <v>869.4</v>
      </c>
      <c r="K15" s="149">
        <f t="shared" si="3"/>
        <v>1173</v>
      </c>
      <c r="L15" s="138">
        <f t="shared" si="4"/>
        <v>8.4</v>
      </c>
      <c r="N15" s="1119">
        <f t="shared" si="5"/>
        <v>17934.600000000002</v>
      </c>
      <c r="O15" s="1120">
        <f t="shared" si="6"/>
        <v>86934.6</v>
      </c>
    </row>
    <row r="16" spans="1:15" x14ac:dyDescent="0.35">
      <c r="A16" s="140" t="s">
        <v>716</v>
      </c>
      <c r="B16" s="161">
        <v>1</v>
      </c>
      <c r="C16" s="142">
        <v>62000</v>
      </c>
      <c r="D16" s="142">
        <f t="shared" si="10"/>
        <v>87000</v>
      </c>
      <c r="E16" s="143">
        <f t="shared" si="7"/>
        <v>67000</v>
      </c>
      <c r="F16" s="162">
        <f t="shared" si="8"/>
        <v>67000</v>
      </c>
      <c r="G16" s="138">
        <f t="shared" si="0"/>
        <v>5880</v>
      </c>
      <c r="H16" s="1161">
        <f t="shared" si="9"/>
        <v>14451.9</v>
      </c>
      <c r="I16" s="149">
        <f t="shared" si="1"/>
        <v>971.5</v>
      </c>
      <c r="J16" s="149">
        <f t="shared" si="2"/>
        <v>844.2</v>
      </c>
      <c r="K16" s="149">
        <f t="shared" si="3"/>
        <v>1139</v>
      </c>
      <c r="L16" s="138">
        <f t="shared" si="4"/>
        <v>8.4</v>
      </c>
      <c r="N16" s="1119">
        <f t="shared" si="5"/>
        <v>17415</v>
      </c>
      <c r="O16" s="1120">
        <f t="shared" si="6"/>
        <v>84415</v>
      </c>
    </row>
    <row r="17" spans="1:15" x14ac:dyDescent="0.35">
      <c r="A17" s="1172" t="s">
        <v>717</v>
      </c>
      <c r="B17" s="164">
        <v>1</v>
      </c>
      <c r="C17" s="142">
        <v>69000</v>
      </c>
      <c r="D17" s="142">
        <f t="shared" si="10"/>
        <v>94000</v>
      </c>
      <c r="E17" s="143">
        <f t="shared" si="7"/>
        <v>74000</v>
      </c>
      <c r="F17" s="162">
        <v>0</v>
      </c>
      <c r="H17" s="1161">
        <f t="shared" si="9"/>
        <v>0</v>
      </c>
      <c r="I17" s="149">
        <f t="shared" si="1"/>
        <v>0</v>
      </c>
      <c r="J17" s="149">
        <f t="shared" si="2"/>
        <v>0</v>
      </c>
      <c r="K17" s="149">
        <f t="shared" si="3"/>
        <v>0</v>
      </c>
      <c r="N17" s="1119">
        <f t="shared" si="5"/>
        <v>0</v>
      </c>
      <c r="O17" s="1120">
        <f t="shared" si="6"/>
        <v>0</v>
      </c>
    </row>
    <row r="18" spans="1:15" x14ac:dyDescent="0.35">
      <c r="A18" s="144" t="s">
        <v>702</v>
      </c>
      <c r="B18" s="163">
        <v>1</v>
      </c>
      <c r="C18" s="142">
        <v>67000</v>
      </c>
      <c r="D18" s="142">
        <f>C18+25000</f>
        <v>92000</v>
      </c>
      <c r="E18" s="143">
        <v>72000</v>
      </c>
      <c r="F18" s="162">
        <f t="shared" si="8"/>
        <v>72000</v>
      </c>
      <c r="G18" s="138">
        <f t="shared" ref="G18:G24" si="13">+$G$4*B18</f>
        <v>5880</v>
      </c>
      <c r="H18" s="1161">
        <f t="shared" si="9"/>
        <v>15530.4</v>
      </c>
      <c r="I18" s="149">
        <f t="shared" si="1"/>
        <v>1044</v>
      </c>
      <c r="J18" s="149">
        <f t="shared" si="2"/>
        <v>907.2</v>
      </c>
      <c r="K18" s="149">
        <f t="shared" si="3"/>
        <v>1224</v>
      </c>
      <c r="L18" s="138">
        <f t="shared" ref="L18:L24" si="14">+$L$4*B18</f>
        <v>8.4</v>
      </c>
      <c r="N18" s="1119">
        <f t="shared" si="5"/>
        <v>18714.000000000004</v>
      </c>
      <c r="O18" s="1120">
        <f t="shared" si="6"/>
        <v>90714</v>
      </c>
    </row>
    <row r="19" spans="1:15" x14ac:dyDescent="0.35">
      <c r="A19" s="144" t="s">
        <v>703</v>
      </c>
      <c r="B19" s="163">
        <v>1</v>
      </c>
      <c r="C19" s="142">
        <v>64000</v>
      </c>
      <c r="D19" s="142">
        <f t="shared" si="10"/>
        <v>89000</v>
      </c>
      <c r="E19" s="143">
        <f t="shared" si="7"/>
        <v>69000</v>
      </c>
      <c r="F19" s="162">
        <f t="shared" si="8"/>
        <v>69000</v>
      </c>
      <c r="G19" s="138">
        <f t="shared" si="13"/>
        <v>5880</v>
      </c>
      <c r="H19" s="1161">
        <f t="shared" si="9"/>
        <v>14883.300000000001</v>
      </c>
      <c r="I19" s="149">
        <f t="shared" si="1"/>
        <v>1000.5</v>
      </c>
      <c r="J19" s="149">
        <f t="shared" si="2"/>
        <v>869.4</v>
      </c>
      <c r="K19" s="149">
        <f t="shared" si="3"/>
        <v>1173</v>
      </c>
      <c r="L19" s="138">
        <f t="shared" si="14"/>
        <v>8.4</v>
      </c>
      <c r="N19" s="1119">
        <f t="shared" si="5"/>
        <v>17934.600000000002</v>
      </c>
      <c r="O19" s="1120">
        <f t="shared" si="6"/>
        <v>86934.6</v>
      </c>
    </row>
    <row r="20" spans="1:15" x14ac:dyDescent="0.35">
      <c r="A20" s="144" t="s">
        <v>718</v>
      </c>
      <c r="B20" s="163">
        <v>1</v>
      </c>
      <c r="C20" s="142">
        <v>64000</v>
      </c>
      <c r="D20" s="142">
        <f t="shared" si="10"/>
        <v>89000</v>
      </c>
      <c r="E20" s="143">
        <f t="shared" si="7"/>
        <v>69000</v>
      </c>
      <c r="F20" s="162">
        <f t="shared" si="8"/>
        <v>69000</v>
      </c>
      <c r="G20" s="138">
        <f t="shared" si="13"/>
        <v>5880</v>
      </c>
      <c r="H20" s="1161">
        <f t="shared" si="9"/>
        <v>14883.300000000001</v>
      </c>
      <c r="I20" s="149">
        <f t="shared" si="1"/>
        <v>1000.5</v>
      </c>
      <c r="J20" s="149">
        <f t="shared" si="2"/>
        <v>869.4</v>
      </c>
      <c r="K20" s="149">
        <f t="shared" si="3"/>
        <v>1173</v>
      </c>
      <c r="L20" s="138">
        <f t="shared" si="14"/>
        <v>8.4</v>
      </c>
      <c r="N20" s="1119">
        <f t="shared" si="5"/>
        <v>17934.600000000002</v>
      </c>
      <c r="O20" s="1120">
        <f t="shared" si="6"/>
        <v>86934.6</v>
      </c>
    </row>
    <row r="21" spans="1:15" x14ac:dyDescent="0.35">
      <c r="A21" s="170" t="s">
        <v>719</v>
      </c>
      <c r="B21" s="161">
        <v>1</v>
      </c>
      <c r="C21" s="142">
        <v>62000</v>
      </c>
      <c r="D21" s="142">
        <f t="shared" si="10"/>
        <v>87000</v>
      </c>
      <c r="E21" s="143">
        <f t="shared" si="7"/>
        <v>67000</v>
      </c>
      <c r="F21" s="162">
        <f t="shared" si="8"/>
        <v>67000</v>
      </c>
      <c r="G21" s="138">
        <f t="shared" si="13"/>
        <v>5880</v>
      </c>
      <c r="H21" s="1161">
        <f t="shared" si="9"/>
        <v>14451.9</v>
      </c>
      <c r="I21" s="149">
        <f t="shared" si="1"/>
        <v>971.5</v>
      </c>
      <c r="J21" s="149">
        <f t="shared" si="2"/>
        <v>844.2</v>
      </c>
      <c r="K21" s="149">
        <f t="shared" si="3"/>
        <v>1139</v>
      </c>
      <c r="L21" s="138">
        <f t="shared" si="14"/>
        <v>8.4</v>
      </c>
      <c r="N21" s="1119">
        <f t="shared" si="5"/>
        <v>17415</v>
      </c>
      <c r="O21" s="1120">
        <f t="shared" si="6"/>
        <v>84415</v>
      </c>
    </row>
    <row r="22" spans="1:15" x14ac:dyDescent="0.35">
      <c r="A22" s="171" t="s">
        <v>660</v>
      </c>
      <c r="B22" s="161">
        <v>2</v>
      </c>
      <c r="C22" s="142">
        <v>52000</v>
      </c>
      <c r="D22" s="142">
        <f t="shared" si="10"/>
        <v>77000</v>
      </c>
      <c r="E22" s="143">
        <f t="shared" si="7"/>
        <v>57000</v>
      </c>
      <c r="F22" s="162">
        <f t="shared" si="8"/>
        <v>114000</v>
      </c>
      <c r="G22" s="138">
        <f t="shared" si="13"/>
        <v>11760</v>
      </c>
      <c r="H22" s="1161">
        <f t="shared" si="9"/>
        <v>24589.8</v>
      </c>
      <c r="I22" s="149">
        <f t="shared" si="1"/>
        <v>1653</v>
      </c>
      <c r="J22" s="149">
        <f t="shared" si="2"/>
        <v>1436.4</v>
      </c>
      <c r="K22" s="149">
        <f t="shared" si="3"/>
        <v>1938.0000000000002</v>
      </c>
      <c r="L22" s="138">
        <f t="shared" si="14"/>
        <v>16.8</v>
      </c>
      <c r="N22" s="1119">
        <f t="shared" si="5"/>
        <v>29634</v>
      </c>
      <c r="O22" s="1120">
        <f t="shared" si="6"/>
        <v>143634</v>
      </c>
    </row>
    <row r="23" spans="1:15" x14ac:dyDescent="0.35">
      <c r="A23" s="140" t="s">
        <v>663</v>
      </c>
      <c r="B23" s="161">
        <v>4</v>
      </c>
      <c r="C23" s="142">
        <v>52000</v>
      </c>
      <c r="D23" s="142">
        <f t="shared" si="10"/>
        <v>77000</v>
      </c>
      <c r="E23" s="143">
        <v>55000</v>
      </c>
      <c r="F23" s="162">
        <f t="shared" si="8"/>
        <v>220000</v>
      </c>
      <c r="G23" s="138">
        <f t="shared" si="13"/>
        <v>23520</v>
      </c>
      <c r="H23" s="1161">
        <f t="shared" si="9"/>
        <v>47454</v>
      </c>
      <c r="I23" s="149">
        <f t="shared" si="1"/>
        <v>3190</v>
      </c>
      <c r="J23" s="149">
        <f t="shared" si="2"/>
        <v>2772</v>
      </c>
      <c r="K23" s="149">
        <f t="shared" si="3"/>
        <v>3740.0000000000005</v>
      </c>
      <c r="L23" s="138">
        <f t="shared" si="14"/>
        <v>33.6</v>
      </c>
      <c r="N23" s="1119">
        <f t="shared" si="5"/>
        <v>57189.599999999999</v>
      </c>
      <c r="O23" s="1120">
        <f t="shared" si="6"/>
        <v>277189.59999999998</v>
      </c>
    </row>
    <row r="24" spans="1:15" x14ac:dyDescent="0.35">
      <c r="A24" s="140" t="s">
        <v>664</v>
      </c>
      <c r="B24" s="161">
        <v>2</v>
      </c>
      <c r="C24" s="142">
        <v>60000</v>
      </c>
      <c r="D24" s="142">
        <f t="shared" ref="D24" si="15">C24+25000</f>
        <v>85000</v>
      </c>
      <c r="E24" s="143">
        <v>62000</v>
      </c>
      <c r="F24" s="162">
        <f t="shared" ref="F24" si="16">B24*E24</f>
        <v>124000</v>
      </c>
      <c r="G24" s="138">
        <f t="shared" si="13"/>
        <v>11760</v>
      </c>
      <c r="H24" s="1161">
        <f t="shared" si="9"/>
        <v>26746.799999999999</v>
      </c>
      <c r="I24" s="149">
        <f t="shared" si="1"/>
        <v>1798</v>
      </c>
      <c r="J24" s="149">
        <f t="shared" si="2"/>
        <v>1562.4</v>
      </c>
      <c r="K24" s="149">
        <f t="shared" si="3"/>
        <v>2108</v>
      </c>
      <c r="L24" s="138">
        <f t="shared" si="14"/>
        <v>16.8</v>
      </c>
      <c r="N24" s="1119">
        <f t="shared" si="5"/>
        <v>32232</v>
      </c>
      <c r="O24" s="1120">
        <f t="shared" si="6"/>
        <v>156232</v>
      </c>
    </row>
    <row r="25" spans="1:15" x14ac:dyDescent="0.35">
      <c r="A25" s="1162" t="s">
        <v>720</v>
      </c>
      <c r="B25" s="161">
        <v>1</v>
      </c>
      <c r="C25" s="142">
        <v>60000</v>
      </c>
      <c r="D25" s="142">
        <f t="shared" si="10"/>
        <v>85000</v>
      </c>
      <c r="E25" s="143">
        <v>62000</v>
      </c>
      <c r="F25" s="162">
        <v>0</v>
      </c>
      <c r="H25" s="1161">
        <f t="shared" si="9"/>
        <v>0</v>
      </c>
      <c r="I25" s="149">
        <f t="shared" si="1"/>
        <v>0</v>
      </c>
      <c r="J25" s="149">
        <f t="shared" si="2"/>
        <v>0</v>
      </c>
    </row>
    <row r="26" spans="1:15" x14ac:dyDescent="0.35">
      <c r="G26" s="138">
        <f>SUM(G5:G24)</f>
        <v>152880</v>
      </c>
      <c r="H26" s="1119">
        <f>SUM(H5:H24)</f>
        <v>364101.59999999992</v>
      </c>
      <c r="I26" s="1119">
        <f t="shared" ref="I26:O26" si="17">SUM(I5:I24)</f>
        <v>24476</v>
      </c>
      <c r="J26" s="1119">
        <f t="shared" si="17"/>
        <v>21268.800000000003</v>
      </c>
      <c r="K26" s="1119">
        <f t="shared" si="17"/>
        <v>28696</v>
      </c>
      <c r="L26" s="1119">
        <f t="shared" si="17"/>
        <v>218.40000000000006</v>
      </c>
      <c r="M26" s="1119">
        <f t="shared" si="17"/>
        <v>0</v>
      </c>
      <c r="N26" s="1119">
        <f>SUM(N5:N24)</f>
        <v>438760.8</v>
      </c>
      <c r="O26" s="1119">
        <f t="shared" si="17"/>
        <v>2126760.8000000003</v>
      </c>
    </row>
    <row r="27" spans="1:15" ht="15.5" x14ac:dyDescent="0.35">
      <c r="B27" s="141">
        <f>SUM(B5:B26)</f>
        <v>28</v>
      </c>
      <c r="F27" s="167">
        <f>SUM(F5:F26)</f>
        <v>1688000</v>
      </c>
    </row>
    <row r="29" spans="1:15" ht="15.5" x14ac:dyDescent="0.35">
      <c r="A29" s="140" t="s">
        <v>665</v>
      </c>
      <c r="B29" s="161">
        <v>1</v>
      </c>
      <c r="C29" s="142">
        <v>66000</v>
      </c>
      <c r="D29" s="142">
        <f>C29+25000</f>
        <v>91000</v>
      </c>
      <c r="E29" s="143">
        <f>C29+5000</f>
        <v>71000</v>
      </c>
      <c r="F29" s="167">
        <f>B29*E29</f>
        <v>71000</v>
      </c>
      <c r="G29" s="138">
        <f>+$G$4*B29</f>
        <v>5880</v>
      </c>
      <c r="H29" s="1161">
        <f t="shared" ref="H29" si="18">+F29*$H$4</f>
        <v>15314.7</v>
      </c>
      <c r="I29" s="149">
        <f>+$I$4*F29</f>
        <v>1029.5</v>
      </c>
      <c r="J29" s="149">
        <f>+$J$4*F29</f>
        <v>894.6</v>
      </c>
      <c r="K29" s="149">
        <f>+$K$4*F29</f>
        <v>1207</v>
      </c>
      <c r="L29" s="138">
        <f>+$L$4*B29</f>
        <v>8.4</v>
      </c>
      <c r="N29" s="1119">
        <f>SUM(H29:L29)</f>
        <v>18454.2</v>
      </c>
    </row>
    <row r="30" spans="1:15" x14ac:dyDescent="0.35">
      <c r="B30" s="147"/>
    </row>
    <row r="31" spans="1:15" ht="15.5" x14ac:dyDescent="0.35">
      <c r="B31" s="147"/>
      <c r="F31" s="172"/>
    </row>
    <row r="32" spans="1:15" x14ac:dyDescent="0.35">
      <c r="B32" s="147"/>
    </row>
    <row r="33" spans="1:15" x14ac:dyDescent="0.35">
      <c r="A33" s="140" t="s">
        <v>666</v>
      </c>
      <c r="B33" s="161">
        <v>1</v>
      </c>
      <c r="C33" s="168">
        <v>130000</v>
      </c>
      <c r="D33" s="140"/>
      <c r="E33" s="140"/>
      <c r="F33" s="491">
        <f>C33*B33</f>
        <v>130000</v>
      </c>
      <c r="G33" s="138">
        <f t="shared" ref="G33:G39" si="19">+$G$4*B33</f>
        <v>5880</v>
      </c>
      <c r="H33" s="1161">
        <f t="shared" ref="H33:H39" si="20">+F33*$H$4</f>
        <v>28041</v>
      </c>
      <c r="I33" s="149">
        <f t="shared" ref="I33:I39" si="21">+$I$4*F33</f>
        <v>1885</v>
      </c>
      <c r="J33" s="149">
        <f t="shared" ref="J33:J39" si="22">+$J$4*F33</f>
        <v>1638</v>
      </c>
      <c r="K33" s="149">
        <f t="shared" ref="K33:K39" si="23">+$K$4*F33</f>
        <v>2210</v>
      </c>
      <c r="L33" s="138">
        <f t="shared" ref="L33:L39" si="24">+$L$4*B33</f>
        <v>8.4</v>
      </c>
      <c r="N33" s="1119">
        <f t="shared" ref="N33:N39" si="25">SUM(H33:L33)</f>
        <v>33782.400000000001</v>
      </c>
      <c r="O33" s="1120">
        <f t="shared" ref="O33:O39" si="26">+F33+N33</f>
        <v>163782.39999999999</v>
      </c>
    </row>
    <row r="34" spans="1:15" x14ac:dyDescent="0.35">
      <c r="A34" s="140" t="s">
        <v>706</v>
      </c>
      <c r="B34" s="161">
        <v>1</v>
      </c>
      <c r="C34" s="168">
        <v>95000</v>
      </c>
      <c r="D34" s="140"/>
      <c r="E34" s="140"/>
      <c r="F34" s="491">
        <f t="shared" ref="F34:F39" si="27">C34*B34</f>
        <v>95000</v>
      </c>
      <c r="G34" s="138">
        <f t="shared" si="19"/>
        <v>5880</v>
      </c>
      <c r="H34" s="1161">
        <f t="shared" si="20"/>
        <v>20491.5</v>
      </c>
      <c r="I34" s="149">
        <f t="shared" si="21"/>
        <v>1377.5</v>
      </c>
      <c r="J34" s="149">
        <f t="shared" si="22"/>
        <v>1197</v>
      </c>
      <c r="K34" s="149">
        <f t="shared" si="23"/>
        <v>1615.0000000000002</v>
      </c>
      <c r="L34" s="138">
        <f t="shared" si="24"/>
        <v>8.4</v>
      </c>
      <c r="N34" s="1119">
        <f t="shared" si="25"/>
        <v>24689.4</v>
      </c>
      <c r="O34" s="1120">
        <f t="shared" si="26"/>
        <v>119689.4</v>
      </c>
    </row>
    <row r="35" spans="1:15" x14ac:dyDescent="0.35">
      <c r="A35" s="140" t="s">
        <v>672</v>
      </c>
      <c r="B35" s="161">
        <v>1</v>
      </c>
      <c r="C35" s="168">
        <v>55000</v>
      </c>
      <c r="D35" s="140"/>
      <c r="E35" s="140"/>
      <c r="F35" s="491">
        <f t="shared" si="27"/>
        <v>55000</v>
      </c>
      <c r="G35" s="138">
        <f t="shared" si="19"/>
        <v>5880</v>
      </c>
      <c r="H35" s="1161">
        <f t="shared" si="20"/>
        <v>11863.5</v>
      </c>
      <c r="I35" s="149">
        <f t="shared" si="21"/>
        <v>797.5</v>
      </c>
      <c r="J35" s="149">
        <f t="shared" si="22"/>
        <v>693</v>
      </c>
      <c r="K35" s="149">
        <f t="shared" si="23"/>
        <v>935.00000000000011</v>
      </c>
      <c r="L35" s="138">
        <f t="shared" si="24"/>
        <v>8.4</v>
      </c>
      <c r="N35" s="1119">
        <f t="shared" si="25"/>
        <v>14297.4</v>
      </c>
      <c r="O35" s="1120">
        <f t="shared" si="26"/>
        <v>69297.399999999994</v>
      </c>
    </row>
    <row r="36" spans="1:15" x14ac:dyDescent="0.35">
      <c r="A36" s="140" t="s">
        <v>721</v>
      </c>
      <c r="B36" s="161">
        <v>0</v>
      </c>
      <c r="C36" s="168">
        <v>0</v>
      </c>
      <c r="D36" s="140"/>
      <c r="E36" s="140"/>
      <c r="F36" s="491">
        <f t="shared" si="27"/>
        <v>0</v>
      </c>
      <c r="G36" s="138">
        <f t="shared" si="19"/>
        <v>0</v>
      </c>
      <c r="H36" s="1161">
        <f t="shared" si="20"/>
        <v>0</v>
      </c>
      <c r="I36" s="149">
        <f t="shared" si="21"/>
        <v>0</v>
      </c>
      <c r="J36" s="149">
        <f t="shared" si="22"/>
        <v>0</v>
      </c>
      <c r="K36" s="149">
        <f t="shared" si="23"/>
        <v>0</v>
      </c>
      <c r="L36" s="138">
        <f t="shared" si="24"/>
        <v>0</v>
      </c>
      <c r="N36" s="1119">
        <f t="shared" si="25"/>
        <v>0</v>
      </c>
      <c r="O36" s="1120">
        <f t="shared" si="26"/>
        <v>0</v>
      </c>
    </row>
    <row r="37" spans="1:15" x14ac:dyDescent="0.35">
      <c r="A37" s="140" t="s">
        <v>708</v>
      </c>
      <c r="B37" s="161">
        <v>1</v>
      </c>
      <c r="C37" s="168">
        <v>35000</v>
      </c>
      <c r="D37" s="140"/>
      <c r="E37" s="140"/>
      <c r="F37" s="491">
        <f t="shared" si="27"/>
        <v>35000</v>
      </c>
      <c r="G37" s="138">
        <f t="shared" si="19"/>
        <v>5880</v>
      </c>
      <c r="H37" s="1161">
        <f t="shared" si="20"/>
        <v>7549.5</v>
      </c>
      <c r="I37" s="149">
        <f t="shared" si="21"/>
        <v>507.5</v>
      </c>
      <c r="J37" s="149">
        <f t="shared" si="22"/>
        <v>441</v>
      </c>
      <c r="K37" s="149">
        <f t="shared" si="23"/>
        <v>595</v>
      </c>
      <c r="L37" s="138">
        <f t="shared" si="24"/>
        <v>8.4</v>
      </c>
      <c r="N37" s="1119">
        <f t="shared" si="25"/>
        <v>9101.4</v>
      </c>
      <c r="O37" s="1120">
        <f t="shared" si="26"/>
        <v>44101.4</v>
      </c>
    </row>
    <row r="38" spans="1:15" x14ac:dyDescent="0.35">
      <c r="A38" s="140" t="s">
        <v>722</v>
      </c>
      <c r="B38" s="161">
        <v>1</v>
      </c>
      <c r="C38" s="168">
        <v>35000</v>
      </c>
      <c r="D38" s="140"/>
      <c r="E38" s="140"/>
      <c r="F38" s="491">
        <f t="shared" si="27"/>
        <v>35000</v>
      </c>
      <c r="G38" s="138">
        <f t="shared" si="19"/>
        <v>5880</v>
      </c>
      <c r="H38" s="1161">
        <f t="shared" si="20"/>
        <v>7549.5</v>
      </c>
      <c r="I38" s="149">
        <f t="shared" si="21"/>
        <v>507.5</v>
      </c>
      <c r="J38" s="149">
        <f t="shared" si="22"/>
        <v>441</v>
      </c>
      <c r="K38" s="149">
        <f t="shared" si="23"/>
        <v>595</v>
      </c>
      <c r="L38" s="138">
        <f t="shared" si="24"/>
        <v>8.4</v>
      </c>
      <c r="N38" s="1119">
        <f t="shared" si="25"/>
        <v>9101.4</v>
      </c>
      <c r="O38" s="1120">
        <f t="shared" si="26"/>
        <v>44101.4</v>
      </c>
    </row>
    <row r="39" spans="1:15" x14ac:dyDescent="0.35">
      <c r="A39" s="140" t="s">
        <v>674</v>
      </c>
      <c r="B39" s="161">
        <v>1</v>
      </c>
      <c r="C39" s="168">
        <v>35000</v>
      </c>
      <c r="D39" s="140"/>
      <c r="E39" s="140"/>
      <c r="F39" s="491">
        <f t="shared" si="27"/>
        <v>35000</v>
      </c>
      <c r="G39" s="138">
        <f t="shared" si="19"/>
        <v>5880</v>
      </c>
      <c r="H39" s="1161">
        <f t="shared" si="20"/>
        <v>7549.5</v>
      </c>
      <c r="I39" s="149">
        <f t="shared" si="21"/>
        <v>507.5</v>
      </c>
      <c r="J39" s="149">
        <f t="shared" si="22"/>
        <v>441</v>
      </c>
      <c r="K39" s="149">
        <f t="shared" si="23"/>
        <v>595</v>
      </c>
      <c r="L39" s="138">
        <f t="shared" si="24"/>
        <v>8.4</v>
      </c>
      <c r="N39" s="1119">
        <f t="shared" si="25"/>
        <v>9101.4</v>
      </c>
      <c r="O39" s="1120">
        <f t="shared" si="26"/>
        <v>44101.4</v>
      </c>
    </row>
    <row r="40" spans="1:15" x14ac:dyDescent="0.35">
      <c r="B40" s="147"/>
      <c r="G40" s="1161">
        <f>SUM(G33:G39)</f>
        <v>35280</v>
      </c>
      <c r="H40" s="1161">
        <f t="shared" ref="H40:N40" si="28">SUM(H33:H39)</f>
        <v>83044.5</v>
      </c>
      <c r="I40" s="1161">
        <f t="shared" si="28"/>
        <v>5582.5</v>
      </c>
      <c r="J40" s="1161">
        <f t="shared" si="28"/>
        <v>4851</v>
      </c>
      <c r="K40" s="1161">
        <f t="shared" si="28"/>
        <v>6545</v>
      </c>
      <c r="L40" s="1161">
        <f t="shared" si="28"/>
        <v>50.4</v>
      </c>
      <c r="M40" s="1161">
        <f t="shared" si="28"/>
        <v>0</v>
      </c>
      <c r="N40" s="1161">
        <f t="shared" si="28"/>
        <v>100073.39999999998</v>
      </c>
    </row>
    <row r="41" spans="1:15" ht="15.5" x14ac:dyDescent="0.35">
      <c r="B41" s="141">
        <f>SUM(B29:B40)</f>
        <v>7</v>
      </c>
      <c r="C41" s="167">
        <f>SUM(C33:C40)</f>
        <v>385000</v>
      </c>
    </row>
    <row r="43" spans="1:15" ht="15.5" x14ac:dyDescent="0.35">
      <c r="B43" s="173">
        <f>B27+B41</f>
        <v>35</v>
      </c>
      <c r="F43" s="160">
        <f>F27+F29+C41</f>
        <v>2144000</v>
      </c>
    </row>
  </sheetData>
  <mergeCells count="7">
    <mergeCell ref="A1:F1"/>
    <mergeCell ref="A2:F2"/>
    <mergeCell ref="A3:A4"/>
    <mergeCell ref="B3:B4"/>
    <mergeCell ref="C3:D3"/>
    <mergeCell ref="E3:E4"/>
    <mergeCell ref="F3:F4"/>
  </mergeCells>
  <pageMargins left="0.7" right="0.7" top="0.75" bottom="0.75" header="0.3" footer="0.3"/>
  <pageSetup scale="9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3AF1-A517-4787-BEA6-E4D335F2B51F}">
  <dimension ref="A1:D167"/>
  <sheetViews>
    <sheetView workbookViewId="0">
      <selection activeCell="G24" sqref="G24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3" width="15" style="560" customWidth="1"/>
    <col min="4" max="4" width="14.1796875" style="560" bestFit="1" customWidth="1"/>
    <col min="5" max="16384" width="9.1796875" style="319"/>
  </cols>
  <sheetData>
    <row r="1" spans="1:4" s="559" customFormat="1" ht="19" thickBot="1" x14ac:dyDescent="0.5">
      <c r="B1" s="584" t="s">
        <v>473</v>
      </c>
      <c r="C1" s="1242" t="s">
        <v>216</v>
      </c>
      <c r="D1" s="1243"/>
    </row>
    <row r="2" spans="1:4" s="559" customFormat="1" ht="18" customHeight="1" thickBot="1" x14ac:dyDescent="0.4">
      <c r="A2" s="575" t="s">
        <v>520</v>
      </c>
      <c r="B2" s="585" t="s">
        <v>94</v>
      </c>
      <c r="C2" s="598" t="s">
        <v>475</v>
      </c>
      <c r="D2" s="598" t="s">
        <v>96</v>
      </c>
    </row>
    <row r="3" spans="1:4" ht="16" thickBot="1" x14ac:dyDescent="0.4">
      <c r="A3" s="574" t="s">
        <v>521</v>
      </c>
      <c r="B3" s="320" t="s">
        <v>7</v>
      </c>
      <c r="C3" s="589">
        <f>'SHES FY23-FY27 Budget '!D11</f>
        <v>441727</v>
      </c>
      <c r="D3" s="589">
        <v>44524</v>
      </c>
    </row>
    <row r="4" spans="1:4" ht="16" thickBot="1" x14ac:dyDescent="0.4">
      <c r="A4" s="575" t="s">
        <v>522</v>
      </c>
      <c r="B4" s="663" t="s">
        <v>353</v>
      </c>
      <c r="C4" s="556"/>
      <c r="D4" s="556"/>
    </row>
    <row r="5" spans="1:4" s="560" customFormat="1" x14ac:dyDescent="0.35">
      <c r="A5" s="576">
        <v>1</v>
      </c>
      <c r="B5" s="656" t="s">
        <v>99</v>
      </c>
      <c r="C5" s="660"/>
      <c r="D5" s="660"/>
    </row>
    <row r="6" spans="1:4" s="560" customFormat="1" x14ac:dyDescent="0.35">
      <c r="A6" s="577">
        <v>2</v>
      </c>
      <c r="B6" s="645" t="s">
        <v>477</v>
      </c>
      <c r="C6" s="652"/>
      <c r="D6" s="652"/>
    </row>
    <row r="7" spans="1:4" s="560" customFormat="1" x14ac:dyDescent="0.35">
      <c r="A7" s="577">
        <v>3</v>
      </c>
      <c r="B7" s="645" t="s">
        <v>478</v>
      </c>
      <c r="C7" s="652"/>
      <c r="D7" s="652"/>
    </row>
    <row r="8" spans="1:4" s="560" customFormat="1" x14ac:dyDescent="0.35">
      <c r="A8" s="576">
        <v>4</v>
      </c>
      <c r="B8" s="525" t="s">
        <v>101</v>
      </c>
      <c r="C8" s="604"/>
      <c r="D8" s="604"/>
    </row>
    <row r="9" spans="1:4" s="560" customFormat="1" x14ac:dyDescent="0.35">
      <c r="A9" s="576">
        <v>5</v>
      </c>
      <c r="B9" s="525" t="s">
        <v>356</v>
      </c>
      <c r="C9" s="604"/>
      <c r="D9" s="604"/>
    </row>
    <row r="10" spans="1:4" s="560" customFormat="1" x14ac:dyDescent="0.35">
      <c r="A10" s="577">
        <v>6</v>
      </c>
      <c r="B10" s="614" t="s">
        <v>262</v>
      </c>
      <c r="C10" s="604"/>
      <c r="D10" s="604"/>
    </row>
    <row r="11" spans="1:4" s="560" customFormat="1" x14ac:dyDescent="0.35">
      <c r="A11" s="577">
        <v>7</v>
      </c>
      <c r="B11" s="614" t="s">
        <v>19</v>
      </c>
      <c r="C11" s="604"/>
      <c r="D11" s="604"/>
    </row>
    <row r="12" spans="1:4" s="560" customFormat="1" x14ac:dyDescent="0.35">
      <c r="A12" s="577">
        <v>8</v>
      </c>
      <c r="B12" s="614" t="s">
        <v>18</v>
      </c>
      <c r="C12" s="604"/>
      <c r="D12" s="604"/>
    </row>
    <row r="13" spans="1:4" s="560" customFormat="1" x14ac:dyDescent="0.35">
      <c r="A13" s="578">
        <v>9</v>
      </c>
      <c r="B13" s="525" t="s">
        <v>218</v>
      </c>
      <c r="C13" s="604"/>
      <c r="D13" s="604"/>
    </row>
    <row r="14" spans="1:4" s="560" customFormat="1" x14ac:dyDescent="0.35">
      <c r="A14" s="578">
        <v>10</v>
      </c>
      <c r="B14" s="525" t="s">
        <v>357</v>
      </c>
      <c r="C14" s="604"/>
      <c r="D14" s="604"/>
    </row>
    <row r="15" spans="1:4" s="560" customFormat="1" x14ac:dyDescent="0.35">
      <c r="A15" s="578">
        <v>11</v>
      </c>
      <c r="B15" s="525" t="s">
        <v>219</v>
      </c>
      <c r="C15" s="604"/>
      <c r="D15" s="604"/>
    </row>
    <row r="16" spans="1:4" s="560" customFormat="1" x14ac:dyDescent="0.35">
      <c r="A16" s="578">
        <v>12</v>
      </c>
      <c r="B16" s="525" t="s">
        <v>230</v>
      </c>
      <c r="C16" s="604"/>
      <c r="D16" s="604"/>
    </row>
    <row r="17" spans="1:4" s="560" customFormat="1" x14ac:dyDescent="0.35">
      <c r="A17" s="578">
        <v>13</v>
      </c>
      <c r="B17" s="525" t="s">
        <v>359</v>
      </c>
      <c r="C17" s="604"/>
      <c r="D17" s="604"/>
    </row>
    <row r="18" spans="1:4" s="560" customFormat="1" x14ac:dyDescent="0.35">
      <c r="A18" s="578">
        <v>14</v>
      </c>
      <c r="B18" s="525" t="s">
        <v>260</v>
      </c>
      <c r="C18" s="604"/>
      <c r="D18" s="604"/>
    </row>
    <row r="19" spans="1:4" s="560" customFormat="1" x14ac:dyDescent="0.35">
      <c r="A19" s="578">
        <v>15</v>
      </c>
      <c r="B19" s="525" t="s">
        <v>12</v>
      </c>
      <c r="C19" s="604"/>
      <c r="D19" s="604"/>
    </row>
    <row r="20" spans="1:4" s="560" customFormat="1" x14ac:dyDescent="0.35">
      <c r="A20" s="578">
        <v>16</v>
      </c>
      <c r="B20" s="525" t="s">
        <v>220</v>
      </c>
      <c r="C20" s="604"/>
      <c r="D20" s="604"/>
    </row>
    <row r="21" spans="1:4" s="560" customFormat="1" x14ac:dyDescent="0.35">
      <c r="A21" s="578">
        <v>17</v>
      </c>
      <c r="B21" s="525" t="s">
        <v>8</v>
      </c>
      <c r="C21" s="604"/>
      <c r="D21" s="604"/>
    </row>
    <row r="22" spans="1:4" s="560" customFormat="1" x14ac:dyDescent="0.35">
      <c r="A22" s="578">
        <v>18</v>
      </c>
      <c r="B22" s="525" t="s">
        <v>117</v>
      </c>
      <c r="C22" s="604"/>
      <c r="D22" s="604"/>
    </row>
    <row r="23" spans="1:4" s="560" customFormat="1" x14ac:dyDescent="0.35">
      <c r="A23" s="578">
        <v>19</v>
      </c>
      <c r="B23" s="525" t="s">
        <v>118</v>
      </c>
      <c r="C23" s="604"/>
      <c r="D23" s="604"/>
    </row>
    <row r="24" spans="1:4" s="560" customFormat="1" x14ac:dyDescent="0.35">
      <c r="A24" s="576">
        <v>20</v>
      </c>
      <c r="B24" s="525" t="s">
        <v>108</v>
      </c>
      <c r="C24" s="604"/>
      <c r="D24" s="604"/>
    </row>
    <row r="25" spans="1:4" s="560" customFormat="1" x14ac:dyDescent="0.35">
      <c r="A25" s="577">
        <v>21</v>
      </c>
      <c r="B25" s="614" t="s">
        <v>13</v>
      </c>
      <c r="C25" s="604"/>
      <c r="D25" s="604"/>
    </row>
    <row r="26" spans="1:4" s="560" customFormat="1" x14ac:dyDescent="0.35">
      <c r="A26" s="577">
        <v>22</v>
      </c>
      <c r="B26" s="614" t="s">
        <v>20</v>
      </c>
      <c r="C26" s="604"/>
      <c r="D26" s="604"/>
    </row>
    <row r="27" spans="1:4" s="560" customFormat="1" x14ac:dyDescent="0.35">
      <c r="A27" s="576">
        <v>23</v>
      </c>
      <c r="B27" s="525" t="s">
        <v>104</v>
      </c>
      <c r="C27" s="604"/>
      <c r="D27" s="604"/>
    </row>
    <row r="28" spans="1:4" s="560" customFormat="1" x14ac:dyDescent="0.35">
      <c r="A28" s="576">
        <v>24</v>
      </c>
      <c r="B28" s="525" t="s">
        <v>105</v>
      </c>
      <c r="C28" s="604"/>
      <c r="D28" s="604"/>
    </row>
    <row r="29" spans="1:4" s="560" customFormat="1" x14ac:dyDescent="0.35">
      <c r="A29" s="576">
        <v>25</v>
      </c>
      <c r="B29" s="525" t="s">
        <v>106</v>
      </c>
      <c r="C29" s="604"/>
      <c r="D29" s="604"/>
    </row>
    <row r="30" spans="1:4" s="560" customFormat="1" x14ac:dyDescent="0.35">
      <c r="A30" s="576">
        <v>26</v>
      </c>
      <c r="B30" s="525" t="s">
        <v>107</v>
      </c>
      <c r="C30" s="604"/>
      <c r="D30" s="604"/>
    </row>
    <row r="31" spans="1:4" s="560" customFormat="1" x14ac:dyDescent="0.35">
      <c r="A31" s="576">
        <v>27</v>
      </c>
      <c r="B31" s="525" t="s">
        <v>109</v>
      </c>
      <c r="C31" s="604"/>
      <c r="D31" s="604"/>
    </row>
    <row r="32" spans="1:4" s="560" customFormat="1" x14ac:dyDescent="0.35">
      <c r="A32" s="577">
        <v>28</v>
      </c>
      <c r="B32" s="525" t="s">
        <v>222</v>
      </c>
      <c r="C32" s="604"/>
      <c r="D32" s="604"/>
    </row>
    <row r="33" spans="1:4" s="560" customFormat="1" x14ac:dyDescent="0.35">
      <c r="A33" s="578">
        <v>29</v>
      </c>
      <c r="B33" s="525" t="s">
        <v>361</v>
      </c>
      <c r="C33" s="604"/>
      <c r="D33" s="604"/>
    </row>
    <row r="34" spans="1:4" s="560" customFormat="1" x14ac:dyDescent="0.35">
      <c r="A34" s="578">
        <v>30</v>
      </c>
      <c r="B34" s="525" t="s">
        <v>111</v>
      </c>
      <c r="C34" s="604"/>
      <c r="D34" s="604"/>
    </row>
    <row r="35" spans="1:4" s="560" customFormat="1" x14ac:dyDescent="0.35">
      <c r="A35" s="577">
        <v>31</v>
      </c>
      <c r="B35" s="614" t="s">
        <v>261</v>
      </c>
      <c r="C35" s="604"/>
      <c r="D35" s="604"/>
    </row>
    <row r="36" spans="1:4" s="560" customFormat="1" x14ac:dyDescent="0.35">
      <c r="A36" s="576">
        <v>32</v>
      </c>
      <c r="B36" s="525" t="s">
        <v>479</v>
      </c>
      <c r="C36" s="604"/>
      <c r="D36" s="616"/>
    </row>
    <row r="37" spans="1:4" s="560" customFormat="1" x14ac:dyDescent="0.35">
      <c r="A37" s="579">
        <v>33</v>
      </c>
      <c r="B37" s="525" t="s">
        <v>264</v>
      </c>
      <c r="C37" s="604"/>
      <c r="D37" s="604"/>
    </row>
    <row r="38" spans="1:4" s="560" customFormat="1" x14ac:dyDescent="0.35">
      <c r="A38" s="577">
        <v>34</v>
      </c>
      <c r="B38" s="614" t="s">
        <v>14</v>
      </c>
      <c r="C38" s="604"/>
      <c r="D38" s="604"/>
    </row>
    <row r="39" spans="1:4" s="560" customFormat="1" x14ac:dyDescent="0.35">
      <c r="A39" s="577">
        <v>35</v>
      </c>
      <c r="B39" s="617" t="s">
        <v>368</v>
      </c>
      <c r="C39" s="604"/>
      <c r="D39" s="604"/>
    </row>
    <row r="40" spans="1:4" s="560" customFormat="1" x14ac:dyDescent="0.35">
      <c r="A40" s="577">
        <v>36</v>
      </c>
      <c r="B40" s="614" t="s">
        <v>265</v>
      </c>
      <c r="C40" s="604"/>
      <c r="D40" s="604"/>
    </row>
    <row r="41" spans="1:4" s="560" customFormat="1" x14ac:dyDescent="0.35">
      <c r="A41" s="577">
        <v>37</v>
      </c>
      <c r="B41" s="617" t="s">
        <v>480</v>
      </c>
      <c r="C41" s="604"/>
      <c r="D41" s="604"/>
    </row>
    <row r="42" spans="1:4" s="568" customFormat="1" ht="15.5" x14ac:dyDescent="0.35">
      <c r="A42" s="580"/>
      <c r="B42" s="561" t="s">
        <v>371</v>
      </c>
      <c r="C42" s="565"/>
      <c r="D42" s="565"/>
    </row>
    <row r="43" spans="1:4" s="568" customFormat="1" ht="9.75" customHeight="1" x14ac:dyDescent="0.35">
      <c r="A43" s="581"/>
      <c r="B43" s="569"/>
      <c r="C43" s="570"/>
      <c r="D43" s="570"/>
    </row>
    <row r="44" spans="1:4" ht="15.5" x14ac:dyDescent="0.35">
      <c r="A44" s="575"/>
      <c r="B44" s="554" t="s">
        <v>372</v>
      </c>
      <c r="C44" s="554"/>
      <c r="D44" s="554"/>
    </row>
    <row r="45" spans="1:4" x14ac:dyDescent="0.35">
      <c r="A45" s="576">
        <v>1</v>
      </c>
      <c r="B45" s="524" t="s">
        <v>373</v>
      </c>
      <c r="C45" s="604"/>
      <c r="D45" s="604"/>
    </row>
    <row r="46" spans="1:4" x14ac:dyDescent="0.35">
      <c r="A46" s="576">
        <v>2</v>
      </c>
      <c r="B46" s="525" t="s">
        <v>374</v>
      </c>
      <c r="C46" s="604"/>
      <c r="D46" s="604"/>
    </row>
    <row r="47" spans="1:4" x14ac:dyDescent="0.35">
      <c r="A47" s="576">
        <v>3</v>
      </c>
      <c r="B47" s="607" t="s">
        <v>375</v>
      </c>
      <c r="C47" s="604"/>
      <c r="D47" s="604"/>
    </row>
    <row r="48" spans="1:4" x14ac:dyDescent="0.35">
      <c r="A48" s="576">
        <v>4</v>
      </c>
      <c r="B48" s="524" t="s">
        <v>483</v>
      </c>
      <c r="C48" s="604"/>
      <c r="D48" s="604"/>
    </row>
    <row r="49" spans="1:4" x14ac:dyDescent="0.35">
      <c r="A49" s="576">
        <v>5</v>
      </c>
      <c r="B49" s="524" t="s">
        <v>378</v>
      </c>
      <c r="C49" s="604"/>
      <c r="D49" s="604"/>
    </row>
    <row r="50" spans="1:4" x14ac:dyDescent="0.35">
      <c r="A50" s="576">
        <v>8</v>
      </c>
      <c r="B50" s="524" t="s">
        <v>484</v>
      </c>
      <c r="C50" s="604"/>
      <c r="D50" s="604"/>
    </row>
    <row r="51" spans="1:4" x14ac:dyDescent="0.35">
      <c r="A51" s="576">
        <v>6</v>
      </c>
      <c r="B51" s="524" t="s">
        <v>381</v>
      </c>
      <c r="C51" s="604"/>
      <c r="D51" s="604"/>
    </row>
    <row r="52" spans="1:4" x14ac:dyDescent="0.35">
      <c r="A52" s="576">
        <v>7</v>
      </c>
      <c r="B52" s="524" t="s">
        <v>382</v>
      </c>
      <c r="C52" s="604"/>
      <c r="D52" s="604"/>
    </row>
    <row r="53" spans="1:4" x14ac:dyDescent="0.35">
      <c r="A53" s="576">
        <v>9</v>
      </c>
      <c r="B53" s="524" t="s">
        <v>384</v>
      </c>
      <c r="C53" s="604"/>
      <c r="D53" s="604"/>
    </row>
    <row r="54" spans="1:4" x14ac:dyDescent="0.35">
      <c r="A54" s="576">
        <v>10</v>
      </c>
      <c r="B54" s="550" t="s">
        <v>485</v>
      </c>
      <c r="C54" s="604"/>
      <c r="D54" s="604"/>
    </row>
    <row r="55" spans="1:4" x14ac:dyDescent="0.35">
      <c r="A55" s="576">
        <v>11</v>
      </c>
      <c r="B55" s="550" t="s">
        <v>486</v>
      </c>
      <c r="C55" s="604"/>
      <c r="D55" s="604"/>
    </row>
    <row r="56" spans="1:4" x14ac:dyDescent="0.35">
      <c r="A56" s="576">
        <v>12</v>
      </c>
      <c r="B56" s="524" t="s">
        <v>487</v>
      </c>
      <c r="C56" s="604"/>
      <c r="D56" s="604"/>
    </row>
    <row r="57" spans="1:4" x14ac:dyDescent="0.35">
      <c r="A57" s="576">
        <v>13</v>
      </c>
      <c r="B57" s="550" t="s">
        <v>523</v>
      </c>
      <c r="C57" s="604"/>
      <c r="D57" s="604"/>
    </row>
    <row r="58" spans="1:4" x14ac:dyDescent="0.35">
      <c r="A58" s="576">
        <v>14</v>
      </c>
      <c r="B58" s="550" t="s">
        <v>524</v>
      </c>
      <c r="C58" s="604"/>
      <c r="D58" s="604"/>
    </row>
    <row r="59" spans="1:4" x14ac:dyDescent="0.35">
      <c r="A59" s="576">
        <v>15</v>
      </c>
      <c r="B59" s="550" t="s">
        <v>490</v>
      </c>
      <c r="C59" s="604"/>
      <c r="D59" s="604"/>
    </row>
    <row r="60" spans="1:4" x14ac:dyDescent="0.35">
      <c r="A60" s="576">
        <v>16</v>
      </c>
      <c r="B60" s="524" t="s">
        <v>491</v>
      </c>
      <c r="C60" s="604"/>
      <c r="D60" s="604"/>
    </row>
    <row r="61" spans="1:4" x14ac:dyDescent="0.35">
      <c r="A61" s="576">
        <v>17</v>
      </c>
      <c r="B61" s="524" t="s">
        <v>492</v>
      </c>
      <c r="C61" s="604"/>
      <c r="D61" s="604"/>
    </row>
    <row r="62" spans="1:4" x14ac:dyDescent="0.35">
      <c r="A62" s="576">
        <v>18</v>
      </c>
      <c r="B62" s="524" t="s">
        <v>244</v>
      </c>
      <c r="C62" s="604"/>
      <c r="D62" s="604"/>
    </row>
    <row r="63" spans="1:4" x14ac:dyDescent="0.35">
      <c r="A63" s="576">
        <v>19</v>
      </c>
      <c r="B63" s="524" t="s">
        <v>397</v>
      </c>
      <c r="C63" s="604"/>
      <c r="D63" s="604"/>
    </row>
    <row r="64" spans="1:4" x14ac:dyDescent="0.35">
      <c r="A64" s="576">
        <v>20</v>
      </c>
      <c r="B64" s="524" t="s">
        <v>398</v>
      </c>
      <c r="C64" s="604"/>
      <c r="D64" s="604"/>
    </row>
    <row r="65" spans="1:4" x14ac:dyDescent="0.35">
      <c r="A65" s="576">
        <v>21</v>
      </c>
      <c r="B65" s="524" t="s">
        <v>399</v>
      </c>
      <c r="C65" s="604"/>
      <c r="D65" s="604"/>
    </row>
    <row r="66" spans="1:4" x14ac:dyDescent="0.35">
      <c r="A66" s="576">
        <v>22</v>
      </c>
      <c r="B66" s="524" t="s">
        <v>525</v>
      </c>
      <c r="C66" s="604"/>
      <c r="D66" s="604"/>
    </row>
    <row r="67" spans="1:4" x14ac:dyDescent="0.35">
      <c r="A67" s="576">
        <v>23</v>
      </c>
      <c r="B67" s="551" t="s">
        <v>526</v>
      </c>
      <c r="C67" s="604"/>
      <c r="D67" s="604"/>
    </row>
    <row r="68" spans="1:4" x14ac:dyDescent="0.35">
      <c r="A68" s="576">
        <v>24</v>
      </c>
      <c r="B68" s="551" t="s">
        <v>494</v>
      </c>
      <c r="C68" s="604"/>
      <c r="D68" s="604"/>
    </row>
    <row r="69" spans="1:4" s="560" customFormat="1" x14ac:dyDescent="0.35">
      <c r="A69" s="576">
        <v>25</v>
      </c>
      <c r="B69" s="551" t="s">
        <v>171</v>
      </c>
      <c r="C69" s="604"/>
      <c r="D69" s="604"/>
    </row>
    <row r="70" spans="1:4" x14ac:dyDescent="0.35">
      <c r="A70" s="576">
        <v>26</v>
      </c>
      <c r="B70" s="551" t="s">
        <v>314</v>
      </c>
      <c r="C70" s="604"/>
      <c r="D70" s="604"/>
    </row>
    <row r="71" spans="1:4" x14ac:dyDescent="0.35">
      <c r="A71" s="576">
        <v>27</v>
      </c>
      <c r="B71" s="524" t="s">
        <v>195</v>
      </c>
      <c r="C71" s="604"/>
      <c r="D71" s="604"/>
    </row>
    <row r="72" spans="1:4" x14ac:dyDescent="0.35">
      <c r="A72" s="576">
        <v>28</v>
      </c>
      <c r="B72" s="524" t="s">
        <v>495</v>
      </c>
      <c r="C72" s="604"/>
      <c r="D72" s="604"/>
    </row>
    <row r="73" spans="1:4" x14ac:dyDescent="0.35">
      <c r="A73" s="576">
        <v>29</v>
      </c>
      <c r="B73" s="524" t="s">
        <v>527</v>
      </c>
      <c r="C73" s="604"/>
      <c r="D73" s="604"/>
    </row>
    <row r="74" spans="1:4" x14ac:dyDescent="0.35">
      <c r="A74" s="576">
        <v>30</v>
      </c>
      <c r="B74" s="524" t="s">
        <v>505</v>
      </c>
      <c r="C74" s="604"/>
      <c r="D74" s="604"/>
    </row>
    <row r="75" spans="1:4" x14ac:dyDescent="0.35">
      <c r="A75" s="576">
        <v>31</v>
      </c>
      <c r="B75" s="524" t="s">
        <v>507</v>
      </c>
      <c r="C75" s="604"/>
      <c r="D75" s="604"/>
    </row>
    <row r="76" spans="1:4" x14ac:dyDescent="0.35">
      <c r="A76" s="576">
        <v>32</v>
      </c>
      <c r="B76" s="608" t="s">
        <v>511</v>
      </c>
      <c r="C76" s="604"/>
      <c r="D76" s="604"/>
    </row>
    <row r="77" spans="1:4" x14ac:dyDescent="0.35">
      <c r="A77" s="576">
        <v>33</v>
      </c>
      <c r="B77" s="608" t="s">
        <v>512</v>
      </c>
      <c r="C77" s="604"/>
      <c r="D77" s="604"/>
    </row>
    <row r="78" spans="1:4" x14ac:dyDescent="0.35">
      <c r="A78" s="576">
        <v>34</v>
      </c>
      <c r="B78" s="609" t="s">
        <v>202</v>
      </c>
      <c r="C78" s="604"/>
      <c r="D78" s="604"/>
    </row>
    <row r="79" spans="1:4" x14ac:dyDescent="0.35">
      <c r="A79" s="576">
        <v>35</v>
      </c>
      <c r="B79" s="524" t="s">
        <v>508</v>
      </c>
      <c r="C79" s="604"/>
      <c r="D79" s="604"/>
    </row>
    <row r="80" spans="1:4" x14ac:dyDescent="0.35">
      <c r="A80" s="576">
        <v>36</v>
      </c>
      <c r="B80" s="552" t="s">
        <v>528</v>
      </c>
      <c r="C80" s="604"/>
      <c r="D80" s="604"/>
    </row>
    <row r="81" spans="1:4" x14ac:dyDescent="0.35">
      <c r="A81" s="576">
        <v>37</v>
      </c>
      <c r="B81" s="524" t="s">
        <v>198</v>
      </c>
      <c r="C81" s="604"/>
      <c r="D81" s="604"/>
    </row>
    <row r="82" spans="1:4" x14ac:dyDescent="0.35">
      <c r="A82" s="576">
        <v>38</v>
      </c>
      <c r="B82" s="524" t="s">
        <v>316</v>
      </c>
      <c r="C82" s="604"/>
      <c r="D82" s="604"/>
    </row>
    <row r="83" spans="1:4" x14ac:dyDescent="0.35">
      <c r="A83" s="576">
        <v>39</v>
      </c>
      <c r="B83" s="610" t="s">
        <v>317</v>
      </c>
      <c r="C83" s="604"/>
      <c r="D83" s="604"/>
    </row>
    <row r="84" spans="1:4" x14ac:dyDescent="0.35">
      <c r="A84" s="576">
        <v>40</v>
      </c>
      <c r="B84" s="524" t="s">
        <v>404</v>
      </c>
      <c r="C84" s="604"/>
      <c r="D84" s="604"/>
    </row>
    <row r="85" spans="1:4" x14ac:dyDescent="0.35">
      <c r="A85" s="576">
        <v>41</v>
      </c>
      <c r="B85" s="524" t="s">
        <v>496</v>
      </c>
      <c r="C85" s="604"/>
      <c r="D85" s="604"/>
    </row>
    <row r="86" spans="1:4" x14ac:dyDescent="0.35">
      <c r="A86" s="576">
        <v>42</v>
      </c>
      <c r="B86" s="524" t="s">
        <v>497</v>
      </c>
      <c r="C86" s="604"/>
      <c r="D86" s="604"/>
    </row>
    <row r="87" spans="1:4" x14ac:dyDescent="0.35">
      <c r="A87" s="576">
        <v>43</v>
      </c>
      <c r="B87" s="524" t="s">
        <v>173</v>
      </c>
      <c r="C87" s="604"/>
      <c r="D87" s="604"/>
    </row>
    <row r="88" spans="1:4" x14ac:dyDescent="0.35">
      <c r="A88" s="576">
        <v>44</v>
      </c>
      <c r="B88" s="524" t="s">
        <v>179</v>
      </c>
      <c r="C88" s="604"/>
      <c r="D88" s="604"/>
    </row>
    <row r="89" spans="1:4" x14ac:dyDescent="0.35">
      <c r="A89" s="576">
        <v>45</v>
      </c>
      <c r="B89" s="603" t="s">
        <v>529</v>
      </c>
      <c r="C89" s="604"/>
      <c r="D89" s="604"/>
    </row>
    <row r="90" spans="1:4" x14ac:dyDescent="0.35">
      <c r="A90" s="576">
        <v>46</v>
      </c>
      <c r="B90" s="603" t="s">
        <v>174</v>
      </c>
      <c r="C90" s="604"/>
      <c r="D90" s="604"/>
    </row>
    <row r="91" spans="1:4" x14ac:dyDescent="0.35">
      <c r="A91" s="576">
        <v>47</v>
      </c>
      <c r="B91" s="524" t="s">
        <v>175</v>
      </c>
      <c r="C91" s="604"/>
      <c r="D91" s="604"/>
    </row>
    <row r="92" spans="1:4" x14ac:dyDescent="0.35">
      <c r="A92" s="576">
        <v>48</v>
      </c>
      <c r="B92" s="527" t="s">
        <v>406</v>
      </c>
      <c r="C92" s="604"/>
      <c r="D92" s="604"/>
    </row>
    <row r="93" spans="1:4" x14ac:dyDescent="0.35">
      <c r="A93" s="576">
        <v>49</v>
      </c>
      <c r="B93" s="524" t="s">
        <v>176</v>
      </c>
      <c r="C93" s="604"/>
      <c r="D93" s="604"/>
    </row>
    <row r="94" spans="1:4" x14ac:dyDescent="0.35">
      <c r="A94" s="576">
        <v>50</v>
      </c>
      <c r="B94" s="526" t="s">
        <v>407</v>
      </c>
      <c r="C94" s="604"/>
      <c r="D94" s="604"/>
    </row>
    <row r="95" spans="1:4" x14ac:dyDescent="0.35">
      <c r="A95" s="576">
        <v>51</v>
      </c>
      <c r="B95" s="524" t="s">
        <v>125</v>
      </c>
      <c r="C95" s="604"/>
      <c r="D95" s="604"/>
    </row>
    <row r="96" spans="1:4" x14ac:dyDescent="0.35">
      <c r="A96" s="576">
        <v>52</v>
      </c>
      <c r="B96" s="610" t="s">
        <v>498</v>
      </c>
      <c r="C96" s="604"/>
      <c r="D96" s="604"/>
    </row>
    <row r="97" spans="1:4" x14ac:dyDescent="0.35">
      <c r="A97" s="576">
        <v>53</v>
      </c>
      <c r="B97" s="610" t="s">
        <v>178</v>
      </c>
      <c r="C97" s="604"/>
      <c r="D97" s="604"/>
    </row>
    <row r="98" spans="1:4" x14ac:dyDescent="0.35">
      <c r="A98" s="576">
        <v>54</v>
      </c>
      <c r="B98" s="526" t="s">
        <v>410</v>
      </c>
      <c r="C98" s="604"/>
      <c r="D98" s="604"/>
    </row>
    <row r="99" spans="1:4" x14ac:dyDescent="0.35">
      <c r="A99" s="576">
        <v>55</v>
      </c>
      <c r="B99" s="526" t="s">
        <v>411</v>
      </c>
      <c r="C99" s="604"/>
      <c r="D99" s="604"/>
    </row>
    <row r="100" spans="1:4" x14ac:dyDescent="0.35">
      <c r="A100" s="576">
        <v>56</v>
      </c>
      <c r="B100" s="526" t="s">
        <v>412</v>
      </c>
      <c r="C100" s="604"/>
      <c r="D100" s="604"/>
    </row>
    <row r="101" spans="1:4" x14ac:dyDescent="0.35">
      <c r="A101" s="576">
        <v>57</v>
      </c>
      <c r="B101" s="524" t="s">
        <v>182</v>
      </c>
      <c r="C101" s="604"/>
      <c r="D101" s="604"/>
    </row>
    <row r="102" spans="1:4" x14ac:dyDescent="0.35">
      <c r="A102" s="576">
        <v>58</v>
      </c>
      <c r="B102" s="524" t="s">
        <v>183</v>
      </c>
      <c r="C102" s="604"/>
      <c r="D102" s="604"/>
    </row>
    <row r="103" spans="1:4" x14ac:dyDescent="0.35">
      <c r="A103" s="576">
        <v>59</v>
      </c>
      <c r="B103" s="528" t="s">
        <v>413</v>
      </c>
      <c r="C103" s="604"/>
      <c r="D103" s="604"/>
    </row>
    <row r="104" spans="1:4" x14ac:dyDescent="0.35">
      <c r="A104" s="576">
        <v>60</v>
      </c>
      <c r="B104" s="528" t="s">
        <v>499</v>
      </c>
      <c r="C104" s="604"/>
      <c r="D104" s="604"/>
    </row>
    <row r="105" spans="1:4" x14ac:dyDescent="0.35">
      <c r="A105" s="576">
        <v>61</v>
      </c>
      <c r="B105" s="524" t="s">
        <v>184</v>
      </c>
      <c r="C105" s="604"/>
      <c r="D105" s="604"/>
    </row>
    <row r="106" spans="1:4" x14ac:dyDescent="0.35">
      <c r="A106" s="576">
        <v>62</v>
      </c>
      <c r="B106" s="524" t="s">
        <v>185</v>
      </c>
      <c r="C106" s="604"/>
      <c r="D106" s="604"/>
    </row>
    <row r="107" spans="1:4" x14ac:dyDescent="0.35">
      <c r="A107" s="576">
        <v>63</v>
      </c>
      <c r="B107" s="528" t="s">
        <v>415</v>
      </c>
      <c r="C107" s="604"/>
      <c r="D107" s="604"/>
    </row>
    <row r="108" spans="1:4" x14ac:dyDescent="0.35">
      <c r="A108" s="576">
        <v>64</v>
      </c>
      <c r="B108" s="528" t="s">
        <v>503</v>
      </c>
      <c r="C108" s="604"/>
      <c r="D108" s="604"/>
    </row>
    <row r="109" spans="1:4" x14ac:dyDescent="0.35">
      <c r="A109" s="576">
        <v>65</v>
      </c>
      <c r="B109" s="524" t="s">
        <v>186</v>
      </c>
      <c r="C109" s="604"/>
      <c r="D109" s="604"/>
    </row>
    <row r="110" spans="1:4" x14ac:dyDescent="0.35">
      <c r="A110" s="576">
        <v>66</v>
      </c>
      <c r="B110" s="524" t="s">
        <v>187</v>
      </c>
      <c r="C110" s="604"/>
      <c r="D110" s="604"/>
    </row>
    <row r="111" spans="1:4" x14ac:dyDescent="0.35">
      <c r="A111" s="576">
        <v>67</v>
      </c>
      <c r="B111" s="524" t="s">
        <v>188</v>
      </c>
      <c r="C111" s="604"/>
      <c r="D111" s="604"/>
    </row>
    <row r="112" spans="1:4" x14ac:dyDescent="0.35">
      <c r="A112" s="576">
        <v>68</v>
      </c>
      <c r="B112" s="524" t="s">
        <v>194</v>
      </c>
      <c r="C112" s="604"/>
      <c r="D112" s="604"/>
    </row>
    <row r="113" spans="1:4" x14ac:dyDescent="0.35">
      <c r="A113" s="576">
        <v>69</v>
      </c>
      <c r="B113" s="524" t="s">
        <v>322</v>
      </c>
      <c r="C113" s="604"/>
      <c r="D113" s="604"/>
    </row>
    <row r="114" spans="1:4" x14ac:dyDescent="0.35">
      <c r="A114" s="576">
        <v>70</v>
      </c>
      <c r="B114" s="526" t="s">
        <v>417</v>
      </c>
      <c r="C114" s="604"/>
      <c r="D114" s="604"/>
    </row>
    <row r="115" spans="1:4" x14ac:dyDescent="0.35">
      <c r="A115" s="576">
        <v>71</v>
      </c>
      <c r="B115" s="524" t="s">
        <v>189</v>
      </c>
      <c r="C115" s="604"/>
      <c r="D115" s="604"/>
    </row>
    <row r="116" spans="1:4" x14ac:dyDescent="0.35">
      <c r="A116" s="576">
        <v>72</v>
      </c>
      <c r="B116" s="526" t="s">
        <v>419</v>
      </c>
      <c r="C116" s="604"/>
      <c r="D116" s="604"/>
    </row>
    <row r="117" spans="1:4" x14ac:dyDescent="0.35">
      <c r="A117" s="576">
        <v>73</v>
      </c>
      <c r="B117" s="602" t="s">
        <v>530</v>
      </c>
      <c r="C117" s="604"/>
      <c r="D117" s="604"/>
    </row>
    <row r="118" spans="1:4" x14ac:dyDescent="0.35">
      <c r="A118" s="576">
        <v>74</v>
      </c>
      <c r="B118" s="524" t="s">
        <v>191</v>
      </c>
      <c r="C118" s="604"/>
      <c r="D118" s="604"/>
    </row>
    <row r="119" spans="1:4" x14ac:dyDescent="0.35">
      <c r="A119" s="576">
        <v>75</v>
      </c>
      <c r="B119" s="524" t="s">
        <v>192</v>
      </c>
      <c r="C119" s="604"/>
      <c r="D119" s="604"/>
    </row>
    <row r="120" spans="1:4" x14ac:dyDescent="0.35">
      <c r="A120" s="576">
        <v>76</v>
      </c>
      <c r="B120" s="524" t="s">
        <v>193</v>
      </c>
      <c r="C120" s="604"/>
      <c r="D120" s="604"/>
    </row>
    <row r="121" spans="1:4" x14ac:dyDescent="0.35">
      <c r="A121" s="576">
        <v>77</v>
      </c>
      <c r="B121" s="524" t="s">
        <v>212</v>
      </c>
      <c r="C121" s="604"/>
      <c r="D121" s="604"/>
    </row>
    <row r="122" spans="1:4" x14ac:dyDescent="0.35">
      <c r="A122" s="576">
        <v>78</v>
      </c>
      <c r="B122" s="524" t="s">
        <v>204</v>
      </c>
      <c r="C122" s="604"/>
      <c r="D122" s="604"/>
    </row>
    <row r="123" spans="1:4" x14ac:dyDescent="0.35">
      <c r="A123" s="576">
        <v>79</v>
      </c>
      <c r="B123" s="524" t="s">
        <v>205</v>
      </c>
      <c r="C123" s="604"/>
      <c r="D123" s="604"/>
    </row>
    <row r="124" spans="1:4" x14ac:dyDescent="0.35">
      <c r="A124" s="576">
        <v>80</v>
      </c>
      <c r="B124" s="524" t="s">
        <v>206</v>
      </c>
      <c r="C124" s="604"/>
      <c r="D124" s="604"/>
    </row>
    <row r="125" spans="1:4" x14ac:dyDescent="0.35">
      <c r="A125" s="576">
        <v>81</v>
      </c>
      <c r="B125" s="526" t="s">
        <v>425</v>
      </c>
      <c r="C125" s="604"/>
      <c r="D125" s="604"/>
    </row>
    <row r="126" spans="1:4" x14ac:dyDescent="0.35">
      <c r="A126" s="576">
        <v>82</v>
      </c>
      <c r="B126" s="526" t="s">
        <v>509</v>
      </c>
      <c r="C126" s="604"/>
      <c r="D126" s="604"/>
    </row>
    <row r="127" spans="1:4" x14ac:dyDescent="0.35">
      <c r="A127" s="576">
        <v>83</v>
      </c>
      <c r="B127" s="526" t="s">
        <v>426</v>
      </c>
      <c r="C127" s="604"/>
      <c r="D127" s="604"/>
    </row>
    <row r="128" spans="1:4" x14ac:dyDescent="0.35">
      <c r="A128" s="576">
        <v>84</v>
      </c>
      <c r="B128" s="605" t="s">
        <v>531</v>
      </c>
      <c r="C128" s="604"/>
      <c r="D128" s="604"/>
    </row>
    <row r="129" spans="1:4" x14ac:dyDescent="0.35">
      <c r="A129" s="576">
        <v>85</v>
      </c>
      <c r="B129" s="524" t="s">
        <v>427</v>
      </c>
      <c r="C129" s="604"/>
      <c r="D129" s="604"/>
    </row>
    <row r="130" spans="1:4" x14ac:dyDescent="0.35">
      <c r="A130" s="576">
        <v>86</v>
      </c>
      <c r="B130" s="524" t="s">
        <v>428</v>
      </c>
      <c r="C130" s="604"/>
      <c r="D130" s="604"/>
    </row>
    <row r="131" spans="1:4" x14ac:dyDescent="0.35">
      <c r="A131" s="576">
        <v>87</v>
      </c>
      <c r="B131" s="524" t="s">
        <v>211</v>
      </c>
      <c r="C131" s="604"/>
      <c r="D131" s="604"/>
    </row>
    <row r="132" spans="1:4" x14ac:dyDescent="0.35">
      <c r="A132" s="576">
        <v>88</v>
      </c>
      <c r="B132" s="524" t="s">
        <v>85</v>
      </c>
      <c r="C132" s="604"/>
      <c r="D132" s="604"/>
    </row>
    <row r="133" spans="1:4" x14ac:dyDescent="0.35">
      <c r="A133" s="576">
        <v>89</v>
      </c>
      <c r="B133" s="602" t="s">
        <v>532</v>
      </c>
      <c r="C133" s="604"/>
      <c r="D133" s="604"/>
    </row>
    <row r="134" spans="1:4" x14ac:dyDescent="0.35">
      <c r="A134" s="576">
        <v>90</v>
      </c>
      <c r="B134" s="602" t="s">
        <v>214</v>
      </c>
      <c r="C134" s="604"/>
      <c r="D134" s="604"/>
    </row>
    <row r="135" spans="1:4" x14ac:dyDescent="0.35">
      <c r="A135" s="576">
        <v>91</v>
      </c>
      <c r="B135" s="524" t="s">
        <v>128</v>
      </c>
      <c r="C135" s="604"/>
      <c r="D135" s="604"/>
    </row>
    <row r="136" spans="1:4" x14ac:dyDescent="0.35">
      <c r="A136" s="576">
        <v>92</v>
      </c>
      <c r="B136" s="524" t="s">
        <v>129</v>
      </c>
      <c r="C136" s="604"/>
      <c r="D136" s="604"/>
    </row>
    <row r="137" spans="1:4" x14ac:dyDescent="0.35">
      <c r="A137" s="576">
        <v>93</v>
      </c>
      <c r="B137" s="524" t="s">
        <v>429</v>
      </c>
      <c r="C137" s="604"/>
      <c r="D137" s="604"/>
    </row>
    <row r="138" spans="1:4" x14ac:dyDescent="0.35">
      <c r="A138" s="576">
        <v>94</v>
      </c>
      <c r="B138" s="524" t="s">
        <v>510</v>
      </c>
      <c r="C138" s="604"/>
      <c r="D138" s="604"/>
    </row>
    <row r="139" spans="1:4" x14ac:dyDescent="0.35">
      <c r="A139" s="576">
        <v>95</v>
      </c>
      <c r="B139" s="524" t="s">
        <v>67</v>
      </c>
      <c r="C139" s="604"/>
      <c r="D139" s="604"/>
    </row>
    <row r="140" spans="1:4" x14ac:dyDescent="0.35">
      <c r="A140" s="576">
        <v>96</v>
      </c>
      <c r="B140" s="526" t="s">
        <v>431</v>
      </c>
      <c r="C140" s="604"/>
      <c r="D140" s="604"/>
    </row>
    <row r="141" spans="1:4" x14ac:dyDescent="0.35">
      <c r="A141" s="576">
        <v>97</v>
      </c>
      <c r="B141" s="524" t="s">
        <v>131</v>
      </c>
      <c r="C141" s="604"/>
      <c r="D141" s="604"/>
    </row>
    <row r="142" spans="1:4" x14ac:dyDescent="0.35">
      <c r="A142" s="576">
        <v>98</v>
      </c>
      <c r="B142" s="524" t="s">
        <v>132</v>
      </c>
      <c r="C142" s="604"/>
      <c r="D142" s="604"/>
    </row>
    <row r="143" spans="1:4" x14ac:dyDescent="0.35">
      <c r="A143" s="576">
        <v>99</v>
      </c>
      <c r="B143" s="524" t="s">
        <v>41</v>
      </c>
      <c r="C143" s="604"/>
      <c r="D143" s="604"/>
    </row>
    <row r="144" spans="1:4" x14ac:dyDescent="0.35">
      <c r="A144" s="576">
        <v>100</v>
      </c>
      <c r="B144" s="524" t="s">
        <v>134</v>
      </c>
      <c r="C144" s="604"/>
      <c r="D144" s="604"/>
    </row>
    <row r="145" spans="1:4" x14ac:dyDescent="0.35">
      <c r="A145" s="576">
        <v>101</v>
      </c>
      <c r="B145" s="524" t="s">
        <v>135</v>
      </c>
      <c r="C145" s="604"/>
      <c r="D145" s="604"/>
    </row>
    <row r="146" spans="1:4" x14ac:dyDescent="0.35">
      <c r="A146" s="576">
        <v>102</v>
      </c>
      <c r="B146" s="526" t="s">
        <v>432</v>
      </c>
      <c r="C146" s="604"/>
      <c r="D146" s="604"/>
    </row>
    <row r="147" spans="1:4" x14ac:dyDescent="0.35">
      <c r="A147" s="576">
        <v>103</v>
      </c>
      <c r="B147" s="524" t="s">
        <v>136</v>
      </c>
      <c r="C147" s="604"/>
      <c r="D147" s="604"/>
    </row>
    <row r="148" spans="1:4" x14ac:dyDescent="0.35">
      <c r="A148" s="576">
        <v>104</v>
      </c>
      <c r="B148" s="524" t="s">
        <v>124</v>
      </c>
      <c r="C148" s="604"/>
      <c r="D148" s="604"/>
    </row>
    <row r="149" spans="1:4" x14ac:dyDescent="0.35">
      <c r="A149" s="576">
        <v>105</v>
      </c>
      <c r="B149" s="526" t="s">
        <v>435</v>
      </c>
      <c r="C149" s="604"/>
      <c r="D149" s="604"/>
    </row>
    <row r="150" spans="1:4" x14ac:dyDescent="0.35">
      <c r="A150" s="576">
        <v>106</v>
      </c>
      <c r="B150" s="524" t="s">
        <v>133</v>
      </c>
      <c r="C150" s="604"/>
      <c r="D150" s="604"/>
    </row>
    <row r="151" spans="1:4" x14ac:dyDescent="0.35">
      <c r="A151" s="576">
        <v>107</v>
      </c>
      <c r="B151" s="524" t="s">
        <v>436</v>
      </c>
      <c r="C151" s="604"/>
      <c r="D151" s="604"/>
    </row>
    <row r="152" spans="1:4" x14ac:dyDescent="0.35">
      <c r="A152" s="576">
        <v>108</v>
      </c>
      <c r="B152" s="608" t="s">
        <v>513</v>
      </c>
      <c r="C152" s="604"/>
      <c r="D152" s="604"/>
    </row>
    <row r="153" spans="1:4" x14ac:dyDescent="0.35">
      <c r="A153" s="576">
        <v>109</v>
      </c>
      <c r="B153" s="524" t="s">
        <v>139</v>
      </c>
      <c r="C153" s="604"/>
      <c r="D153" s="604"/>
    </row>
    <row r="154" spans="1:4" x14ac:dyDescent="0.35">
      <c r="A154" s="576">
        <v>110</v>
      </c>
      <c r="B154" s="524" t="s">
        <v>143</v>
      </c>
      <c r="C154" s="604"/>
      <c r="D154" s="604"/>
    </row>
    <row r="155" spans="1:4" x14ac:dyDescent="0.35">
      <c r="A155" s="576">
        <v>111</v>
      </c>
      <c r="B155" s="524" t="s">
        <v>151</v>
      </c>
      <c r="C155" s="604"/>
      <c r="D155" s="604"/>
    </row>
    <row r="156" spans="1:4" x14ac:dyDescent="0.35">
      <c r="A156" s="576">
        <v>112</v>
      </c>
      <c r="B156" s="524" t="s">
        <v>144</v>
      </c>
      <c r="C156" s="604"/>
      <c r="D156" s="604"/>
    </row>
    <row r="157" spans="1:4" x14ac:dyDescent="0.35">
      <c r="A157" s="576">
        <v>113</v>
      </c>
      <c r="B157" s="524" t="s">
        <v>145</v>
      </c>
      <c r="C157" s="604"/>
      <c r="D157" s="604"/>
    </row>
    <row r="158" spans="1:4" x14ac:dyDescent="0.35">
      <c r="A158" s="576">
        <v>114</v>
      </c>
      <c r="B158" s="524" t="s">
        <v>152</v>
      </c>
      <c r="C158" s="604"/>
      <c r="D158" s="604"/>
    </row>
    <row r="159" spans="1:4" x14ac:dyDescent="0.35">
      <c r="A159" s="576">
        <v>115</v>
      </c>
      <c r="B159" s="524" t="s">
        <v>146</v>
      </c>
      <c r="C159" s="604"/>
      <c r="D159" s="604"/>
    </row>
    <row r="160" spans="1:4" x14ac:dyDescent="0.35">
      <c r="A160" s="576">
        <v>116</v>
      </c>
      <c r="B160" s="524" t="s">
        <v>147</v>
      </c>
      <c r="C160" s="604"/>
      <c r="D160" s="604"/>
    </row>
    <row r="161" spans="1:4" x14ac:dyDescent="0.35">
      <c r="A161" s="576">
        <v>117</v>
      </c>
      <c r="B161" s="524" t="s">
        <v>148</v>
      </c>
      <c r="C161" s="604"/>
      <c r="D161" s="604"/>
    </row>
    <row r="162" spans="1:4" x14ac:dyDescent="0.35">
      <c r="A162" s="576">
        <v>118</v>
      </c>
      <c r="B162" s="524" t="s">
        <v>506</v>
      </c>
      <c r="C162" s="604"/>
      <c r="D162" s="604"/>
    </row>
    <row r="163" spans="1:4" x14ac:dyDescent="0.35">
      <c r="A163" s="576">
        <v>119</v>
      </c>
      <c r="B163" s="524" t="s">
        <v>533</v>
      </c>
      <c r="C163" s="604"/>
      <c r="D163" s="604"/>
    </row>
    <row r="164" spans="1:4" x14ac:dyDescent="0.35">
      <c r="A164" s="576">
        <v>121</v>
      </c>
      <c r="B164" s="524" t="s">
        <v>142</v>
      </c>
      <c r="C164" s="604"/>
      <c r="D164" s="604"/>
    </row>
    <row r="165" spans="1:4" s="568" customFormat="1" ht="15.5" x14ac:dyDescent="0.35">
      <c r="A165" s="582"/>
      <c r="B165" s="573" t="s">
        <v>444</v>
      </c>
      <c r="C165" s="565">
        <f>SUM(C45:C164)</f>
        <v>0</v>
      </c>
      <c r="D165" s="565">
        <f>SUM(D45:D164)</f>
        <v>0</v>
      </c>
    </row>
    <row r="166" spans="1:4" s="568" customFormat="1" ht="9.75" customHeight="1" x14ac:dyDescent="0.35">
      <c r="A166" s="581"/>
      <c r="B166" s="569"/>
      <c r="C166" s="570"/>
      <c r="D166" s="570"/>
    </row>
    <row r="167" spans="1:4" s="568" customFormat="1" ht="15.5" x14ac:dyDescent="0.35">
      <c r="A167" s="583"/>
      <c r="B167" s="561" t="s">
        <v>445</v>
      </c>
      <c r="C167" s="565">
        <f>C42-C165</f>
        <v>0</v>
      </c>
      <c r="D167" s="565">
        <f>D42-D165</f>
        <v>0</v>
      </c>
    </row>
  </sheetData>
  <protectedRanges>
    <protectedRange algorithmName="SHA-512" hashValue="sib5Nlt62x8Cjehj5QpvQOfZQRWFyVXdW4ymlOfnLMMNdxZw1XVdONARla6+9R164l5kN77+d8cnUihMlL+w0A==" saltValue="TiYlffcKhraV9z9Br0ykmA==" spinCount="100000" sqref="C166:D166 C42:D43" name="Range1_3"/>
  </protectedRanges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EDBC7-BB2F-42C0-A9ED-7C27B90C0876}">
  <sheetPr filterMode="1">
    <tabColor theme="7" tint="0.79998168889431442"/>
  </sheetPr>
  <dimension ref="A1:H649"/>
  <sheetViews>
    <sheetView workbookViewId="0">
      <pane ySplit="1" topLeftCell="A2" activePane="bottomLeft" state="frozen"/>
      <selection pane="bottomLeft" activeCell="F129" sqref="F129"/>
    </sheetView>
  </sheetViews>
  <sheetFormatPr defaultRowHeight="14.5" x14ac:dyDescent="0.35"/>
  <cols>
    <col min="1" max="1" width="8.7265625" bestFit="1" customWidth="1"/>
    <col min="2" max="2" width="8.26953125" style="29" bestFit="1" customWidth="1"/>
    <col min="3" max="3" width="8.26953125" style="29" customWidth="1"/>
    <col min="4" max="4" width="4.54296875" style="29" bestFit="1" customWidth="1"/>
    <col min="5" max="5" width="31.26953125" bestFit="1" customWidth="1"/>
    <col min="6" max="6" width="49" bestFit="1" customWidth="1"/>
    <col min="7" max="8" width="12.81640625" bestFit="1" customWidth="1"/>
  </cols>
  <sheetData>
    <row r="1" spans="1:8" s="73" customFormat="1" x14ac:dyDescent="0.35">
      <c r="A1" s="256" t="s">
        <v>0</v>
      </c>
      <c r="B1" s="256" t="s">
        <v>90</v>
      </c>
      <c r="C1" s="256" t="s">
        <v>91</v>
      </c>
      <c r="D1" s="256" t="s">
        <v>92</v>
      </c>
      <c r="E1" s="257" t="s">
        <v>93</v>
      </c>
      <c r="F1" s="258" t="s">
        <v>94</v>
      </c>
      <c r="G1" s="259" t="s">
        <v>95</v>
      </c>
      <c r="H1" s="259" t="s">
        <v>96</v>
      </c>
    </row>
    <row r="2" spans="1:8" hidden="1" x14ac:dyDescent="0.35">
      <c r="A2" t="s">
        <v>97</v>
      </c>
      <c r="B2" s="29" t="s">
        <v>5</v>
      </c>
      <c r="C2" s="29">
        <v>1</v>
      </c>
      <c r="D2" s="29">
        <v>1</v>
      </c>
      <c r="E2" t="s">
        <v>7</v>
      </c>
      <c r="F2" t="s">
        <v>7</v>
      </c>
      <c r="G2" s="119">
        <v>1823958</v>
      </c>
      <c r="H2" s="119">
        <v>1823958</v>
      </c>
    </row>
    <row r="3" spans="1:8" hidden="1" x14ac:dyDescent="0.35">
      <c r="A3" t="s">
        <v>97</v>
      </c>
      <c r="B3" s="29" t="s">
        <v>5</v>
      </c>
      <c r="C3" s="29">
        <v>1</v>
      </c>
      <c r="D3" s="29">
        <v>2</v>
      </c>
      <c r="E3" t="s">
        <v>98</v>
      </c>
      <c r="F3" t="s">
        <v>99</v>
      </c>
      <c r="G3" s="119">
        <v>25000</v>
      </c>
      <c r="H3" s="119">
        <v>25000</v>
      </c>
    </row>
    <row r="4" spans="1:8" hidden="1" x14ac:dyDescent="0.35">
      <c r="A4" t="s">
        <v>97</v>
      </c>
      <c r="B4" s="29" t="s">
        <v>5</v>
      </c>
      <c r="C4" s="29">
        <v>1</v>
      </c>
      <c r="D4" s="29">
        <v>3</v>
      </c>
      <c r="E4" t="s">
        <v>100</v>
      </c>
      <c r="F4" t="s">
        <v>16</v>
      </c>
      <c r="G4" s="119">
        <v>200000</v>
      </c>
      <c r="H4" s="119">
        <v>200000</v>
      </c>
    </row>
    <row r="5" spans="1:8" hidden="1" x14ac:dyDescent="0.35">
      <c r="A5" t="s">
        <v>97</v>
      </c>
      <c r="B5" s="29" t="s">
        <v>5</v>
      </c>
      <c r="C5" s="29">
        <v>1</v>
      </c>
      <c r="D5" s="29">
        <v>4</v>
      </c>
      <c r="E5" t="s">
        <v>100</v>
      </c>
      <c r="F5" t="s">
        <v>101</v>
      </c>
      <c r="G5" s="119"/>
      <c r="H5" s="119"/>
    </row>
    <row r="6" spans="1:8" hidden="1" x14ac:dyDescent="0.35">
      <c r="A6" t="s">
        <v>97</v>
      </c>
      <c r="B6" s="29" t="s">
        <v>5</v>
      </c>
      <c r="C6" s="29">
        <v>1</v>
      </c>
      <c r="D6" s="29">
        <v>5</v>
      </c>
      <c r="E6" t="s">
        <v>102</v>
      </c>
      <c r="F6" t="s">
        <v>103</v>
      </c>
      <c r="G6" s="119">
        <v>277170</v>
      </c>
      <c r="H6" s="119">
        <v>277170</v>
      </c>
    </row>
    <row r="7" spans="1:8" hidden="1" x14ac:dyDescent="0.35">
      <c r="A7" t="s">
        <v>97</v>
      </c>
      <c r="B7" s="29" t="s">
        <v>5</v>
      </c>
      <c r="C7" s="29">
        <v>1</v>
      </c>
      <c r="D7" s="29">
        <v>6</v>
      </c>
      <c r="E7" t="s">
        <v>102</v>
      </c>
      <c r="F7" t="s">
        <v>104</v>
      </c>
      <c r="G7" s="119">
        <v>0</v>
      </c>
      <c r="H7" s="119">
        <v>0</v>
      </c>
    </row>
    <row r="8" spans="1:8" hidden="1" x14ac:dyDescent="0.35">
      <c r="A8" t="s">
        <v>97</v>
      </c>
      <c r="B8" s="29" t="s">
        <v>5</v>
      </c>
      <c r="C8" s="29">
        <v>1</v>
      </c>
      <c r="D8" s="29">
        <v>7</v>
      </c>
      <c r="E8" t="s">
        <v>102</v>
      </c>
      <c r="F8" t="s">
        <v>105</v>
      </c>
      <c r="G8" s="119">
        <v>0</v>
      </c>
      <c r="H8" s="119">
        <v>0</v>
      </c>
    </row>
    <row r="9" spans="1:8" hidden="1" x14ac:dyDescent="0.35">
      <c r="A9" t="s">
        <v>97</v>
      </c>
      <c r="B9" s="29" t="s">
        <v>5</v>
      </c>
      <c r="C9" s="29">
        <v>1</v>
      </c>
      <c r="D9" s="29">
        <v>8</v>
      </c>
      <c r="E9" t="s">
        <v>102</v>
      </c>
      <c r="F9" t="s">
        <v>106</v>
      </c>
      <c r="G9" s="119">
        <v>0</v>
      </c>
      <c r="H9" s="119">
        <v>0</v>
      </c>
    </row>
    <row r="10" spans="1:8" hidden="1" x14ac:dyDescent="0.35">
      <c r="A10" t="s">
        <v>97</v>
      </c>
      <c r="B10" s="29" t="s">
        <v>5</v>
      </c>
      <c r="C10" s="29">
        <v>1</v>
      </c>
      <c r="D10" s="29">
        <v>9</v>
      </c>
      <c r="E10" t="s">
        <v>102</v>
      </c>
      <c r="F10" t="s">
        <v>107</v>
      </c>
      <c r="G10" s="119">
        <v>105373</v>
      </c>
      <c r="H10" s="119">
        <v>105373</v>
      </c>
    </row>
    <row r="11" spans="1:8" hidden="1" x14ac:dyDescent="0.35">
      <c r="A11" t="s">
        <v>97</v>
      </c>
      <c r="B11" s="29" t="s">
        <v>5</v>
      </c>
      <c r="C11" s="29">
        <v>1</v>
      </c>
      <c r="D11" s="29">
        <v>10</v>
      </c>
      <c r="E11" t="s">
        <v>102</v>
      </c>
      <c r="F11" t="s">
        <v>108</v>
      </c>
      <c r="G11" s="119">
        <v>48142</v>
      </c>
      <c r="H11" s="119">
        <v>48142</v>
      </c>
    </row>
    <row r="12" spans="1:8" hidden="1" x14ac:dyDescent="0.35">
      <c r="A12" t="s">
        <v>97</v>
      </c>
      <c r="B12" s="29" t="s">
        <v>5</v>
      </c>
      <c r="C12" s="29">
        <v>1</v>
      </c>
      <c r="D12" s="29">
        <v>11</v>
      </c>
      <c r="E12" t="s">
        <v>102</v>
      </c>
      <c r="F12" t="s">
        <v>109</v>
      </c>
      <c r="G12" s="119">
        <v>0</v>
      </c>
      <c r="H12" s="119">
        <v>0</v>
      </c>
    </row>
    <row r="13" spans="1:8" hidden="1" x14ac:dyDescent="0.35">
      <c r="A13" t="s">
        <v>97</v>
      </c>
      <c r="B13" s="29" t="s">
        <v>5</v>
      </c>
      <c r="C13" s="29">
        <v>1</v>
      </c>
      <c r="D13" s="29">
        <v>12</v>
      </c>
      <c r="E13" t="s">
        <v>110</v>
      </c>
      <c r="F13" t="s">
        <v>111</v>
      </c>
      <c r="G13" s="119">
        <v>30000</v>
      </c>
      <c r="H13" s="119">
        <v>30000</v>
      </c>
    </row>
    <row r="14" spans="1:8" x14ac:dyDescent="0.35">
      <c r="A14" t="s">
        <v>97</v>
      </c>
      <c r="B14" s="29" t="s">
        <v>5</v>
      </c>
      <c r="C14" s="29">
        <v>1</v>
      </c>
      <c r="D14" s="29">
        <v>13</v>
      </c>
      <c r="E14" t="s">
        <v>110</v>
      </c>
      <c r="F14" t="s">
        <v>112</v>
      </c>
      <c r="G14" s="119">
        <v>0</v>
      </c>
      <c r="H14" s="119">
        <v>0</v>
      </c>
    </row>
    <row r="15" spans="1:8" x14ac:dyDescent="0.35">
      <c r="A15" t="s">
        <v>113</v>
      </c>
      <c r="B15" s="29" t="s">
        <v>5</v>
      </c>
      <c r="C15" s="29">
        <v>1</v>
      </c>
      <c r="D15" s="29">
        <v>13</v>
      </c>
      <c r="E15" t="s">
        <v>110</v>
      </c>
      <c r="F15" t="s">
        <v>112</v>
      </c>
      <c r="G15" s="119">
        <v>114352</v>
      </c>
      <c r="H15" s="128">
        <v>114352</v>
      </c>
    </row>
    <row r="16" spans="1:8" x14ac:dyDescent="0.35">
      <c r="A16" t="s">
        <v>1</v>
      </c>
      <c r="B16" s="29" t="s">
        <v>5</v>
      </c>
      <c r="C16" s="29">
        <v>1</v>
      </c>
      <c r="D16" s="29">
        <v>6</v>
      </c>
      <c r="E16" s="2" t="s">
        <v>110</v>
      </c>
      <c r="F16" s="16" t="s">
        <v>21</v>
      </c>
      <c r="G16" s="95">
        <v>214270</v>
      </c>
      <c r="H16" s="95">
        <v>214270</v>
      </c>
    </row>
    <row r="17" spans="1:8" x14ac:dyDescent="0.35">
      <c r="A17" t="s">
        <v>97</v>
      </c>
      <c r="B17" s="29" t="s">
        <v>5</v>
      </c>
      <c r="C17" s="29">
        <v>1</v>
      </c>
      <c r="D17" s="29">
        <v>15</v>
      </c>
      <c r="E17" t="s">
        <v>110</v>
      </c>
      <c r="F17" t="s">
        <v>114</v>
      </c>
      <c r="G17" s="119">
        <v>0</v>
      </c>
      <c r="H17" s="119">
        <v>0</v>
      </c>
    </row>
    <row r="18" spans="1:8" x14ac:dyDescent="0.35">
      <c r="A18" t="s">
        <v>113</v>
      </c>
      <c r="B18" s="29" t="s">
        <v>5</v>
      </c>
      <c r="C18" s="29">
        <v>1</v>
      </c>
      <c r="D18" s="29">
        <v>15</v>
      </c>
      <c r="E18" t="s">
        <v>110</v>
      </c>
      <c r="F18" t="s">
        <v>114</v>
      </c>
      <c r="G18" s="119">
        <v>1805</v>
      </c>
      <c r="H18" s="128">
        <v>1805</v>
      </c>
    </row>
    <row r="19" spans="1:8" x14ac:dyDescent="0.35">
      <c r="A19" t="s">
        <v>115</v>
      </c>
      <c r="B19" s="29" t="s">
        <v>5</v>
      </c>
      <c r="C19" s="29">
        <v>1</v>
      </c>
      <c r="D19" s="261">
        <v>5</v>
      </c>
      <c r="E19" s="79" t="s">
        <v>110</v>
      </c>
      <c r="F19" s="75" t="s">
        <v>116</v>
      </c>
      <c r="G19" s="110">
        <v>299381</v>
      </c>
      <c r="H19" s="110">
        <v>299381</v>
      </c>
    </row>
    <row r="20" spans="1:8" hidden="1" x14ac:dyDescent="0.35">
      <c r="A20" t="s">
        <v>97</v>
      </c>
      <c r="B20" s="29" t="s">
        <v>5</v>
      </c>
      <c r="C20" s="29">
        <v>1</v>
      </c>
      <c r="D20" s="29">
        <v>19</v>
      </c>
      <c r="E20" t="s">
        <v>110</v>
      </c>
      <c r="F20" t="s">
        <v>12</v>
      </c>
      <c r="G20" s="119">
        <v>0</v>
      </c>
      <c r="H20" s="119">
        <v>0</v>
      </c>
    </row>
    <row r="21" spans="1:8" hidden="1" x14ac:dyDescent="0.35">
      <c r="A21" t="s">
        <v>97</v>
      </c>
      <c r="B21" s="29" t="s">
        <v>5</v>
      </c>
      <c r="C21" s="29">
        <v>1</v>
      </c>
      <c r="D21" s="29">
        <v>20</v>
      </c>
      <c r="E21" t="s">
        <v>110</v>
      </c>
      <c r="F21" t="s">
        <v>8</v>
      </c>
      <c r="G21" s="119">
        <v>1134497</v>
      </c>
      <c r="H21" s="190">
        <v>1043138</v>
      </c>
    </row>
    <row r="22" spans="1:8" hidden="1" x14ac:dyDescent="0.35">
      <c r="A22" t="s">
        <v>97</v>
      </c>
      <c r="B22" s="29" t="s">
        <v>5</v>
      </c>
      <c r="C22" s="29">
        <v>1</v>
      </c>
      <c r="D22" s="29">
        <v>21</v>
      </c>
      <c r="E22" t="s">
        <v>110</v>
      </c>
      <c r="F22" t="s">
        <v>117</v>
      </c>
      <c r="G22" s="119">
        <v>156249</v>
      </c>
      <c r="H22" s="190">
        <v>34301</v>
      </c>
    </row>
    <row r="23" spans="1:8" hidden="1" x14ac:dyDescent="0.35">
      <c r="A23" t="s">
        <v>97</v>
      </c>
      <c r="B23" s="29" t="s">
        <v>5</v>
      </c>
      <c r="C23" s="29">
        <v>1</v>
      </c>
      <c r="D23" s="29">
        <v>22</v>
      </c>
      <c r="E23" t="s">
        <v>110</v>
      </c>
      <c r="F23" t="s">
        <v>118</v>
      </c>
      <c r="G23" s="119">
        <v>329000</v>
      </c>
      <c r="H23" s="190">
        <v>89797.17</v>
      </c>
    </row>
    <row r="24" spans="1:8" hidden="1" x14ac:dyDescent="0.35">
      <c r="A24" t="s">
        <v>97</v>
      </c>
      <c r="B24" s="29" t="s">
        <v>5</v>
      </c>
      <c r="C24" s="29">
        <v>1</v>
      </c>
      <c r="D24" s="29">
        <v>25</v>
      </c>
      <c r="E24" t="s">
        <v>102</v>
      </c>
      <c r="F24" t="s">
        <v>119</v>
      </c>
      <c r="G24" s="117">
        <v>2462019</v>
      </c>
      <c r="H24" s="128">
        <v>2462019</v>
      </c>
    </row>
    <row r="25" spans="1:8" hidden="1" x14ac:dyDescent="0.35">
      <c r="A25" t="s">
        <v>97</v>
      </c>
      <c r="B25" s="29" t="s">
        <v>5</v>
      </c>
      <c r="C25" s="29">
        <v>1</v>
      </c>
      <c r="D25" s="29">
        <v>26</v>
      </c>
      <c r="E25" t="s">
        <v>102</v>
      </c>
      <c r="F25" t="s">
        <v>120</v>
      </c>
      <c r="G25" s="117">
        <v>9341892</v>
      </c>
      <c r="H25" s="128">
        <v>9341892</v>
      </c>
    </row>
    <row r="26" spans="1:8" hidden="1" x14ac:dyDescent="0.35">
      <c r="A26" t="s">
        <v>97</v>
      </c>
      <c r="B26" s="29" t="s">
        <v>5</v>
      </c>
      <c r="C26" s="29">
        <v>1</v>
      </c>
      <c r="D26" s="29">
        <v>27</v>
      </c>
      <c r="E26" t="s">
        <v>102</v>
      </c>
      <c r="F26" t="s">
        <v>121</v>
      </c>
      <c r="G26" s="117"/>
      <c r="H26" s="117"/>
    </row>
    <row r="27" spans="1:8" hidden="1" x14ac:dyDescent="0.35">
      <c r="A27" t="s">
        <v>97</v>
      </c>
      <c r="B27" s="29" t="s">
        <v>26</v>
      </c>
      <c r="C27" s="29">
        <v>2</v>
      </c>
      <c r="D27" s="29">
        <v>1</v>
      </c>
      <c r="E27" t="s">
        <v>122</v>
      </c>
      <c r="F27" t="s">
        <v>123</v>
      </c>
      <c r="G27" s="117">
        <v>3778000</v>
      </c>
      <c r="H27" s="190">
        <f>'23-24 AAL Staffing'!F40</f>
        <v>3743000</v>
      </c>
    </row>
    <row r="28" spans="1:8" hidden="1" x14ac:dyDescent="0.35">
      <c r="A28" t="s">
        <v>97</v>
      </c>
      <c r="B28" s="29" t="s">
        <v>26</v>
      </c>
      <c r="C28" s="29">
        <v>2</v>
      </c>
      <c r="D28" s="29">
        <v>61</v>
      </c>
      <c r="E28" t="s">
        <v>124</v>
      </c>
      <c r="F28" t="s">
        <v>125</v>
      </c>
      <c r="G28" s="117">
        <v>0</v>
      </c>
      <c r="H28" s="117">
        <v>0</v>
      </c>
    </row>
    <row r="29" spans="1:8" hidden="1" x14ac:dyDescent="0.35">
      <c r="A29" t="s">
        <v>97</v>
      </c>
      <c r="B29" s="29" t="s">
        <v>26</v>
      </c>
      <c r="C29" s="29">
        <v>2</v>
      </c>
      <c r="D29" s="29">
        <v>62</v>
      </c>
      <c r="E29" t="s">
        <v>124</v>
      </c>
      <c r="F29" t="s">
        <v>67</v>
      </c>
      <c r="G29" s="117">
        <v>48000</v>
      </c>
      <c r="H29" s="117">
        <v>48000</v>
      </c>
    </row>
    <row r="30" spans="1:8" hidden="1" x14ac:dyDescent="0.35">
      <c r="A30" t="s">
        <v>97</v>
      </c>
      <c r="B30" s="29" t="s">
        <v>26</v>
      </c>
      <c r="C30" s="29">
        <v>2</v>
      </c>
      <c r="D30" s="29">
        <v>63</v>
      </c>
      <c r="E30" t="s">
        <v>124</v>
      </c>
      <c r="F30" t="s">
        <v>126</v>
      </c>
      <c r="G30" s="117">
        <v>13000</v>
      </c>
      <c r="H30" s="117">
        <v>13000</v>
      </c>
    </row>
    <row r="31" spans="1:8" hidden="1" x14ac:dyDescent="0.35">
      <c r="A31" t="s">
        <v>97</v>
      </c>
      <c r="B31" s="29" t="s">
        <v>26</v>
      </c>
      <c r="C31" s="29">
        <v>2</v>
      </c>
      <c r="D31" s="29">
        <v>64</v>
      </c>
      <c r="E31" t="s">
        <v>124</v>
      </c>
      <c r="F31" t="s">
        <v>127</v>
      </c>
      <c r="G31" s="117">
        <v>45400</v>
      </c>
      <c r="H31" s="117">
        <v>45400</v>
      </c>
    </row>
    <row r="32" spans="1:8" hidden="1" x14ac:dyDescent="0.35">
      <c r="A32" t="s">
        <v>97</v>
      </c>
      <c r="B32" s="29" t="s">
        <v>26</v>
      </c>
      <c r="C32" s="29">
        <v>2</v>
      </c>
      <c r="D32" s="29">
        <v>65</v>
      </c>
      <c r="E32" t="s">
        <v>124</v>
      </c>
      <c r="F32" t="s">
        <v>128</v>
      </c>
      <c r="G32" s="119">
        <v>170000</v>
      </c>
      <c r="H32" s="119">
        <v>170000</v>
      </c>
    </row>
    <row r="33" spans="1:8" hidden="1" x14ac:dyDescent="0.35">
      <c r="A33" t="s">
        <v>97</v>
      </c>
      <c r="B33" s="29" t="s">
        <v>26</v>
      </c>
      <c r="C33" s="29">
        <v>2</v>
      </c>
      <c r="D33" s="29">
        <v>66</v>
      </c>
      <c r="E33" t="s">
        <v>124</v>
      </c>
      <c r="F33" t="s">
        <v>129</v>
      </c>
      <c r="G33" s="119">
        <v>20000</v>
      </c>
      <c r="H33" s="119">
        <v>20000</v>
      </c>
    </row>
    <row r="34" spans="1:8" hidden="1" x14ac:dyDescent="0.35">
      <c r="A34" t="s">
        <v>97</v>
      </c>
      <c r="B34" s="29" t="s">
        <v>26</v>
      </c>
      <c r="C34" s="29">
        <v>2</v>
      </c>
      <c r="D34" s="29">
        <v>67</v>
      </c>
      <c r="E34" t="s">
        <v>124</v>
      </c>
      <c r="F34" t="s">
        <v>130</v>
      </c>
      <c r="G34" s="119">
        <v>65000</v>
      </c>
      <c r="H34" s="119">
        <v>65000</v>
      </c>
    </row>
    <row r="35" spans="1:8" hidden="1" x14ac:dyDescent="0.35">
      <c r="A35" t="s">
        <v>97</v>
      </c>
      <c r="B35" s="29" t="s">
        <v>26</v>
      </c>
      <c r="C35" s="29">
        <v>2</v>
      </c>
      <c r="D35" s="29">
        <v>68</v>
      </c>
      <c r="E35" t="s">
        <v>124</v>
      </c>
      <c r="F35" t="s">
        <v>131</v>
      </c>
      <c r="G35" s="119">
        <v>27000</v>
      </c>
      <c r="H35" s="119">
        <v>27000</v>
      </c>
    </row>
    <row r="36" spans="1:8" hidden="1" x14ac:dyDescent="0.35">
      <c r="A36" t="s">
        <v>97</v>
      </c>
      <c r="B36" s="29" t="s">
        <v>26</v>
      </c>
      <c r="C36" s="29">
        <v>2</v>
      </c>
      <c r="D36" s="29">
        <v>69</v>
      </c>
      <c r="E36" t="s">
        <v>124</v>
      </c>
      <c r="F36" t="s">
        <v>132</v>
      </c>
      <c r="G36" s="119">
        <v>30000</v>
      </c>
      <c r="H36" s="119">
        <v>30000</v>
      </c>
    </row>
    <row r="37" spans="1:8" hidden="1" x14ac:dyDescent="0.35">
      <c r="A37" t="s">
        <v>97</v>
      </c>
      <c r="B37" s="29" t="s">
        <v>26</v>
      </c>
      <c r="C37" s="29">
        <v>2</v>
      </c>
      <c r="D37" s="29">
        <v>70</v>
      </c>
      <c r="E37" t="s">
        <v>124</v>
      </c>
      <c r="F37" t="s">
        <v>41</v>
      </c>
      <c r="G37" s="119">
        <v>7500</v>
      </c>
      <c r="H37" s="119">
        <v>7500</v>
      </c>
    </row>
    <row r="38" spans="1:8" hidden="1" x14ac:dyDescent="0.35">
      <c r="A38" t="s">
        <v>97</v>
      </c>
      <c r="B38" s="29" t="s">
        <v>26</v>
      </c>
      <c r="C38" s="29">
        <v>2</v>
      </c>
      <c r="D38" s="29">
        <v>71</v>
      </c>
      <c r="E38" t="s">
        <v>124</v>
      </c>
      <c r="F38" t="s">
        <v>133</v>
      </c>
      <c r="G38" s="119">
        <v>3000</v>
      </c>
      <c r="H38" s="119">
        <v>3000</v>
      </c>
    </row>
    <row r="39" spans="1:8" hidden="1" x14ac:dyDescent="0.35">
      <c r="A39" t="s">
        <v>97</v>
      </c>
      <c r="B39" s="29" t="s">
        <v>26</v>
      </c>
      <c r="C39" s="29">
        <v>2</v>
      </c>
      <c r="D39" s="29">
        <v>72</v>
      </c>
      <c r="E39" t="s">
        <v>124</v>
      </c>
      <c r="F39" t="s">
        <v>134</v>
      </c>
      <c r="G39" s="119">
        <v>5000</v>
      </c>
      <c r="H39" s="119">
        <v>5000</v>
      </c>
    </row>
    <row r="40" spans="1:8" hidden="1" x14ac:dyDescent="0.35">
      <c r="A40" t="s">
        <v>97</v>
      </c>
      <c r="B40" s="29" t="s">
        <v>26</v>
      </c>
      <c r="C40" s="29">
        <v>2</v>
      </c>
      <c r="D40" s="29">
        <v>73</v>
      </c>
      <c r="E40" t="s">
        <v>124</v>
      </c>
      <c r="F40" t="s">
        <v>135</v>
      </c>
      <c r="G40" s="119">
        <v>1550</v>
      </c>
      <c r="H40" s="119">
        <v>1550</v>
      </c>
    </row>
    <row r="41" spans="1:8" hidden="1" x14ac:dyDescent="0.35">
      <c r="A41" t="s">
        <v>97</v>
      </c>
      <c r="B41" s="29" t="s">
        <v>26</v>
      </c>
      <c r="C41" s="29">
        <v>2</v>
      </c>
      <c r="D41" s="29">
        <v>74</v>
      </c>
      <c r="E41" t="s">
        <v>124</v>
      </c>
      <c r="F41" t="s">
        <v>136</v>
      </c>
      <c r="G41" s="119">
        <v>75000</v>
      </c>
      <c r="H41" s="119">
        <v>75000</v>
      </c>
    </row>
    <row r="42" spans="1:8" hidden="1" x14ac:dyDescent="0.35">
      <c r="A42" t="s">
        <v>97</v>
      </c>
      <c r="B42" s="29" t="s">
        <v>26</v>
      </c>
      <c r="C42" s="29">
        <v>2</v>
      </c>
      <c r="D42" s="29">
        <v>75</v>
      </c>
      <c r="E42" t="s">
        <v>124</v>
      </c>
      <c r="F42" t="s">
        <v>124</v>
      </c>
      <c r="G42" s="119">
        <v>10000</v>
      </c>
      <c r="H42" s="119">
        <v>10000</v>
      </c>
    </row>
    <row r="43" spans="1:8" hidden="1" x14ac:dyDescent="0.35">
      <c r="A43" t="s">
        <v>97</v>
      </c>
      <c r="B43" s="29" t="s">
        <v>26</v>
      </c>
      <c r="C43" s="29">
        <v>2</v>
      </c>
      <c r="D43" s="29">
        <v>76</v>
      </c>
      <c r="E43" t="s">
        <v>137</v>
      </c>
      <c r="F43" t="s">
        <v>138</v>
      </c>
      <c r="G43" s="119">
        <v>110000</v>
      </c>
      <c r="H43" s="119">
        <v>110000</v>
      </c>
    </row>
    <row r="44" spans="1:8" hidden="1" x14ac:dyDescent="0.35">
      <c r="A44" t="s">
        <v>97</v>
      </c>
      <c r="B44" s="29" t="s">
        <v>26</v>
      </c>
      <c r="C44" s="29">
        <v>2</v>
      </c>
      <c r="D44" s="29">
        <v>77</v>
      </c>
      <c r="E44" t="s">
        <v>137</v>
      </c>
      <c r="F44" t="s">
        <v>139</v>
      </c>
      <c r="G44" s="119">
        <v>32000</v>
      </c>
      <c r="H44" s="119">
        <v>32000</v>
      </c>
    </row>
    <row r="45" spans="1:8" hidden="1" x14ac:dyDescent="0.35">
      <c r="A45" t="s">
        <v>97</v>
      </c>
      <c r="B45" s="29" t="s">
        <v>26</v>
      </c>
      <c r="C45" s="29">
        <v>2</v>
      </c>
      <c r="D45" s="29">
        <v>78</v>
      </c>
      <c r="E45" t="s">
        <v>137</v>
      </c>
      <c r="F45" t="s">
        <v>140</v>
      </c>
      <c r="G45" s="119">
        <v>18000</v>
      </c>
      <c r="H45" s="119">
        <v>18000</v>
      </c>
    </row>
    <row r="46" spans="1:8" hidden="1" x14ac:dyDescent="0.35">
      <c r="A46" t="s">
        <v>97</v>
      </c>
      <c r="B46" s="29" t="s">
        <v>26</v>
      </c>
      <c r="C46" s="29">
        <v>2</v>
      </c>
      <c r="D46" s="29">
        <v>79</v>
      </c>
      <c r="E46" t="s">
        <v>137</v>
      </c>
      <c r="F46" t="s">
        <v>141</v>
      </c>
      <c r="G46" s="119">
        <v>270000</v>
      </c>
      <c r="H46" s="119">
        <v>270000</v>
      </c>
    </row>
    <row r="47" spans="1:8" hidden="1" x14ac:dyDescent="0.35">
      <c r="A47" t="s">
        <v>97</v>
      </c>
      <c r="B47" s="29" t="s">
        <v>26</v>
      </c>
      <c r="C47" s="29">
        <v>2</v>
      </c>
      <c r="D47" s="29">
        <v>80</v>
      </c>
      <c r="E47" t="s">
        <v>137</v>
      </c>
      <c r="F47" t="s">
        <v>142</v>
      </c>
      <c r="G47" s="119">
        <v>0</v>
      </c>
      <c r="H47" s="119">
        <v>0</v>
      </c>
    </row>
    <row r="48" spans="1:8" hidden="1" x14ac:dyDescent="0.35">
      <c r="A48" t="s">
        <v>97</v>
      </c>
      <c r="B48" s="29" t="s">
        <v>26</v>
      </c>
      <c r="C48" s="29">
        <v>2</v>
      </c>
      <c r="D48" s="29">
        <v>81</v>
      </c>
      <c r="E48" t="s">
        <v>137</v>
      </c>
      <c r="F48" t="s">
        <v>143</v>
      </c>
      <c r="G48" s="119">
        <v>275000</v>
      </c>
      <c r="H48" s="119">
        <v>275000</v>
      </c>
    </row>
    <row r="49" spans="1:8" hidden="1" x14ac:dyDescent="0.35">
      <c r="A49" t="s">
        <v>97</v>
      </c>
      <c r="B49" s="29" t="s">
        <v>26</v>
      </c>
      <c r="C49" s="29">
        <v>2</v>
      </c>
      <c r="D49" s="29">
        <v>82</v>
      </c>
      <c r="E49" t="s">
        <v>137</v>
      </c>
      <c r="F49" t="s">
        <v>144</v>
      </c>
      <c r="G49" s="119">
        <v>25000</v>
      </c>
      <c r="H49" s="119">
        <v>25000</v>
      </c>
    </row>
    <row r="50" spans="1:8" hidden="1" x14ac:dyDescent="0.35">
      <c r="A50" t="s">
        <v>97</v>
      </c>
      <c r="B50" s="29" t="s">
        <v>26</v>
      </c>
      <c r="C50" s="29">
        <v>2</v>
      </c>
      <c r="D50" s="29">
        <v>83</v>
      </c>
      <c r="E50" t="s">
        <v>137</v>
      </c>
      <c r="F50" t="s">
        <v>145</v>
      </c>
      <c r="G50" s="119"/>
      <c r="H50" s="119"/>
    </row>
    <row r="51" spans="1:8" hidden="1" x14ac:dyDescent="0.35">
      <c r="A51" t="s">
        <v>97</v>
      </c>
      <c r="B51" s="29" t="s">
        <v>26</v>
      </c>
      <c r="C51" s="29">
        <v>2</v>
      </c>
      <c r="D51" s="29">
        <v>84</v>
      </c>
      <c r="E51" t="s">
        <v>137</v>
      </c>
      <c r="F51" t="s">
        <v>146</v>
      </c>
      <c r="G51" s="119"/>
      <c r="H51" s="119"/>
    </row>
    <row r="52" spans="1:8" hidden="1" x14ac:dyDescent="0.35">
      <c r="A52" t="s">
        <v>97</v>
      </c>
      <c r="B52" s="29" t="s">
        <v>26</v>
      </c>
      <c r="C52" s="29">
        <v>2</v>
      </c>
      <c r="D52" s="29">
        <v>85</v>
      </c>
      <c r="E52" t="s">
        <v>137</v>
      </c>
      <c r="F52" t="s">
        <v>147</v>
      </c>
      <c r="G52" s="119">
        <v>40000</v>
      </c>
      <c r="H52" s="119">
        <v>40000</v>
      </c>
    </row>
    <row r="53" spans="1:8" hidden="1" x14ac:dyDescent="0.35">
      <c r="A53" t="s">
        <v>97</v>
      </c>
      <c r="B53" s="29" t="s">
        <v>26</v>
      </c>
      <c r="C53" s="29">
        <v>2</v>
      </c>
      <c r="D53" s="29">
        <v>86</v>
      </c>
      <c r="E53" t="s">
        <v>137</v>
      </c>
      <c r="F53" t="s">
        <v>148</v>
      </c>
      <c r="G53" s="119">
        <v>824284</v>
      </c>
      <c r="H53" s="119">
        <v>824284</v>
      </c>
    </row>
    <row r="54" spans="1:8" hidden="1" x14ac:dyDescent="0.35">
      <c r="A54" t="s">
        <v>97</v>
      </c>
      <c r="B54" s="29" t="s">
        <v>26</v>
      </c>
      <c r="C54" s="29">
        <v>2</v>
      </c>
      <c r="D54" s="29">
        <v>87</v>
      </c>
      <c r="E54" t="s">
        <v>137</v>
      </c>
      <c r="F54" t="s">
        <v>149</v>
      </c>
      <c r="G54" s="119">
        <v>540000</v>
      </c>
      <c r="H54" s="119">
        <v>540000</v>
      </c>
    </row>
    <row r="55" spans="1:8" hidden="1" x14ac:dyDescent="0.35">
      <c r="A55" t="s">
        <v>97</v>
      </c>
      <c r="B55" s="29" t="s">
        <v>26</v>
      </c>
      <c r="C55" s="29">
        <v>2</v>
      </c>
      <c r="D55" s="29">
        <v>88</v>
      </c>
      <c r="E55" t="s">
        <v>137</v>
      </c>
      <c r="F55" t="s">
        <v>150</v>
      </c>
      <c r="G55" s="119">
        <v>377485</v>
      </c>
      <c r="H55" s="119">
        <v>377485</v>
      </c>
    </row>
    <row r="56" spans="1:8" hidden="1" x14ac:dyDescent="0.35">
      <c r="A56" t="s">
        <v>97</v>
      </c>
      <c r="B56" s="29" t="s">
        <v>26</v>
      </c>
      <c r="C56" s="29">
        <v>2</v>
      </c>
      <c r="D56" s="29">
        <v>89</v>
      </c>
      <c r="E56" t="s">
        <v>137</v>
      </c>
      <c r="F56" t="s">
        <v>151</v>
      </c>
      <c r="G56" s="117">
        <v>7000</v>
      </c>
      <c r="H56" s="117">
        <v>7000</v>
      </c>
    </row>
    <row r="57" spans="1:8" hidden="1" x14ac:dyDescent="0.35">
      <c r="A57" t="s">
        <v>97</v>
      </c>
      <c r="B57" s="29" t="s">
        <v>26</v>
      </c>
      <c r="C57" s="29">
        <v>2</v>
      </c>
      <c r="D57" s="29">
        <v>90</v>
      </c>
      <c r="E57" t="s">
        <v>137</v>
      </c>
      <c r="F57" t="s">
        <v>152</v>
      </c>
      <c r="G57" s="117">
        <v>1500</v>
      </c>
      <c r="H57" s="117">
        <v>1500</v>
      </c>
    </row>
    <row r="58" spans="1:8" hidden="1" x14ac:dyDescent="0.35">
      <c r="A58" t="s">
        <v>97</v>
      </c>
      <c r="B58" s="29" t="s">
        <v>26</v>
      </c>
      <c r="D58" s="29">
        <v>2</v>
      </c>
      <c r="E58" t="s">
        <v>122</v>
      </c>
      <c r="F58" t="s">
        <v>153</v>
      </c>
      <c r="G58" s="117">
        <v>20000</v>
      </c>
      <c r="H58" s="117">
        <v>20000</v>
      </c>
    </row>
    <row r="59" spans="1:8" hidden="1" x14ac:dyDescent="0.35">
      <c r="A59" t="s">
        <v>97</v>
      </c>
      <c r="B59" s="29" t="s">
        <v>26</v>
      </c>
      <c r="D59" s="29">
        <v>3</v>
      </c>
      <c r="E59" t="s">
        <v>122</v>
      </c>
      <c r="F59" s="2" t="s">
        <v>154</v>
      </c>
      <c r="G59" s="119">
        <f>2963000*0.04</f>
        <v>118520</v>
      </c>
      <c r="H59" s="190">
        <f>H57*0.04</f>
        <v>60</v>
      </c>
    </row>
    <row r="60" spans="1:8" hidden="1" x14ac:dyDescent="0.35">
      <c r="A60" t="s">
        <v>97</v>
      </c>
      <c r="B60" s="29" t="s">
        <v>26</v>
      </c>
      <c r="D60" s="29">
        <v>4</v>
      </c>
      <c r="E60" t="s">
        <v>155</v>
      </c>
      <c r="F60" t="s">
        <v>156</v>
      </c>
      <c r="G60" s="119">
        <v>54781</v>
      </c>
      <c r="H60" s="190">
        <f>H57*0.0145</f>
        <v>21.75</v>
      </c>
    </row>
    <row r="61" spans="1:8" hidden="1" x14ac:dyDescent="0.35">
      <c r="A61" t="s">
        <v>97</v>
      </c>
      <c r="B61" s="29" t="s">
        <v>26</v>
      </c>
      <c r="D61" s="29">
        <v>5</v>
      </c>
      <c r="E61" t="s">
        <v>155</v>
      </c>
      <c r="F61" t="s">
        <v>157</v>
      </c>
      <c r="G61" s="119">
        <f>G57*0.214</f>
        <v>321</v>
      </c>
      <c r="H61" s="190">
        <f>H57*0.214</f>
        <v>321</v>
      </c>
    </row>
    <row r="62" spans="1:8" hidden="1" x14ac:dyDescent="0.35">
      <c r="A62" t="s">
        <v>97</v>
      </c>
      <c r="B62" s="29" t="s">
        <v>26</v>
      </c>
      <c r="D62" s="29">
        <v>6</v>
      </c>
      <c r="E62" t="s">
        <v>155</v>
      </c>
      <c r="F62" t="s">
        <v>158</v>
      </c>
      <c r="G62" s="119">
        <f>(71*0.8)*6334.56</f>
        <v>359803.00800000003</v>
      </c>
      <c r="H62" s="190">
        <f>('23-24 AAL Staffing'!B57*0.8)*6334.56</f>
        <v>375005.95200000005</v>
      </c>
    </row>
    <row r="63" spans="1:8" hidden="1" x14ac:dyDescent="0.35">
      <c r="A63" t="s">
        <v>97</v>
      </c>
      <c r="B63" s="29" t="s">
        <v>26</v>
      </c>
      <c r="D63" s="29">
        <v>7</v>
      </c>
      <c r="E63" t="s">
        <v>124</v>
      </c>
      <c r="F63" t="s">
        <v>159</v>
      </c>
      <c r="G63" s="117">
        <v>13000</v>
      </c>
      <c r="H63" s="190">
        <f>(H57+H66+H69)*0.017</f>
        <v>18776.5</v>
      </c>
    </row>
    <row r="64" spans="1:8" hidden="1" x14ac:dyDescent="0.35">
      <c r="A64" t="s">
        <v>97</v>
      </c>
      <c r="B64" s="29" t="s">
        <v>26</v>
      </c>
      <c r="D64" s="29">
        <v>8</v>
      </c>
      <c r="E64" t="s">
        <v>124</v>
      </c>
      <c r="F64" t="s">
        <v>160</v>
      </c>
      <c r="G64" s="117">
        <v>45400</v>
      </c>
      <c r="H64" s="190">
        <f>(H57+H66+H69)*0.0126</f>
        <v>13916.7</v>
      </c>
    </row>
    <row r="65" spans="1:8" hidden="1" x14ac:dyDescent="0.35">
      <c r="A65" t="s">
        <v>97</v>
      </c>
      <c r="B65" s="29" t="s">
        <v>26</v>
      </c>
      <c r="D65" s="29">
        <v>9</v>
      </c>
      <c r="E65" t="s">
        <v>124</v>
      </c>
      <c r="F65" t="s">
        <v>161</v>
      </c>
      <c r="G65" s="117"/>
      <c r="H65" s="128">
        <f>'23-24 AAL Staffing'!B57*8.4</f>
        <v>621.6</v>
      </c>
    </row>
    <row r="66" spans="1:8" hidden="1" x14ac:dyDescent="0.35">
      <c r="A66" t="s">
        <v>97</v>
      </c>
      <c r="B66" s="29" t="s">
        <v>26</v>
      </c>
      <c r="D66" s="29">
        <v>10</v>
      </c>
      <c r="E66" t="s">
        <v>122</v>
      </c>
      <c r="F66" t="s">
        <v>77</v>
      </c>
      <c r="G66" s="119">
        <v>207000</v>
      </c>
      <c r="H66" s="119">
        <f>'23-24 AAL Staffing'!F42</f>
        <v>213000</v>
      </c>
    </row>
    <row r="67" spans="1:8" hidden="1" x14ac:dyDescent="0.35">
      <c r="A67" t="s">
        <v>97</v>
      </c>
      <c r="B67" s="29" t="s">
        <v>26</v>
      </c>
      <c r="D67" s="29">
        <v>11</v>
      </c>
      <c r="E67" t="s">
        <v>155</v>
      </c>
      <c r="F67" t="s">
        <v>162</v>
      </c>
      <c r="G67" s="117">
        <v>3002</v>
      </c>
      <c r="H67" s="119">
        <f>H66*0.0145</f>
        <v>3088.5</v>
      </c>
    </row>
    <row r="68" spans="1:8" hidden="1" x14ac:dyDescent="0.35">
      <c r="A68" t="s">
        <v>97</v>
      </c>
      <c r="B68" s="29" t="s">
        <v>26</v>
      </c>
      <c r="D68" s="29">
        <v>12</v>
      </c>
      <c r="E68" t="s">
        <v>155</v>
      </c>
      <c r="F68" t="s">
        <v>163</v>
      </c>
      <c r="G68" s="117">
        <f>G66*0.214</f>
        <v>44298</v>
      </c>
      <c r="H68" s="119">
        <f>H66*0.214</f>
        <v>45582</v>
      </c>
    </row>
    <row r="69" spans="1:8" hidden="1" x14ac:dyDescent="0.35">
      <c r="A69" t="s">
        <v>97</v>
      </c>
      <c r="B69" s="29" t="s">
        <v>26</v>
      </c>
      <c r="D69" s="29">
        <v>13</v>
      </c>
      <c r="E69" t="s">
        <v>122</v>
      </c>
      <c r="F69" t="s">
        <v>164</v>
      </c>
      <c r="G69" s="117">
        <v>715000</v>
      </c>
      <c r="H69" s="190">
        <f>'23-24 AAL Staffing'!F55</f>
        <v>890000</v>
      </c>
    </row>
    <row r="70" spans="1:8" hidden="1" x14ac:dyDescent="0.35">
      <c r="A70" t="s">
        <v>97</v>
      </c>
      <c r="B70" s="29" t="s">
        <v>26</v>
      </c>
      <c r="D70" s="29">
        <v>14</v>
      </c>
      <c r="E70" t="s">
        <v>122</v>
      </c>
      <c r="F70" t="s">
        <v>165</v>
      </c>
      <c r="G70" s="117">
        <v>0</v>
      </c>
      <c r="H70" s="117">
        <v>0</v>
      </c>
    </row>
    <row r="71" spans="1:8" hidden="1" x14ac:dyDescent="0.35">
      <c r="A71" t="s">
        <v>97</v>
      </c>
      <c r="B71" s="29" t="s">
        <v>26</v>
      </c>
      <c r="D71" s="29">
        <v>15</v>
      </c>
      <c r="E71" t="s">
        <v>122</v>
      </c>
      <c r="F71" t="s">
        <v>166</v>
      </c>
      <c r="G71" s="117">
        <v>20000</v>
      </c>
      <c r="H71" s="117">
        <v>20000</v>
      </c>
    </row>
    <row r="72" spans="1:8" hidden="1" x14ac:dyDescent="0.35">
      <c r="A72" t="s">
        <v>97</v>
      </c>
      <c r="B72" s="29" t="s">
        <v>26</v>
      </c>
      <c r="D72" s="29">
        <v>16</v>
      </c>
      <c r="E72" t="s">
        <v>155</v>
      </c>
      <c r="F72" t="s">
        <v>167</v>
      </c>
      <c r="G72" s="117">
        <v>10368</v>
      </c>
      <c r="H72" s="190">
        <f>H69*0.0145</f>
        <v>12905</v>
      </c>
    </row>
    <row r="73" spans="1:8" hidden="1" x14ac:dyDescent="0.35">
      <c r="A73" t="s">
        <v>97</v>
      </c>
      <c r="B73" s="29" t="s">
        <v>26</v>
      </c>
      <c r="D73" s="29">
        <v>17</v>
      </c>
      <c r="E73" t="s">
        <v>155</v>
      </c>
      <c r="F73" t="s">
        <v>168</v>
      </c>
      <c r="G73" s="117">
        <f>G69*0.214</f>
        <v>153010</v>
      </c>
      <c r="H73" s="190">
        <f>H69*0.214</f>
        <v>190460</v>
      </c>
    </row>
    <row r="74" spans="1:8" hidden="1" x14ac:dyDescent="0.35">
      <c r="A74" t="s">
        <v>97</v>
      </c>
      <c r="B74" s="29" t="s">
        <v>26</v>
      </c>
      <c r="D74" s="29">
        <v>18</v>
      </c>
      <c r="E74" t="s">
        <v>155</v>
      </c>
      <c r="F74" t="s">
        <v>121</v>
      </c>
      <c r="G74" s="117"/>
      <c r="H74" s="117"/>
    </row>
    <row r="75" spans="1:8" hidden="1" x14ac:dyDescent="0.35">
      <c r="A75" t="s">
        <v>97</v>
      </c>
      <c r="B75" s="29" t="s">
        <v>26</v>
      </c>
      <c r="D75" s="29">
        <v>19</v>
      </c>
      <c r="E75" t="s">
        <v>169</v>
      </c>
      <c r="F75" t="s">
        <v>170</v>
      </c>
      <c r="G75" s="117">
        <v>10000</v>
      </c>
      <c r="H75" s="117">
        <v>10000</v>
      </c>
    </row>
    <row r="76" spans="1:8" hidden="1" x14ac:dyDescent="0.35">
      <c r="A76" t="s">
        <v>97</v>
      </c>
      <c r="B76" s="29" t="s">
        <v>26</v>
      </c>
      <c r="D76" s="29">
        <v>20</v>
      </c>
      <c r="E76" t="s">
        <v>169</v>
      </c>
      <c r="F76" t="s">
        <v>171</v>
      </c>
      <c r="G76" s="117">
        <v>5000</v>
      </c>
      <c r="H76" s="117">
        <v>5000</v>
      </c>
    </row>
    <row r="77" spans="1:8" hidden="1" x14ac:dyDescent="0.35">
      <c r="A77" t="s">
        <v>97</v>
      </c>
      <c r="B77" s="29" t="s">
        <v>26</v>
      </c>
      <c r="D77" s="29">
        <v>21</v>
      </c>
      <c r="E77" t="s">
        <v>172</v>
      </c>
      <c r="F77" t="s">
        <v>173</v>
      </c>
      <c r="G77" s="117">
        <v>0</v>
      </c>
      <c r="H77" s="117">
        <v>40000</v>
      </c>
    </row>
    <row r="78" spans="1:8" hidden="1" x14ac:dyDescent="0.35">
      <c r="A78" t="s">
        <v>97</v>
      </c>
      <c r="B78" s="29" t="s">
        <v>26</v>
      </c>
      <c r="D78" s="29">
        <v>22</v>
      </c>
      <c r="E78" t="s">
        <v>172</v>
      </c>
      <c r="F78" t="s">
        <v>174</v>
      </c>
      <c r="G78" s="117">
        <v>0</v>
      </c>
      <c r="H78" s="117">
        <v>0</v>
      </c>
    </row>
    <row r="79" spans="1:8" hidden="1" x14ac:dyDescent="0.35">
      <c r="A79" t="s">
        <v>97</v>
      </c>
      <c r="B79" s="29" t="s">
        <v>26</v>
      </c>
      <c r="D79" s="29">
        <v>23</v>
      </c>
      <c r="E79" t="s">
        <v>172</v>
      </c>
      <c r="F79" t="s">
        <v>175</v>
      </c>
      <c r="G79" s="117">
        <v>30000</v>
      </c>
      <c r="H79" s="117">
        <v>30000</v>
      </c>
    </row>
    <row r="80" spans="1:8" hidden="1" x14ac:dyDescent="0.35">
      <c r="A80" t="s">
        <v>97</v>
      </c>
      <c r="B80" s="29" t="s">
        <v>26</v>
      </c>
      <c r="D80" s="29">
        <v>24</v>
      </c>
      <c r="E80" t="s">
        <v>172</v>
      </c>
      <c r="F80" t="s">
        <v>176</v>
      </c>
      <c r="G80" s="117">
        <v>0</v>
      </c>
      <c r="H80" s="190">
        <v>50000</v>
      </c>
    </row>
    <row r="81" spans="1:8" hidden="1" x14ac:dyDescent="0.35">
      <c r="A81" t="s">
        <v>97</v>
      </c>
      <c r="B81" s="29" t="s">
        <v>26</v>
      </c>
      <c r="D81" s="29">
        <v>25</v>
      </c>
      <c r="E81" t="s">
        <v>172</v>
      </c>
      <c r="F81" s="2" t="s">
        <v>177</v>
      </c>
      <c r="G81" s="120">
        <v>10000</v>
      </c>
      <c r="H81" s="120">
        <v>10000</v>
      </c>
    </row>
    <row r="82" spans="1:8" hidden="1" x14ac:dyDescent="0.35">
      <c r="A82" t="s">
        <v>97</v>
      </c>
      <c r="B82" s="29" t="s">
        <v>26</v>
      </c>
      <c r="D82" s="29">
        <v>26</v>
      </c>
      <c r="E82" t="s">
        <v>172</v>
      </c>
      <c r="F82" s="2" t="s">
        <v>178</v>
      </c>
      <c r="G82" s="120">
        <v>10000</v>
      </c>
      <c r="H82" s="120">
        <v>10000</v>
      </c>
    </row>
    <row r="83" spans="1:8" hidden="1" x14ac:dyDescent="0.35">
      <c r="A83" t="s">
        <v>97</v>
      </c>
      <c r="B83" s="29" t="s">
        <v>26</v>
      </c>
      <c r="D83" s="29">
        <v>27</v>
      </c>
      <c r="E83" t="s">
        <v>172</v>
      </c>
      <c r="F83" t="s">
        <v>179</v>
      </c>
      <c r="G83" s="117">
        <v>15000</v>
      </c>
      <c r="H83" s="117">
        <v>15000</v>
      </c>
    </row>
    <row r="84" spans="1:8" hidden="1" x14ac:dyDescent="0.35">
      <c r="A84" t="s">
        <v>97</v>
      </c>
      <c r="B84" s="29" t="s">
        <v>26</v>
      </c>
      <c r="D84" s="29">
        <v>28</v>
      </c>
      <c r="E84" t="s">
        <v>172</v>
      </c>
      <c r="F84" t="s">
        <v>180</v>
      </c>
      <c r="G84" s="117">
        <v>0</v>
      </c>
      <c r="H84" s="117">
        <v>0</v>
      </c>
    </row>
    <row r="85" spans="1:8" hidden="1" x14ac:dyDescent="0.35">
      <c r="A85" t="s">
        <v>97</v>
      </c>
      <c r="B85" s="29" t="s">
        <v>26</v>
      </c>
      <c r="D85" s="29">
        <v>29</v>
      </c>
      <c r="E85" t="s">
        <v>181</v>
      </c>
      <c r="F85" t="s">
        <v>182</v>
      </c>
      <c r="G85" s="117">
        <v>0</v>
      </c>
      <c r="H85" s="117">
        <v>0</v>
      </c>
    </row>
    <row r="86" spans="1:8" hidden="1" x14ac:dyDescent="0.35">
      <c r="A86" t="s">
        <v>97</v>
      </c>
      <c r="B86" s="29" t="s">
        <v>26</v>
      </c>
      <c r="D86" s="29">
        <v>30</v>
      </c>
      <c r="E86" t="s">
        <v>181</v>
      </c>
      <c r="F86" t="s">
        <v>183</v>
      </c>
      <c r="G86" s="117">
        <v>40000</v>
      </c>
      <c r="H86" s="117">
        <v>40000</v>
      </c>
    </row>
    <row r="87" spans="1:8" hidden="1" x14ac:dyDescent="0.35">
      <c r="A87" t="s">
        <v>97</v>
      </c>
      <c r="B87" s="29" t="s">
        <v>26</v>
      </c>
      <c r="D87" s="29">
        <v>31</v>
      </c>
      <c r="E87" t="s">
        <v>181</v>
      </c>
      <c r="F87" t="s">
        <v>184</v>
      </c>
      <c r="G87" s="117">
        <v>40000</v>
      </c>
      <c r="H87" s="117">
        <v>40000</v>
      </c>
    </row>
    <row r="88" spans="1:8" hidden="1" x14ac:dyDescent="0.35">
      <c r="A88" t="s">
        <v>97</v>
      </c>
      <c r="B88" s="29" t="s">
        <v>26</v>
      </c>
      <c r="D88" s="29">
        <v>32</v>
      </c>
      <c r="E88" t="s">
        <v>181</v>
      </c>
      <c r="F88" t="s">
        <v>185</v>
      </c>
      <c r="G88" s="117">
        <v>80000</v>
      </c>
      <c r="H88" s="117">
        <v>80000</v>
      </c>
    </row>
    <row r="89" spans="1:8" hidden="1" x14ac:dyDescent="0.35">
      <c r="A89" t="s">
        <v>97</v>
      </c>
      <c r="B89" s="29" t="s">
        <v>26</v>
      </c>
      <c r="D89" s="29">
        <v>33</v>
      </c>
      <c r="E89" t="s">
        <v>181</v>
      </c>
      <c r="F89" t="s">
        <v>186</v>
      </c>
      <c r="G89" s="117">
        <v>22000</v>
      </c>
      <c r="H89" s="117">
        <v>22000</v>
      </c>
    </row>
    <row r="90" spans="1:8" hidden="1" x14ac:dyDescent="0.35">
      <c r="A90" t="s">
        <v>97</v>
      </c>
      <c r="B90" s="29" t="s">
        <v>26</v>
      </c>
      <c r="D90" s="29">
        <v>34</v>
      </c>
      <c r="E90" t="s">
        <v>181</v>
      </c>
      <c r="F90" t="s">
        <v>187</v>
      </c>
      <c r="G90" s="117">
        <v>5000</v>
      </c>
      <c r="H90" s="117">
        <v>5000</v>
      </c>
    </row>
    <row r="91" spans="1:8" hidden="1" x14ac:dyDescent="0.35">
      <c r="A91" t="s">
        <v>97</v>
      </c>
      <c r="B91" s="29" t="s">
        <v>26</v>
      </c>
      <c r="D91" s="29">
        <v>35</v>
      </c>
      <c r="E91" t="s">
        <v>181</v>
      </c>
      <c r="F91" t="s">
        <v>188</v>
      </c>
      <c r="G91" s="117">
        <v>0</v>
      </c>
      <c r="H91" s="117">
        <v>0</v>
      </c>
    </row>
    <row r="92" spans="1:8" hidden="1" x14ac:dyDescent="0.35">
      <c r="A92" t="s">
        <v>97</v>
      </c>
      <c r="B92" s="29" t="s">
        <v>26</v>
      </c>
      <c r="D92" s="29">
        <v>36</v>
      </c>
      <c r="E92" t="s">
        <v>181</v>
      </c>
      <c r="F92" t="s">
        <v>189</v>
      </c>
      <c r="G92" s="117">
        <v>40000</v>
      </c>
      <c r="H92" s="117">
        <v>40000</v>
      </c>
    </row>
    <row r="93" spans="1:8" hidden="1" x14ac:dyDescent="0.35">
      <c r="A93" t="s">
        <v>97</v>
      </c>
      <c r="B93" s="29" t="s">
        <v>26</v>
      </c>
      <c r="D93" s="29">
        <v>37</v>
      </c>
      <c r="E93" t="s">
        <v>181</v>
      </c>
      <c r="F93" t="s">
        <v>190</v>
      </c>
      <c r="G93" s="117">
        <v>40000</v>
      </c>
      <c r="H93" s="117">
        <v>40000</v>
      </c>
    </row>
    <row r="94" spans="1:8" hidden="1" x14ac:dyDescent="0.35">
      <c r="A94" t="s">
        <v>97</v>
      </c>
      <c r="B94" s="29" t="s">
        <v>26</v>
      </c>
      <c r="D94" s="29">
        <v>38</v>
      </c>
      <c r="E94" t="s">
        <v>181</v>
      </c>
      <c r="F94" t="s">
        <v>191</v>
      </c>
      <c r="G94" s="117">
        <v>40000</v>
      </c>
      <c r="H94" s="117">
        <v>40000</v>
      </c>
    </row>
    <row r="95" spans="1:8" hidden="1" x14ac:dyDescent="0.35">
      <c r="A95" t="s">
        <v>97</v>
      </c>
      <c r="B95" s="29" t="s">
        <v>26</v>
      </c>
      <c r="D95" s="29">
        <v>39</v>
      </c>
      <c r="E95" t="s">
        <v>181</v>
      </c>
      <c r="F95" t="s">
        <v>192</v>
      </c>
      <c r="G95" s="117">
        <v>115000</v>
      </c>
      <c r="H95" s="117">
        <v>115000</v>
      </c>
    </row>
    <row r="96" spans="1:8" hidden="1" x14ac:dyDescent="0.35">
      <c r="A96" t="s">
        <v>97</v>
      </c>
      <c r="B96" s="29" t="s">
        <v>26</v>
      </c>
      <c r="D96" s="29">
        <v>40</v>
      </c>
      <c r="E96" t="s">
        <v>181</v>
      </c>
      <c r="F96" t="s">
        <v>193</v>
      </c>
      <c r="G96" s="117">
        <v>0</v>
      </c>
      <c r="H96" s="117">
        <v>0</v>
      </c>
    </row>
    <row r="97" spans="1:8" hidden="1" x14ac:dyDescent="0.35">
      <c r="A97" t="s">
        <v>97</v>
      </c>
      <c r="B97" s="29" t="s">
        <v>26</v>
      </c>
      <c r="D97" s="29">
        <v>41</v>
      </c>
      <c r="E97" t="s">
        <v>181</v>
      </c>
      <c r="F97" t="s">
        <v>194</v>
      </c>
      <c r="G97" s="117">
        <v>0</v>
      </c>
      <c r="H97" s="117">
        <v>0</v>
      </c>
    </row>
    <row r="98" spans="1:8" hidden="1" x14ac:dyDescent="0.35">
      <c r="A98" t="s">
        <v>97</v>
      </c>
      <c r="B98" s="29" t="s">
        <v>26</v>
      </c>
      <c r="D98" s="29">
        <v>42</v>
      </c>
      <c r="E98" t="s">
        <v>169</v>
      </c>
      <c r="F98" t="s">
        <v>195</v>
      </c>
      <c r="G98" s="117">
        <v>6500</v>
      </c>
      <c r="H98" s="117">
        <v>6500</v>
      </c>
    </row>
    <row r="99" spans="1:8" hidden="1" x14ac:dyDescent="0.35">
      <c r="A99" t="s">
        <v>97</v>
      </c>
      <c r="B99" s="29" t="s">
        <v>26</v>
      </c>
      <c r="D99" s="29">
        <v>43</v>
      </c>
      <c r="E99" t="s">
        <v>169</v>
      </c>
      <c r="F99" t="s">
        <v>196</v>
      </c>
      <c r="G99" s="119">
        <v>514788</v>
      </c>
      <c r="H99" s="119">
        <v>514788</v>
      </c>
    </row>
    <row r="100" spans="1:8" hidden="1" x14ac:dyDescent="0.35">
      <c r="A100" t="s">
        <v>97</v>
      </c>
      <c r="B100" s="29" t="s">
        <v>26</v>
      </c>
      <c r="D100" s="29">
        <v>44</v>
      </c>
      <c r="E100" t="s">
        <v>169</v>
      </c>
      <c r="F100" t="s">
        <v>197</v>
      </c>
      <c r="G100" s="119">
        <v>12288</v>
      </c>
      <c r="H100" s="119">
        <v>12288</v>
      </c>
    </row>
    <row r="101" spans="1:8" hidden="1" x14ac:dyDescent="0.35">
      <c r="A101" t="s">
        <v>97</v>
      </c>
      <c r="B101" s="29" t="s">
        <v>26</v>
      </c>
      <c r="D101" s="29">
        <v>45</v>
      </c>
      <c r="E101" t="s">
        <v>169</v>
      </c>
      <c r="F101" t="s">
        <v>198</v>
      </c>
      <c r="G101" s="119">
        <v>0</v>
      </c>
      <c r="H101" s="119">
        <v>0</v>
      </c>
    </row>
    <row r="102" spans="1:8" hidden="1" x14ac:dyDescent="0.35">
      <c r="A102" t="s">
        <v>97</v>
      </c>
      <c r="B102" s="29" t="s">
        <v>26</v>
      </c>
      <c r="D102" s="29">
        <v>46</v>
      </c>
      <c r="E102" t="s">
        <v>199</v>
      </c>
      <c r="F102" t="s">
        <v>200</v>
      </c>
      <c r="G102" s="119">
        <v>161000</v>
      </c>
      <c r="H102" s="119">
        <v>161000</v>
      </c>
    </row>
    <row r="103" spans="1:8" hidden="1" x14ac:dyDescent="0.35">
      <c r="A103" t="s">
        <v>97</v>
      </c>
      <c r="B103" s="29" t="s">
        <v>26</v>
      </c>
      <c r="D103" s="29">
        <v>47</v>
      </c>
      <c r="E103" t="s">
        <v>199</v>
      </c>
      <c r="F103" t="s">
        <v>201</v>
      </c>
      <c r="G103" s="119">
        <v>221000</v>
      </c>
      <c r="H103" s="119">
        <v>221000</v>
      </c>
    </row>
    <row r="104" spans="1:8" hidden="1" x14ac:dyDescent="0.35">
      <c r="A104" t="s">
        <v>97</v>
      </c>
      <c r="B104" s="29" t="s">
        <v>26</v>
      </c>
      <c r="D104" s="29">
        <v>48</v>
      </c>
      <c r="E104" t="s">
        <v>199</v>
      </c>
      <c r="F104" t="s">
        <v>202</v>
      </c>
      <c r="G104" s="119">
        <v>1700000</v>
      </c>
      <c r="H104" s="119">
        <v>1700000</v>
      </c>
    </row>
    <row r="105" spans="1:8" hidden="1" x14ac:dyDescent="0.35">
      <c r="A105" t="s">
        <v>97</v>
      </c>
      <c r="B105" s="29" t="s">
        <v>26</v>
      </c>
      <c r="D105" s="29">
        <v>49</v>
      </c>
      <c r="E105" t="s">
        <v>199</v>
      </c>
      <c r="F105" t="s">
        <v>203</v>
      </c>
      <c r="G105" s="119">
        <v>2000</v>
      </c>
      <c r="H105" s="119">
        <v>2000</v>
      </c>
    </row>
    <row r="106" spans="1:8" hidden="1" x14ac:dyDescent="0.35">
      <c r="A106" t="s">
        <v>97</v>
      </c>
      <c r="B106" s="29" t="s">
        <v>26</v>
      </c>
      <c r="D106" s="29">
        <v>50</v>
      </c>
      <c r="E106" t="s">
        <v>199</v>
      </c>
      <c r="F106" t="s">
        <v>204</v>
      </c>
      <c r="G106" s="119">
        <v>30000</v>
      </c>
      <c r="H106" s="119">
        <v>30000</v>
      </c>
    </row>
    <row r="107" spans="1:8" hidden="1" x14ac:dyDescent="0.35">
      <c r="A107" t="s">
        <v>97</v>
      </c>
      <c r="B107" s="29" t="s">
        <v>26</v>
      </c>
      <c r="D107" s="29">
        <v>51</v>
      </c>
      <c r="E107" t="s">
        <v>199</v>
      </c>
      <c r="F107" t="s">
        <v>205</v>
      </c>
      <c r="G107" s="119">
        <v>80000</v>
      </c>
      <c r="H107" s="119">
        <v>80000</v>
      </c>
    </row>
    <row r="108" spans="1:8" hidden="1" x14ac:dyDescent="0.35">
      <c r="A108" t="s">
        <v>97</v>
      </c>
      <c r="B108" s="29" t="s">
        <v>26</v>
      </c>
      <c r="D108" s="29">
        <v>52</v>
      </c>
      <c r="E108" t="s">
        <v>199</v>
      </c>
      <c r="F108" t="s">
        <v>206</v>
      </c>
      <c r="G108" s="119">
        <v>15000</v>
      </c>
      <c r="H108" s="119">
        <v>15000</v>
      </c>
    </row>
    <row r="109" spans="1:8" hidden="1" x14ac:dyDescent="0.35">
      <c r="A109" t="s">
        <v>97</v>
      </c>
      <c r="B109" s="29" t="s">
        <v>26</v>
      </c>
      <c r="D109" s="29">
        <v>53</v>
      </c>
      <c r="E109" t="s">
        <v>199</v>
      </c>
      <c r="F109" t="s">
        <v>207</v>
      </c>
      <c r="G109" s="119">
        <v>250000</v>
      </c>
      <c r="H109" s="119">
        <v>250000</v>
      </c>
    </row>
    <row r="110" spans="1:8" hidden="1" x14ac:dyDescent="0.35">
      <c r="A110" t="s">
        <v>97</v>
      </c>
      <c r="B110" s="29" t="s">
        <v>26</v>
      </c>
      <c r="D110" s="29">
        <v>54</v>
      </c>
      <c r="E110" t="s">
        <v>199</v>
      </c>
      <c r="F110" t="s">
        <v>208</v>
      </c>
      <c r="G110" s="119">
        <v>0</v>
      </c>
      <c r="H110" s="119">
        <v>0</v>
      </c>
    </row>
    <row r="111" spans="1:8" hidden="1" x14ac:dyDescent="0.35">
      <c r="A111" t="s">
        <v>97</v>
      </c>
      <c r="B111" s="29" t="s">
        <v>26</v>
      </c>
      <c r="D111" s="29">
        <v>55</v>
      </c>
      <c r="E111" t="s">
        <v>199</v>
      </c>
      <c r="F111" t="s">
        <v>209</v>
      </c>
      <c r="G111" s="119">
        <v>7400</v>
      </c>
      <c r="H111" s="119">
        <v>7400</v>
      </c>
    </row>
    <row r="112" spans="1:8" hidden="1" x14ac:dyDescent="0.35">
      <c r="A112" t="s">
        <v>97</v>
      </c>
      <c r="B112" s="29" t="s">
        <v>26</v>
      </c>
      <c r="D112" s="29">
        <v>56</v>
      </c>
      <c r="E112" t="s">
        <v>199</v>
      </c>
      <c r="F112" t="s">
        <v>210</v>
      </c>
      <c r="G112" s="119">
        <v>0</v>
      </c>
      <c r="H112" s="119">
        <v>0</v>
      </c>
    </row>
    <row r="113" spans="1:8" hidden="1" x14ac:dyDescent="0.35">
      <c r="A113" t="s">
        <v>97</v>
      </c>
      <c r="B113" s="29" t="s">
        <v>26</v>
      </c>
      <c r="D113" s="29">
        <v>57</v>
      </c>
      <c r="E113" t="s">
        <v>199</v>
      </c>
      <c r="F113" t="s">
        <v>211</v>
      </c>
      <c r="G113" s="117">
        <v>45000</v>
      </c>
      <c r="H113" s="117">
        <v>45000</v>
      </c>
    </row>
    <row r="114" spans="1:8" hidden="1" x14ac:dyDescent="0.35">
      <c r="A114" t="s">
        <v>97</v>
      </c>
      <c r="B114" s="29" t="s">
        <v>26</v>
      </c>
      <c r="D114" s="29">
        <v>58</v>
      </c>
      <c r="E114" t="s">
        <v>199</v>
      </c>
      <c r="F114" t="s">
        <v>212</v>
      </c>
      <c r="G114" s="117">
        <v>0</v>
      </c>
      <c r="H114" s="117">
        <v>0</v>
      </c>
    </row>
    <row r="115" spans="1:8" hidden="1" x14ac:dyDescent="0.35">
      <c r="A115" t="s">
        <v>97</v>
      </c>
      <c r="B115" s="29" t="s">
        <v>26</v>
      </c>
      <c r="D115" s="29">
        <v>59</v>
      </c>
      <c r="E115" t="s">
        <v>199</v>
      </c>
      <c r="F115" t="s">
        <v>213</v>
      </c>
      <c r="G115" s="117">
        <v>65000</v>
      </c>
      <c r="H115" s="117">
        <v>65000</v>
      </c>
    </row>
    <row r="116" spans="1:8" hidden="1" x14ac:dyDescent="0.35">
      <c r="A116" t="s">
        <v>97</v>
      </c>
      <c r="B116" s="29" t="s">
        <v>26</v>
      </c>
      <c r="D116" s="29">
        <v>60</v>
      </c>
      <c r="E116" t="s">
        <v>199</v>
      </c>
      <c r="F116" t="s">
        <v>214</v>
      </c>
      <c r="G116" s="117">
        <v>8700</v>
      </c>
      <c r="H116" s="117">
        <v>8700</v>
      </c>
    </row>
    <row r="117" spans="1:8" hidden="1" x14ac:dyDescent="0.35">
      <c r="A117" t="s">
        <v>215</v>
      </c>
      <c r="B117" s="29" t="s">
        <v>5</v>
      </c>
      <c r="C117" s="29">
        <v>1</v>
      </c>
      <c r="D117" s="29">
        <v>1</v>
      </c>
      <c r="E117" t="s">
        <v>7</v>
      </c>
      <c r="F117" t="s">
        <v>7</v>
      </c>
      <c r="G117" s="119">
        <v>280209</v>
      </c>
      <c r="H117" s="190">
        <v>133869</v>
      </c>
    </row>
    <row r="118" spans="1:8" hidden="1" x14ac:dyDescent="0.35">
      <c r="A118" t="s">
        <v>215</v>
      </c>
      <c r="B118" s="29" t="s">
        <v>5</v>
      </c>
      <c r="C118" s="29">
        <v>1</v>
      </c>
      <c r="D118" s="29">
        <v>2</v>
      </c>
      <c r="E118" t="s">
        <v>98</v>
      </c>
      <c r="F118" t="s">
        <v>99</v>
      </c>
      <c r="G118" s="119">
        <v>10000</v>
      </c>
      <c r="H118" s="119">
        <v>10000</v>
      </c>
    </row>
    <row r="119" spans="1:8" hidden="1" x14ac:dyDescent="0.35">
      <c r="A119" t="s">
        <v>215</v>
      </c>
      <c r="B119" s="29" t="s">
        <v>5</v>
      </c>
      <c r="C119" s="29">
        <v>1</v>
      </c>
      <c r="D119" s="29">
        <v>3</v>
      </c>
      <c r="E119" t="s">
        <v>100</v>
      </c>
      <c r="F119" t="s">
        <v>16</v>
      </c>
      <c r="G119" s="119">
        <v>400000</v>
      </c>
      <c r="H119" s="190">
        <v>200000</v>
      </c>
    </row>
    <row r="120" spans="1:8" hidden="1" x14ac:dyDescent="0.35">
      <c r="A120" t="s">
        <v>215</v>
      </c>
      <c r="B120" s="29" t="s">
        <v>5</v>
      </c>
      <c r="C120" s="29">
        <v>1</v>
      </c>
      <c r="D120" s="29">
        <v>4</v>
      </c>
      <c r="E120" t="s">
        <v>100</v>
      </c>
      <c r="F120" t="s">
        <v>101</v>
      </c>
      <c r="G120" s="119">
        <v>100000</v>
      </c>
      <c r="H120" s="190">
        <v>300000</v>
      </c>
    </row>
    <row r="121" spans="1:8" hidden="1" x14ac:dyDescent="0.35">
      <c r="A121" t="s">
        <v>215</v>
      </c>
      <c r="B121" s="29" t="s">
        <v>5</v>
      </c>
      <c r="C121" s="29">
        <v>1</v>
      </c>
      <c r="D121" s="29">
        <v>5</v>
      </c>
      <c r="E121" t="s">
        <v>102</v>
      </c>
      <c r="F121" t="s">
        <v>103</v>
      </c>
      <c r="G121" s="104">
        <v>80000</v>
      </c>
      <c r="H121" s="186">
        <v>62196</v>
      </c>
    </row>
    <row r="122" spans="1:8" hidden="1" x14ac:dyDescent="0.35">
      <c r="A122" t="s">
        <v>215</v>
      </c>
      <c r="B122" s="29" t="s">
        <v>5</v>
      </c>
      <c r="C122" s="29">
        <v>1</v>
      </c>
      <c r="D122" s="29">
        <v>6</v>
      </c>
      <c r="E122" t="s">
        <v>102</v>
      </c>
      <c r="F122" t="s">
        <v>104</v>
      </c>
      <c r="G122" s="104">
        <v>32193</v>
      </c>
      <c r="H122" s="104">
        <v>29640</v>
      </c>
    </row>
    <row r="123" spans="1:8" hidden="1" x14ac:dyDescent="0.35">
      <c r="A123" t="s">
        <v>215</v>
      </c>
      <c r="B123" s="29" t="s">
        <v>5</v>
      </c>
      <c r="C123" s="29">
        <v>1</v>
      </c>
      <c r="D123" s="29">
        <v>7</v>
      </c>
      <c r="E123" t="s">
        <v>102</v>
      </c>
      <c r="F123" t="s">
        <v>105</v>
      </c>
      <c r="G123" s="119">
        <v>500</v>
      </c>
      <c r="H123" s="119">
        <v>780.97</v>
      </c>
    </row>
    <row r="124" spans="1:8" hidden="1" x14ac:dyDescent="0.35">
      <c r="A124" t="s">
        <v>215</v>
      </c>
      <c r="B124" s="29" t="s">
        <v>5</v>
      </c>
      <c r="C124" s="29">
        <v>1</v>
      </c>
      <c r="D124" s="29">
        <v>8</v>
      </c>
      <c r="E124" t="s">
        <v>102</v>
      </c>
      <c r="F124" t="s">
        <v>106</v>
      </c>
      <c r="G124" s="119">
        <v>8000</v>
      </c>
      <c r="H124" s="119">
        <v>0</v>
      </c>
    </row>
    <row r="125" spans="1:8" hidden="1" x14ac:dyDescent="0.35">
      <c r="A125" t="s">
        <v>215</v>
      </c>
      <c r="B125" s="29" t="s">
        <v>5</v>
      </c>
      <c r="C125" s="29">
        <v>1</v>
      </c>
      <c r="D125" s="29">
        <v>9</v>
      </c>
      <c r="E125" t="s">
        <v>102</v>
      </c>
      <c r="F125" t="s">
        <v>107</v>
      </c>
      <c r="G125" s="119">
        <v>9878</v>
      </c>
      <c r="H125" s="190">
        <v>6388.23</v>
      </c>
    </row>
    <row r="126" spans="1:8" hidden="1" x14ac:dyDescent="0.35">
      <c r="A126" t="s">
        <v>215</v>
      </c>
      <c r="B126" s="29" t="s">
        <v>5</v>
      </c>
      <c r="C126" s="29">
        <v>1</v>
      </c>
      <c r="D126" s="29">
        <v>10</v>
      </c>
      <c r="E126" t="s">
        <v>102</v>
      </c>
      <c r="F126" t="s">
        <v>108</v>
      </c>
      <c r="G126" s="119">
        <v>19000</v>
      </c>
      <c r="H126" s="190">
        <v>18391.07</v>
      </c>
    </row>
    <row r="127" spans="1:8" hidden="1" x14ac:dyDescent="0.35">
      <c r="A127" t="s">
        <v>215</v>
      </c>
      <c r="B127" s="29" t="s">
        <v>5</v>
      </c>
      <c r="C127" s="29">
        <v>1</v>
      </c>
      <c r="D127" s="29">
        <v>11</v>
      </c>
      <c r="E127" t="s">
        <v>102</v>
      </c>
      <c r="F127" t="s">
        <v>109</v>
      </c>
      <c r="G127" s="119">
        <v>630</v>
      </c>
      <c r="H127" s="119">
        <v>630</v>
      </c>
    </row>
    <row r="128" spans="1:8" hidden="1" x14ac:dyDescent="0.35">
      <c r="A128" t="s">
        <v>215</v>
      </c>
      <c r="B128" s="29" t="s">
        <v>5</v>
      </c>
      <c r="C128" s="29">
        <v>1</v>
      </c>
      <c r="D128" s="29">
        <v>12</v>
      </c>
      <c r="E128" t="s">
        <v>110</v>
      </c>
      <c r="F128" t="s">
        <v>111</v>
      </c>
      <c r="G128" s="119"/>
      <c r="H128" s="119"/>
    </row>
    <row r="129" spans="1:8" x14ac:dyDescent="0.35">
      <c r="A129" t="s">
        <v>216</v>
      </c>
      <c r="B129" s="29" t="s">
        <v>5</v>
      </c>
      <c r="C129" s="29">
        <v>1</v>
      </c>
      <c r="D129" s="29">
        <v>5</v>
      </c>
      <c r="E129" s="2" t="s">
        <v>110</v>
      </c>
      <c r="F129" s="16" t="s">
        <v>116</v>
      </c>
      <c r="G129" s="127">
        <v>79530</v>
      </c>
      <c r="H129" s="127">
        <v>79530</v>
      </c>
    </row>
    <row r="130" spans="1:8" x14ac:dyDescent="0.35">
      <c r="A130" t="s">
        <v>97</v>
      </c>
      <c r="B130" s="29" t="s">
        <v>5</v>
      </c>
      <c r="C130" s="29">
        <v>1</v>
      </c>
      <c r="D130" s="29">
        <v>14</v>
      </c>
      <c r="E130" t="s">
        <v>110</v>
      </c>
      <c r="F130" t="s">
        <v>217</v>
      </c>
      <c r="G130" s="119">
        <v>0</v>
      </c>
      <c r="H130" s="119">
        <v>0</v>
      </c>
    </row>
    <row r="131" spans="1:8" x14ac:dyDescent="0.35">
      <c r="A131" t="s">
        <v>215</v>
      </c>
      <c r="B131" s="29" t="s">
        <v>5</v>
      </c>
      <c r="C131" s="29">
        <v>1</v>
      </c>
      <c r="D131" s="29">
        <v>14</v>
      </c>
      <c r="E131" t="s">
        <v>110</v>
      </c>
      <c r="F131" t="s">
        <v>217</v>
      </c>
      <c r="G131" s="119">
        <v>0</v>
      </c>
      <c r="H131" s="119">
        <v>0</v>
      </c>
    </row>
    <row r="132" spans="1:8" x14ac:dyDescent="0.35">
      <c r="A132" t="s">
        <v>113</v>
      </c>
      <c r="B132" s="29" t="s">
        <v>5</v>
      </c>
      <c r="C132" s="29">
        <v>1</v>
      </c>
      <c r="D132" s="29">
        <v>14</v>
      </c>
      <c r="E132" t="s">
        <v>110</v>
      </c>
      <c r="F132" t="s">
        <v>217</v>
      </c>
      <c r="G132" s="119">
        <v>200</v>
      </c>
      <c r="H132" s="119">
        <v>0</v>
      </c>
    </row>
    <row r="133" spans="1:8" x14ac:dyDescent="0.35">
      <c r="A133" t="s">
        <v>215</v>
      </c>
      <c r="B133" s="29" t="s">
        <v>5</v>
      </c>
      <c r="C133" s="29">
        <v>1</v>
      </c>
      <c r="D133" s="29">
        <v>13</v>
      </c>
      <c r="E133" t="s">
        <v>110</v>
      </c>
      <c r="F133" t="s">
        <v>218</v>
      </c>
      <c r="G133" s="119">
        <v>44781</v>
      </c>
      <c r="H133" s="128">
        <v>44781</v>
      </c>
    </row>
    <row r="134" spans="1:8" x14ac:dyDescent="0.35">
      <c r="A134" t="s">
        <v>215</v>
      </c>
      <c r="B134" s="29" t="s">
        <v>5</v>
      </c>
      <c r="C134" s="29">
        <v>1</v>
      </c>
      <c r="D134" s="29">
        <v>15</v>
      </c>
      <c r="E134" t="s">
        <v>110</v>
      </c>
      <c r="F134" t="s">
        <v>219</v>
      </c>
      <c r="G134" s="119">
        <v>707</v>
      </c>
      <c r="H134" s="128">
        <v>707</v>
      </c>
    </row>
    <row r="135" spans="1:8" hidden="1" x14ac:dyDescent="0.35">
      <c r="A135" t="s">
        <v>215</v>
      </c>
      <c r="B135" s="29" t="s">
        <v>5</v>
      </c>
      <c r="C135" s="29">
        <v>1</v>
      </c>
      <c r="D135" s="29">
        <v>19</v>
      </c>
      <c r="E135" t="s">
        <v>110</v>
      </c>
      <c r="F135" t="s">
        <v>12</v>
      </c>
      <c r="G135" s="119">
        <v>32000</v>
      </c>
      <c r="H135" s="190">
        <v>33553.25</v>
      </c>
    </row>
    <row r="136" spans="1:8" hidden="1" x14ac:dyDescent="0.35">
      <c r="A136" t="s">
        <v>215</v>
      </c>
      <c r="B136" s="29" t="s">
        <v>5</v>
      </c>
      <c r="C136" s="29">
        <v>1</v>
      </c>
      <c r="D136" s="29">
        <v>20</v>
      </c>
      <c r="E136" t="s">
        <v>110</v>
      </c>
      <c r="F136" t="s">
        <v>220</v>
      </c>
      <c r="G136" s="119">
        <v>0</v>
      </c>
      <c r="H136" s="190">
        <v>8737.9599999999991</v>
      </c>
    </row>
    <row r="137" spans="1:8" hidden="1" x14ac:dyDescent="0.35">
      <c r="A137" t="s">
        <v>215</v>
      </c>
      <c r="B137" s="29" t="s">
        <v>5</v>
      </c>
      <c r="C137" s="29">
        <v>1</v>
      </c>
      <c r="D137" s="29">
        <v>21</v>
      </c>
      <c r="E137" t="s">
        <v>221</v>
      </c>
      <c r="F137" t="s">
        <v>222</v>
      </c>
      <c r="G137" s="119">
        <v>0</v>
      </c>
      <c r="H137" s="190">
        <v>1483.88</v>
      </c>
    </row>
    <row r="138" spans="1:8" hidden="1" x14ac:dyDescent="0.35">
      <c r="A138" t="s">
        <v>215</v>
      </c>
      <c r="B138" s="29" t="s">
        <v>5</v>
      </c>
      <c r="C138" s="29">
        <v>1</v>
      </c>
      <c r="D138" s="29">
        <v>22</v>
      </c>
      <c r="E138" t="s">
        <v>110</v>
      </c>
      <c r="F138" t="s">
        <v>8</v>
      </c>
      <c r="G138" s="119"/>
      <c r="H138" s="190">
        <v>123376.48</v>
      </c>
    </row>
    <row r="139" spans="1:8" hidden="1" x14ac:dyDescent="0.35">
      <c r="A139" t="s">
        <v>215</v>
      </c>
      <c r="B139" s="29" t="s">
        <v>5</v>
      </c>
      <c r="C139" s="29">
        <v>1</v>
      </c>
      <c r="D139" s="29">
        <v>23</v>
      </c>
      <c r="E139" t="s">
        <v>110</v>
      </c>
      <c r="F139" t="s">
        <v>117</v>
      </c>
      <c r="G139" s="119">
        <v>17544</v>
      </c>
      <c r="H139" s="128">
        <v>17544</v>
      </c>
    </row>
    <row r="140" spans="1:8" hidden="1" x14ac:dyDescent="0.35">
      <c r="A140" t="s">
        <v>215</v>
      </c>
      <c r="B140" s="29" t="s">
        <v>5</v>
      </c>
      <c r="C140" s="29">
        <v>1</v>
      </c>
      <c r="D140" s="29">
        <v>24</v>
      </c>
      <c r="E140" t="s">
        <v>110</v>
      </c>
      <c r="F140" t="s">
        <v>118</v>
      </c>
      <c r="G140" s="119">
        <v>81922</v>
      </c>
      <c r="H140" s="119">
        <v>81922</v>
      </c>
    </row>
    <row r="141" spans="1:8" hidden="1" x14ac:dyDescent="0.35">
      <c r="A141" t="s">
        <v>215</v>
      </c>
      <c r="B141" s="29" t="s">
        <v>5</v>
      </c>
      <c r="C141" s="29">
        <v>1</v>
      </c>
      <c r="D141" s="29">
        <v>27</v>
      </c>
      <c r="E141" t="s">
        <v>102</v>
      </c>
      <c r="F141" t="s">
        <v>119</v>
      </c>
      <c r="G141" s="117">
        <v>130000</v>
      </c>
      <c r="H141" s="241">
        <v>176533.81</v>
      </c>
    </row>
    <row r="142" spans="1:8" hidden="1" x14ac:dyDescent="0.35">
      <c r="A142" t="s">
        <v>215</v>
      </c>
      <c r="B142" s="29" t="s">
        <v>5</v>
      </c>
      <c r="C142" s="29">
        <v>1</v>
      </c>
      <c r="D142" s="29">
        <v>28</v>
      </c>
      <c r="E142" t="s">
        <v>102</v>
      </c>
      <c r="F142" t="s">
        <v>120</v>
      </c>
      <c r="G142" s="117">
        <v>2120944</v>
      </c>
      <c r="H142" s="241">
        <v>2004631.17</v>
      </c>
    </row>
    <row r="143" spans="1:8" hidden="1" x14ac:dyDescent="0.35">
      <c r="A143" t="s">
        <v>215</v>
      </c>
      <c r="B143" s="29" t="s">
        <v>5</v>
      </c>
      <c r="C143" s="29">
        <v>1</v>
      </c>
      <c r="D143" s="29">
        <v>29</v>
      </c>
      <c r="E143" t="s">
        <v>102</v>
      </c>
      <c r="F143" t="s">
        <v>121</v>
      </c>
      <c r="G143" s="117">
        <v>35160</v>
      </c>
      <c r="H143" s="1156">
        <v>31963.265457248606</v>
      </c>
    </row>
    <row r="144" spans="1:8" hidden="1" x14ac:dyDescent="0.35">
      <c r="A144" t="s">
        <v>215</v>
      </c>
      <c r="B144" s="29" t="s">
        <v>26</v>
      </c>
      <c r="C144" s="29">
        <v>2</v>
      </c>
      <c r="D144" s="29">
        <v>1</v>
      </c>
      <c r="E144" t="s">
        <v>122</v>
      </c>
      <c r="F144" t="s">
        <v>223</v>
      </c>
      <c r="G144" s="117">
        <v>1410000</v>
      </c>
      <c r="H144" s="190">
        <f>'23-24 C2 staffing'!F24</f>
        <v>1297000</v>
      </c>
    </row>
    <row r="145" spans="1:8" hidden="1" x14ac:dyDescent="0.35">
      <c r="A145" t="s">
        <v>215</v>
      </c>
      <c r="B145" s="29" t="s">
        <v>26</v>
      </c>
      <c r="C145" s="29">
        <v>2</v>
      </c>
      <c r="D145" s="29">
        <v>2</v>
      </c>
      <c r="E145" t="s">
        <v>122</v>
      </c>
      <c r="F145" t="s">
        <v>153</v>
      </c>
      <c r="G145" s="117"/>
      <c r="H145" s="117"/>
    </row>
    <row r="146" spans="1:8" hidden="1" x14ac:dyDescent="0.35">
      <c r="A146" t="s">
        <v>215</v>
      </c>
      <c r="B146" s="29" t="s">
        <v>26</v>
      </c>
      <c r="C146" s="29">
        <v>2</v>
      </c>
      <c r="D146" s="29">
        <v>3</v>
      </c>
      <c r="E146" t="s">
        <v>122</v>
      </c>
      <c r="F146" s="2" t="s">
        <v>154</v>
      </c>
      <c r="G146" s="117">
        <v>47280</v>
      </c>
      <c r="H146" s="190">
        <f>H144*0.04</f>
        <v>51880</v>
      </c>
    </row>
    <row r="147" spans="1:8" hidden="1" x14ac:dyDescent="0.35">
      <c r="A147" t="s">
        <v>215</v>
      </c>
      <c r="B147" s="29" t="s">
        <v>26</v>
      </c>
      <c r="C147" s="29">
        <v>2</v>
      </c>
      <c r="D147" s="29">
        <v>4</v>
      </c>
      <c r="E147" t="s">
        <v>155</v>
      </c>
      <c r="F147" t="s">
        <v>224</v>
      </c>
      <c r="G147" s="117">
        <f>G144*0.0145</f>
        <v>20445</v>
      </c>
      <c r="H147" s="190">
        <f>H144*0.0145</f>
        <v>18806.5</v>
      </c>
    </row>
    <row r="148" spans="1:8" hidden="1" x14ac:dyDescent="0.35">
      <c r="A148" t="s">
        <v>215</v>
      </c>
      <c r="B148" s="29" t="s">
        <v>26</v>
      </c>
      <c r="C148" s="29">
        <v>2</v>
      </c>
      <c r="D148" s="29">
        <v>5</v>
      </c>
      <c r="E148" t="s">
        <v>155</v>
      </c>
      <c r="F148" t="s">
        <v>157</v>
      </c>
      <c r="G148" s="117">
        <f>G144*0.214</f>
        <v>301740</v>
      </c>
      <c r="H148" s="190">
        <f>H144*0.214</f>
        <v>277558</v>
      </c>
    </row>
    <row r="149" spans="1:8" hidden="1" x14ac:dyDescent="0.35">
      <c r="A149" t="s">
        <v>215</v>
      </c>
      <c r="B149" s="29" t="s">
        <v>26</v>
      </c>
      <c r="C149" s="29">
        <v>2</v>
      </c>
      <c r="D149" s="29">
        <v>6</v>
      </c>
      <c r="E149" t="s">
        <v>155</v>
      </c>
      <c r="F149" t="s">
        <v>158</v>
      </c>
      <c r="G149" s="117">
        <f>(26*0.8)*6334.56</f>
        <v>131758.84800000003</v>
      </c>
      <c r="H149" s="117">
        <f>('23-24 C2 staffing'!D191*0.8)*6334.56</f>
        <v>0</v>
      </c>
    </row>
    <row r="150" spans="1:8" hidden="1" x14ac:dyDescent="0.35">
      <c r="A150" t="s">
        <v>215</v>
      </c>
      <c r="B150" s="29" t="s">
        <v>26</v>
      </c>
      <c r="C150" s="29">
        <v>2</v>
      </c>
      <c r="D150" s="29">
        <v>7</v>
      </c>
      <c r="E150" t="s">
        <v>124</v>
      </c>
      <c r="F150" t="s">
        <v>159</v>
      </c>
      <c r="G150" s="117">
        <v>4300</v>
      </c>
      <c r="H150" s="190">
        <f>(H144+H153+H156)*0.017</f>
        <v>28169.000000000004</v>
      </c>
    </row>
    <row r="151" spans="1:8" hidden="1" x14ac:dyDescent="0.35">
      <c r="A151" t="s">
        <v>215</v>
      </c>
      <c r="B151" s="29" t="s">
        <v>26</v>
      </c>
      <c r="C151" s="29">
        <v>2</v>
      </c>
      <c r="D151" s="29">
        <v>8</v>
      </c>
      <c r="E151" t="s">
        <v>124</v>
      </c>
      <c r="F151" t="s">
        <v>160</v>
      </c>
      <c r="G151" s="117">
        <v>8600</v>
      </c>
      <c r="H151" s="190">
        <f>(H144+H153+H156)*0.0126</f>
        <v>20878.2</v>
      </c>
    </row>
    <row r="152" spans="1:8" hidden="1" x14ac:dyDescent="0.35">
      <c r="A152" t="s">
        <v>215</v>
      </c>
      <c r="B152" s="29" t="s">
        <v>26</v>
      </c>
      <c r="C152" s="29">
        <v>2</v>
      </c>
      <c r="D152" s="29">
        <v>9</v>
      </c>
      <c r="E152" t="s">
        <v>124</v>
      </c>
      <c r="F152" t="s">
        <v>161</v>
      </c>
      <c r="G152" s="117"/>
      <c r="H152" s="190">
        <f>'23-24 C2 staffing'!B38*8.4</f>
        <v>218.4</v>
      </c>
    </row>
    <row r="153" spans="1:8" hidden="1" x14ac:dyDescent="0.35">
      <c r="A153" t="s">
        <v>215</v>
      </c>
      <c r="B153" s="29" t="s">
        <v>26</v>
      </c>
      <c r="C153" s="29">
        <v>2</v>
      </c>
      <c r="D153" s="29">
        <v>10</v>
      </c>
      <c r="E153" t="s">
        <v>122</v>
      </c>
      <c r="F153" t="s">
        <v>77</v>
      </c>
      <c r="G153" s="117"/>
      <c r="H153" s="117">
        <f>'23-24 C2 staffing'!F26</f>
        <v>0</v>
      </c>
    </row>
    <row r="154" spans="1:8" hidden="1" x14ac:dyDescent="0.35">
      <c r="A154" t="s">
        <v>215</v>
      </c>
      <c r="B154" s="29" t="s">
        <v>26</v>
      </c>
      <c r="C154" s="29">
        <v>2</v>
      </c>
      <c r="D154" s="29">
        <v>11</v>
      </c>
      <c r="E154" t="s">
        <v>155</v>
      </c>
      <c r="F154" t="s">
        <v>162</v>
      </c>
      <c r="G154" s="117">
        <v>0</v>
      </c>
      <c r="H154" s="117">
        <v>0</v>
      </c>
    </row>
    <row r="155" spans="1:8" hidden="1" x14ac:dyDescent="0.35">
      <c r="A155" t="s">
        <v>215</v>
      </c>
      <c r="B155" s="29" t="s">
        <v>26</v>
      </c>
      <c r="C155" s="29">
        <v>2</v>
      </c>
      <c r="D155" s="29">
        <v>12</v>
      </c>
      <c r="E155" t="s">
        <v>155</v>
      </c>
      <c r="F155" t="s">
        <v>163</v>
      </c>
      <c r="G155" s="117"/>
      <c r="H155" s="117">
        <v>0</v>
      </c>
    </row>
    <row r="156" spans="1:8" hidden="1" x14ac:dyDescent="0.35">
      <c r="A156" t="s">
        <v>215</v>
      </c>
      <c r="B156" s="29" t="s">
        <v>26</v>
      </c>
      <c r="C156" s="29">
        <v>2</v>
      </c>
      <c r="D156" s="29">
        <v>13</v>
      </c>
      <c r="E156" t="s">
        <v>122</v>
      </c>
      <c r="F156" t="s">
        <v>164</v>
      </c>
      <c r="G156" s="117">
        <v>255000</v>
      </c>
      <c r="H156" s="190">
        <f>'23-24 C2 staffing'!C35</f>
        <v>360000</v>
      </c>
    </row>
    <row r="157" spans="1:8" hidden="1" x14ac:dyDescent="0.35">
      <c r="A157" t="s">
        <v>215</v>
      </c>
      <c r="B157" s="29" t="s">
        <v>26</v>
      </c>
      <c r="C157" s="29">
        <v>2</v>
      </c>
      <c r="D157" s="29">
        <v>14</v>
      </c>
      <c r="E157" t="s">
        <v>122</v>
      </c>
      <c r="F157" t="s">
        <v>165</v>
      </c>
      <c r="G157" s="117"/>
      <c r="H157" s="117"/>
    </row>
    <row r="158" spans="1:8" hidden="1" x14ac:dyDescent="0.35">
      <c r="A158" t="s">
        <v>215</v>
      </c>
      <c r="B158" s="29" t="s">
        <v>26</v>
      </c>
      <c r="C158" s="29">
        <v>2</v>
      </c>
      <c r="D158" s="29">
        <v>15</v>
      </c>
      <c r="E158" t="s">
        <v>122</v>
      </c>
      <c r="F158" t="s">
        <v>166</v>
      </c>
      <c r="G158" s="120">
        <v>10000</v>
      </c>
      <c r="H158" s="120">
        <v>10000</v>
      </c>
    </row>
    <row r="159" spans="1:8" hidden="1" x14ac:dyDescent="0.35">
      <c r="A159" t="s">
        <v>215</v>
      </c>
      <c r="B159" s="29" t="s">
        <v>26</v>
      </c>
      <c r="C159" s="29">
        <v>2</v>
      </c>
      <c r="D159" s="29">
        <v>16</v>
      </c>
      <c r="E159" t="s">
        <v>155</v>
      </c>
      <c r="F159" t="s">
        <v>167</v>
      </c>
      <c r="G159" s="117">
        <v>3698</v>
      </c>
      <c r="H159" s="190">
        <f>H156*0.0145</f>
        <v>5220</v>
      </c>
    </row>
    <row r="160" spans="1:8" hidden="1" x14ac:dyDescent="0.35">
      <c r="A160" t="s">
        <v>215</v>
      </c>
      <c r="B160" s="29" t="s">
        <v>26</v>
      </c>
      <c r="C160" s="29">
        <v>2</v>
      </c>
      <c r="D160" s="29">
        <v>17</v>
      </c>
      <c r="E160" t="s">
        <v>155</v>
      </c>
      <c r="F160" t="s">
        <v>225</v>
      </c>
      <c r="G160" s="117">
        <f>G156*0.214</f>
        <v>54570</v>
      </c>
      <c r="H160" s="190">
        <f>H156*0.214</f>
        <v>77040</v>
      </c>
    </row>
    <row r="161" spans="1:8" hidden="1" x14ac:dyDescent="0.35">
      <c r="A161" t="s">
        <v>215</v>
      </c>
      <c r="B161" s="29" t="s">
        <v>26</v>
      </c>
      <c r="C161" s="29">
        <v>2</v>
      </c>
      <c r="D161" s="29">
        <v>18</v>
      </c>
      <c r="E161" t="s">
        <v>155</v>
      </c>
      <c r="F161" t="s">
        <v>121</v>
      </c>
      <c r="G161" s="117">
        <v>35160</v>
      </c>
      <c r="H161" s="1156">
        <v>31963.265457248606</v>
      </c>
    </row>
    <row r="162" spans="1:8" hidden="1" x14ac:dyDescent="0.35">
      <c r="A162" t="s">
        <v>215</v>
      </c>
      <c r="B162" s="29" t="s">
        <v>26</v>
      </c>
      <c r="C162" s="29">
        <v>2</v>
      </c>
      <c r="D162" s="29">
        <v>19</v>
      </c>
      <c r="E162" t="s">
        <v>169</v>
      </c>
      <c r="F162" t="s">
        <v>170</v>
      </c>
      <c r="G162" s="117">
        <v>2000</v>
      </c>
      <c r="H162" s="117">
        <v>2000</v>
      </c>
    </row>
    <row r="163" spans="1:8" hidden="1" x14ac:dyDescent="0.35">
      <c r="A163" t="s">
        <v>215</v>
      </c>
      <c r="B163" s="29" t="s">
        <v>26</v>
      </c>
      <c r="C163" s="29">
        <v>2</v>
      </c>
      <c r="D163" s="29">
        <v>20</v>
      </c>
      <c r="E163" t="s">
        <v>169</v>
      </c>
      <c r="F163" t="s">
        <v>171</v>
      </c>
      <c r="G163" s="117"/>
      <c r="H163" s="117"/>
    </row>
    <row r="164" spans="1:8" hidden="1" x14ac:dyDescent="0.35">
      <c r="A164" t="s">
        <v>215</v>
      </c>
      <c r="B164" s="29" t="s">
        <v>26</v>
      </c>
      <c r="C164" s="29">
        <v>2</v>
      </c>
      <c r="D164" s="29">
        <v>21</v>
      </c>
      <c r="E164" t="s">
        <v>172</v>
      </c>
      <c r="F164" t="s">
        <v>173</v>
      </c>
      <c r="G164" s="117"/>
      <c r="H164" s="190">
        <v>12000</v>
      </c>
    </row>
    <row r="165" spans="1:8" hidden="1" x14ac:dyDescent="0.35">
      <c r="A165" t="s">
        <v>215</v>
      </c>
      <c r="B165" s="29" t="s">
        <v>26</v>
      </c>
      <c r="C165" s="29">
        <v>2</v>
      </c>
      <c r="D165" s="29">
        <v>22</v>
      </c>
      <c r="E165" t="s">
        <v>172</v>
      </c>
      <c r="F165" t="s">
        <v>174</v>
      </c>
      <c r="G165" s="117"/>
      <c r="H165" s="117"/>
    </row>
    <row r="166" spans="1:8" hidden="1" x14ac:dyDescent="0.35">
      <c r="A166" t="s">
        <v>215</v>
      </c>
      <c r="B166" s="29" t="s">
        <v>26</v>
      </c>
      <c r="C166" s="29">
        <v>2</v>
      </c>
      <c r="D166" s="29">
        <v>23</v>
      </c>
      <c r="E166" t="s">
        <v>172</v>
      </c>
      <c r="F166" t="s">
        <v>175</v>
      </c>
      <c r="G166" s="117">
        <v>20000</v>
      </c>
      <c r="H166" s="117">
        <v>20000</v>
      </c>
    </row>
    <row r="167" spans="1:8" hidden="1" x14ac:dyDescent="0.35">
      <c r="A167" t="s">
        <v>215</v>
      </c>
      <c r="B167" s="29" t="s">
        <v>26</v>
      </c>
      <c r="C167" s="29">
        <v>2</v>
      </c>
      <c r="D167" s="29">
        <v>24</v>
      </c>
      <c r="E167" t="s">
        <v>172</v>
      </c>
      <c r="F167" t="s">
        <v>176</v>
      </c>
      <c r="G167" s="117"/>
      <c r="H167" s="117"/>
    </row>
    <row r="168" spans="1:8" hidden="1" x14ac:dyDescent="0.35">
      <c r="A168" t="s">
        <v>215</v>
      </c>
      <c r="B168" s="29" t="s">
        <v>26</v>
      </c>
      <c r="C168" s="29">
        <v>2</v>
      </c>
      <c r="D168" s="29">
        <v>25</v>
      </c>
      <c r="E168" t="s">
        <v>172</v>
      </c>
      <c r="F168" s="2" t="s">
        <v>177</v>
      </c>
      <c r="G168" s="117">
        <v>5000</v>
      </c>
      <c r="H168" s="117">
        <v>5000</v>
      </c>
    </row>
    <row r="169" spans="1:8" hidden="1" x14ac:dyDescent="0.35">
      <c r="A169" t="s">
        <v>215</v>
      </c>
      <c r="B169" s="29" t="s">
        <v>26</v>
      </c>
      <c r="C169" s="29">
        <v>2</v>
      </c>
      <c r="D169" s="29">
        <v>26</v>
      </c>
      <c r="E169" t="s">
        <v>172</v>
      </c>
      <c r="F169" s="2" t="s">
        <v>178</v>
      </c>
      <c r="G169" s="117"/>
      <c r="H169" s="117"/>
    </row>
    <row r="170" spans="1:8" hidden="1" x14ac:dyDescent="0.35">
      <c r="A170" t="s">
        <v>215</v>
      </c>
      <c r="B170" s="29" t="s">
        <v>26</v>
      </c>
      <c r="C170" s="29">
        <v>2</v>
      </c>
      <c r="D170" s="29">
        <v>27</v>
      </c>
      <c r="E170" t="s">
        <v>172</v>
      </c>
      <c r="F170" t="s">
        <v>179</v>
      </c>
      <c r="G170" s="117"/>
      <c r="H170" s="117"/>
    </row>
    <row r="171" spans="1:8" hidden="1" x14ac:dyDescent="0.35">
      <c r="A171" t="s">
        <v>215</v>
      </c>
      <c r="B171" s="29" t="s">
        <v>26</v>
      </c>
      <c r="C171" s="29">
        <v>2</v>
      </c>
      <c r="D171" s="29">
        <v>28</v>
      </c>
      <c r="E171" t="s">
        <v>172</v>
      </c>
      <c r="F171" t="s">
        <v>180</v>
      </c>
      <c r="G171" s="117"/>
      <c r="H171" s="117"/>
    </row>
    <row r="172" spans="1:8" hidden="1" x14ac:dyDescent="0.35">
      <c r="A172" t="s">
        <v>215</v>
      </c>
      <c r="B172" s="29" t="s">
        <v>26</v>
      </c>
      <c r="C172" s="29">
        <v>2</v>
      </c>
      <c r="D172" s="29">
        <v>29</v>
      </c>
      <c r="E172" t="s">
        <v>181</v>
      </c>
      <c r="F172" t="s">
        <v>182</v>
      </c>
      <c r="G172" s="117"/>
      <c r="H172" s="117"/>
    </row>
    <row r="173" spans="1:8" hidden="1" x14ac:dyDescent="0.35">
      <c r="A173" t="s">
        <v>215</v>
      </c>
      <c r="B173" s="29" t="s">
        <v>26</v>
      </c>
      <c r="C173" s="29">
        <v>2</v>
      </c>
      <c r="D173" s="29">
        <v>30</v>
      </c>
      <c r="E173" t="s">
        <v>181</v>
      </c>
      <c r="F173" t="s">
        <v>226</v>
      </c>
      <c r="G173" s="117">
        <v>15000</v>
      </c>
      <c r="H173" s="117">
        <v>15000</v>
      </c>
    </row>
    <row r="174" spans="1:8" hidden="1" x14ac:dyDescent="0.35">
      <c r="A174" t="s">
        <v>215</v>
      </c>
      <c r="B174" s="29" t="s">
        <v>26</v>
      </c>
      <c r="C174" s="29">
        <v>2</v>
      </c>
      <c r="D174" s="29">
        <v>31</v>
      </c>
      <c r="E174" t="s">
        <v>181</v>
      </c>
      <c r="F174" t="s">
        <v>184</v>
      </c>
      <c r="G174" s="117"/>
      <c r="H174" s="117"/>
    </row>
    <row r="175" spans="1:8" hidden="1" x14ac:dyDescent="0.35">
      <c r="A175" t="s">
        <v>215</v>
      </c>
      <c r="B175" s="29" t="s">
        <v>26</v>
      </c>
      <c r="C175" s="29">
        <v>2</v>
      </c>
      <c r="D175" s="29">
        <v>32</v>
      </c>
      <c r="E175" t="s">
        <v>181</v>
      </c>
      <c r="F175" t="s">
        <v>185</v>
      </c>
      <c r="G175" s="117">
        <v>30000</v>
      </c>
      <c r="H175" s="117">
        <v>30000</v>
      </c>
    </row>
    <row r="176" spans="1:8" hidden="1" x14ac:dyDescent="0.35">
      <c r="A176" t="s">
        <v>215</v>
      </c>
      <c r="B176" s="29" t="s">
        <v>26</v>
      </c>
      <c r="C176" s="29">
        <v>2</v>
      </c>
      <c r="D176" s="29">
        <v>33</v>
      </c>
      <c r="E176" t="s">
        <v>181</v>
      </c>
      <c r="F176" t="s">
        <v>186</v>
      </c>
      <c r="G176" s="117">
        <v>5000</v>
      </c>
      <c r="H176" s="117">
        <v>5000</v>
      </c>
    </row>
    <row r="177" spans="1:8" hidden="1" x14ac:dyDescent="0.35">
      <c r="A177" t="s">
        <v>215</v>
      </c>
      <c r="B177" s="29" t="s">
        <v>26</v>
      </c>
      <c r="C177" s="29">
        <v>2</v>
      </c>
      <c r="D177" s="29">
        <v>34</v>
      </c>
      <c r="E177" t="s">
        <v>181</v>
      </c>
      <c r="F177" t="s">
        <v>187</v>
      </c>
      <c r="G177" s="117">
        <v>3000</v>
      </c>
      <c r="H177" s="117">
        <v>3000</v>
      </c>
    </row>
    <row r="178" spans="1:8" hidden="1" x14ac:dyDescent="0.35">
      <c r="A178" t="s">
        <v>215</v>
      </c>
      <c r="B178" s="29" t="s">
        <v>26</v>
      </c>
      <c r="C178" s="29">
        <v>2</v>
      </c>
      <c r="D178" s="29">
        <v>35</v>
      </c>
      <c r="E178" t="s">
        <v>181</v>
      </c>
      <c r="F178" t="s">
        <v>188</v>
      </c>
      <c r="G178" s="117">
        <v>5000</v>
      </c>
      <c r="H178" s="117">
        <v>5000</v>
      </c>
    </row>
    <row r="179" spans="1:8" hidden="1" x14ac:dyDescent="0.35">
      <c r="A179" t="s">
        <v>215</v>
      </c>
      <c r="B179" s="29" t="s">
        <v>26</v>
      </c>
      <c r="C179" s="29">
        <v>2</v>
      </c>
      <c r="D179" s="29">
        <v>36</v>
      </c>
      <c r="E179" t="s">
        <v>181</v>
      </c>
      <c r="F179" t="s">
        <v>189</v>
      </c>
      <c r="G179" s="117">
        <v>8000</v>
      </c>
      <c r="H179" s="117">
        <v>8000</v>
      </c>
    </row>
    <row r="180" spans="1:8" hidden="1" x14ac:dyDescent="0.35">
      <c r="A180" t="s">
        <v>215</v>
      </c>
      <c r="B180" s="29" t="s">
        <v>26</v>
      </c>
      <c r="C180" s="29">
        <v>2</v>
      </c>
      <c r="D180" s="29">
        <v>37</v>
      </c>
      <c r="E180" t="s">
        <v>181</v>
      </c>
      <c r="F180" t="s">
        <v>190</v>
      </c>
      <c r="G180" s="117">
        <v>8000</v>
      </c>
      <c r="H180" s="117">
        <v>8000</v>
      </c>
    </row>
    <row r="181" spans="1:8" hidden="1" x14ac:dyDescent="0.35">
      <c r="A181" t="s">
        <v>215</v>
      </c>
      <c r="B181" s="29" t="s">
        <v>26</v>
      </c>
      <c r="C181" s="29">
        <v>2</v>
      </c>
      <c r="D181" s="29">
        <v>38</v>
      </c>
      <c r="E181" t="s">
        <v>181</v>
      </c>
      <c r="F181" t="s">
        <v>191</v>
      </c>
      <c r="G181" s="117">
        <v>15000</v>
      </c>
      <c r="H181" s="117">
        <v>15000</v>
      </c>
    </row>
    <row r="182" spans="1:8" hidden="1" x14ac:dyDescent="0.35">
      <c r="A182" t="s">
        <v>215</v>
      </c>
      <c r="B182" s="29" t="s">
        <v>26</v>
      </c>
      <c r="C182" s="29">
        <v>2</v>
      </c>
      <c r="D182" s="29">
        <v>39</v>
      </c>
      <c r="E182" t="s">
        <v>181</v>
      </c>
      <c r="F182" t="s">
        <v>192</v>
      </c>
      <c r="G182" s="117">
        <v>53780</v>
      </c>
      <c r="H182" s="117">
        <v>53780</v>
      </c>
    </row>
    <row r="183" spans="1:8" hidden="1" x14ac:dyDescent="0.35">
      <c r="A183" t="s">
        <v>215</v>
      </c>
      <c r="B183" s="29" t="s">
        <v>26</v>
      </c>
      <c r="C183" s="29">
        <v>2</v>
      </c>
      <c r="D183" s="29">
        <v>40</v>
      </c>
      <c r="E183" t="s">
        <v>181</v>
      </c>
      <c r="F183" t="s">
        <v>193</v>
      </c>
      <c r="G183" s="117"/>
      <c r="H183" s="117"/>
    </row>
    <row r="184" spans="1:8" hidden="1" x14ac:dyDescent="0.35">
      <c r="A184" t="s">
        <v>215</v>
      </c>
      <c r="B184" s="29" t="s">
        <v>26</v>
      </c>
      <c r="C184" s="29">
        <v>2</v>
      </c>
      <c r="D184" s="29">
        <v>41</v>
      </c>
      <c r="E184" t="s">
        <v>181</v>
      </c>
      <c r="F184" t="s">
        <v>194</v>
      </c>
      <c r="G184" s="117"/>
      <c r="H184" s="117"/>
    </row>
    <row r="185" spans="1:8" hidden="1" x14ac:dyDescent="0.35">
      <c r="A185" t="s">
        <v>215</v>
      </c>
      <c r="B185" s="29" t="s">
        <v>26</v>
      </c>
      <c r="C185" s="29">
        <v>2</v>
      </c>
      <c r="D185" s="29">
        <v>42</v>
      </c>
      <c r="E185" t="s">
        <v>169</v>
      </c>
      <c r="F185" t="s">
        <v>195</v>
      </c>
      <c r="G185" s="117">
        <v>10000</v>
      </c>
      <c r="H185" s="117">
        <v>10000</v>
      </c>
    </row>
    <row r="186" spans="1:8" hidden="1" x14ac:dyDescent="0.35">
      <c r="A186" t="s">
        <v>215</v>
      </c>
      <c r="B186" s="29" t="s">
        <v>26</v>
      </c>
      <c r="C186" s="29">
        <v>2</v>
      </c>
      <c r="D186" s="29">
        <v>43</v>
      </c>
      <c r="E186" t="s">
        <v>169</v>
      </c>
      <c r="F186" t="s">
        <v>196</v>
      </c>
      <c r="G186" s="117"/>
      <c r="H186" s="117"/>
    </row>
    <row r="187" spans="1:8" hidden="1" x14ac:dyDescent="0.35">
      <c r="A187" t="s">
        <v>215</v>
      </c>
      <c r="B187" s="29" t="s">
        <v>26</v>
      </c>
      <c r="C187" s="29">
        <v>2</v>
      </c>
      <c r="D187" s="29">
        <v>44</v>
      </c>
      <c r="E187" t="s">
        <v>169</v>
      </c>
      <c r="F187" t="s">
        <v>197</v>
      </c>
      <c r="G187" s="117"/>
      <c r="H187" s="117"/>
    </row>
    <row r="188" spans="1:8" hidden="1" x14ac:dyDescent="0.35">
      <c r="A188" t="s">
        <v>215</v>
      </c>
      <c r="B188" s="29" t="s">
        <v>26</v>
      </c>
      <c r="C188" s="29">
        <v>2</v>
      </c>
      <c r="D188" s="29">
        <v>45</v>
      </c>
      <c r="E188" t="s">
        <v>169</v>
      </c>
      <c r="F188" t="s">
        <v>198</v>
      </c>
      <c r="G188" s="117">
        <v>20000</v>
      </c>
      <c r="H188" s="190">
        <v>20046.310000000001</v>
      </c>
    </row>
    <row r="189" spans="1:8" hidden="1" x14ac:dyDescent="0.35">
      <c r="A189" t="s">
        <v>215</v>
      </c>
      <c r="B189" s="29" t="s">
        <v>26</v>
      </c>
      <c r="C189" s="29">
        <v>2</v>
      </c>
      <c r="D189" s="29">
        <v>46</v>
      </c>
      <c r="E189" t="s">
        <v>199</v>
      </c>
      <c r="F189" t="s">
        <v>200</v>
      </c>
      <c r="G189" s="117"/>
      <c r="H189" s="190">
        <v>60138.94</v>
      </c>
    </row>
    <row r="190" spans="1:8" hidden="1" x14ac:dyDescent="0.35">
      <c r="A190" t="s">
        <v>215</v>
      </c>
      <c r="B190" s="29" t="s">
        <v>26</v>
      </c>
      <c r="C190" s="29">
        <v>2</v>
      </c>
      <c r="D190" s="29">
        <v>47</v>
      </c>
      <c r="E190" t="s">
        <v>199</v>
      </c>
      <c r="F190" t="s">
        <v>202</v>
      </c>
      <c r="G190" s="117"/>
      <c r="H190" s="190">
        <v>150000</v>
      </c>
    </row>
    <row r="191" spans="1:8" hidden="1" x14ac:dyDescent="0.35">
      <c r="A191" t="s">
        <v>215</v>
      </c>
      <c r="B191" s="29" t="s">
        <v>26</v>
      </c>
      <c r="C191" s="29">
        <v>2</v>
      </c>
      <c r="D191" s="29">
        <v>48</v>
      </c>
      <c r="E191" t="s">
        <v>199</v>
      </c>
      <c r="F191" t="s">
        <v>203</v>
      </c>
      <c r="G191" s="117"/>
      <c r="H191" s="117"/>
    </row>
    <row r="192" spans="1:8" hidden="1" x14ac:dyDescent="0.35">
      <c r="A192" t="s">
        <v>215</v>
      </c>
      <c r="B192" s="29" t="s">
        <v>26</v>
      </c>
      <c r="C192" s="29">
        <v>2</v>
      </c>
      <c r="D192" s="29">
        <v>49</v>
      </c>
      <c r="E192" t="s">
        <v>199</v>
      </c>
      <c r="F192" t="s">
        <v>204</v>
      </c>
      <c r="G192" s="117"/>
      <c r="H192" s="117"/>
    </row>
    <row r="193" spans="1:8" hidden="1" x14ac:dyDescent="0.35">
      <c r="A193" t="s">
        <v>215</v>
      </c>
      <c r="B193" s="29" t="s">
        <v>26</v>
      </c>
      <c r="C193" s="29">
        <v>2</v>
      </c>
      <c r="D193" s="29">
        <v>50</v>
      </c>
      <c r="E193" t="s">
        <v>199</v>
      </c>
      <c r="F193" t="s">
        <v>205</v>
      </c>
      <c r="G193" s="117">
        <v>40000</v>
      </c>
      <c r="H193" s="117">
        <v>40000</v>
      </c>
    </row>
    <row r="194" spans="1:8" hidden="1" x14ac:dyDescent="0.35">
      <c r="A194" t="s">
        <v>215</v>
      </c>
      <c r="B194" s="29" t="s">
        <v>26</v>
      </c>
      <c r="C194" s="29">
        <v>2</v>
      </c>
      <c r="D194" s="29">
        <v>51</v>
      </c>
      <c r="E194" t="s">
        <v>199</v>
      </c>
      <c r="F194" t="s">
        <v>206</v>
      </c>
      <c r="G194" s="117">
        <v>10000</v>
      </c>
      <c r="H194" s="117">
        <v>10000</v>
      </c>
    </row>
    <row r="195" spans="1:8" hidden="1" x14ac:dyDescent="0.35">
      <c r="A195" t="s">
        <v>215</v>
      </c>
      <c r="B195" s="29" t="s">
        <v>26</v>
      </c>
      <c r="C195" s="29">
        <v>2</v>
      </c>
      <c r="D195" s="29">
        <v>52</v>
      </c>
      <c r="E195" t="s">
        <v>199</v>
      </c>
      <c r="F195" t="s">
        <v>227</v>
      </c>
      <c r="G195" s="117"/>
      <c r="H195" s="117"/>
    </row>
    <row r="196" spans="1:8" hidden="1" x14ac:dyDescent="0.35">
      <c r="A196" t="s">
        <v>215</v>
      </c>
      <c r="B196" s="29" t="s">
        <v>26</v>
      </c>
      <c r="C196" s="29">
        <v>2</v>
      </c>
      <c r="D196" s="29">
        <v>53</v>
      </c>
      <c r="E196" t="s">
        <v>199</v>
      </c>
      <c r="F196" t="s">
        <v>208</v>
      </c>
      <c r="G196" s="117"/>
      <c r="H196" s="117"/>
    </row>
    <row r="197" spans="1:8" hidden="1" x14ac:dyDescent="0.35">
      <c r="A197" t="s">
        <v>215</v>
      </c>
      <c r="B197" s="29" t="s">
        <v>26</v>
      </c>
      <c r="C197" s="29">
        <v>2</v>
      </c>
      <c r="D197" s="29">
        <v>54</v>
      </c>
      <c r="E197" t="s">
        <v>199</v>
      </c>
      <c r="F197" t="s">
        <v>209</v>
      </c>
      <c r="G197" s="117"/>
      <c r="H197" s="117"/>
    </row>
    <row r="198" spans="1:8" hidden="1" x14ac:dyDescent="0.35">
      <c r="A198" t="s">
        <v>215</v>
      </c>
      <c r="B198" s="29" t="s">
        <v>26</v>
      </c>
      <c r="C198" s="29">
        <v>2</v>
      </c>
      <c r="D198" s="29">
        <v>55</v>
      </c>
      <c r="E198" t="s">
        <v>199</v>
      </c>
      <c r="F198" t="s">
        <v>210</v>
      </c>
      <c r="G198" s="117"/>
      <c r="H198" s="117"/>
    </row>
    <row r="199" spans="1:8" hidden="1" x14ac:dyDescent="0.35">
      <c r="A199" t="s">
        <v>215</v>
      </c>
      <c r="B199" s="29" t="s">
        <v>26</v>
      </c>
      <c r="C199" s="29">
        <v>2</v>
      </c>
      <c r="D199" s="29">
        <v>56</v>
      </c>
      <c r="E199" t="s">
        <v>199</v>
      </c>
      <c r="F199" t="s">
        <v>211</v>
      </c>
      <c r="G199" s="117"/>
      <c r="H199" s="117"/>
    </row>
    <row r="200" spans="1:8" hidden="1" x14ac:dyDescent="0.35">
      <c r="A200" t="s">
        <v>215</v>
      </c>
      <c r="B200" s="29" t="s">
        <v>26</v>
      </c>
      <c r="C200" s="29">
        <v>2</v>
      </c>
      <c r="D200" s="29">
        <v>57</v>
      </c>
      <c r="E200" t="s">
        <v>199</v>
      </c>
      <c r="F200" t="s">
        <v>212</v>
      </c>
      <c r="G200" s="117"/>
      <c r="H200" s="117"/>
    </row>
    <row r="201" spans="1:8" hidden="1" x14ac:dyDescent="0.35">
      <c r="A201" t="s">
        <v>215</v>
      </c>
      <c r="B201" s="29" t="s">
        <v>26</v>
      </c>
      <c r="C201" s="29">
        <v>2</v>
      </c>
      <c r="D201" s="29">
        <v>58</v>
      </c>
      <c r="E201" t="s">
        <v>199</v>
      </c>
      <c r="F201" t="s">
        <v>213</v>
      </c>
      <c r="G201" s="117"/>
      <c r="H201" s="117"/>
    </row>
    <row r="202" spans="1:8" hidden="1" x14ac:dyDescent="0.35">
      <c r="A202" t="s">
        <v>215</v>
      </c>
      <c r="B202" s="29" t="s">
        <v>26</v>
      </c>
      <c r="C202" s="29">
        <v>2</v>
      </c>
      <c r="D202" s="29">
        <v>59</v>
      </c>
      <c r="E202" t="s">
        <v>199</v>
      </c>
      <c r="F202" t="s">
        <v>214</v>
      </c>
      <c r="G202" s="117"/>
      <c r="H202" s="117"/>
    </row>
    <row r="203" spans="1:8" hidden="1" x14ac:dyDescent="0.35">
      <c r="A203" t="s">
        <v>215</v>
      </c>
      <c r="B203" s="29" t="s">
        <v>26</v>
      </c>
      <c r="C203" s="29">
        <v>2</v>
      </c>
      <c r="D203" s="29">
        <v>60</v>
      </c>
      <c r="E203" t="s">
        <v>124</v>
      </c>
      <c r="F203" t="s">
        <v>125</v>
      </c>
      <c r="G203" s="117"/>
      <c r="H203" s="117"/>
    </row>
    <row r="204" spans="1:8" hidden="1" x14ac:dyDescent="0.35">
      <c r="A204" t="s">
        <v>215</v>
      </c>
      <c r="B204" s="29" t="s">
        <v>26</v>
      </c>
      <c r="C204" s="29">
        <v>2</v>
      </c>
      <c r="D204" s="29">
        <v>61</v>
      </c>
      <c r="E204" t="s">
        <v>124</v>
      </c>
      <c r="F204" t="s">
        <v>67</v>
      </c>
      <c r="G204" s="117">
        <v>10000</v>
      </c>
      <c r="H204" s="117">
        <v>10000</v>
      </c>
    </row>
    <row r="205" spans="1:8" hidden="1" x14ac:dyDescent="0.35">
      <c r="A205" t="s">
        <v>215</v>
      </c>
      <c r="B205" s="29" t="s">
        <v>26</v>
      </c>
      <c r="C205" s="29">
        <v>2</v>
      </c>
      <c r="D205" s="29">
        <v>62</v>
      </c>
      <c r="E205" t="s">
        <v>124</v>
      </c>
      <c r="F205" t="s">
        <v>128</v>
      </c>
      <c r="G205" s="118">
        <v>60000</v>
      </c>
      <c r="H205" s="118">
        <v>60000</v>
      </c>
    </row>
    <row r="206" spans="1:8" hidden="1" x14ac:dyDescent="0.35">
      <c r="A206" t="s">
        <v>215</v>
      </c>
      <c r="B206" s="29" t="s">
        <v>26</v>
      </c>
      <c r="C206" s="29">
        <v>2</v>
      </c>
      <c r="D206" s="29">
        <v>63</v>
      </c>
      <c r="E206" t="s">
        <v>124</v>
      </c>
      <c r="F206" t="s">
        <v>129</v>
      </c>
      <c r="G206" s="117">
        <v>10000</v>
      </c>
      <c r="H206" s="117">
        <v>10000</v>
      </c>
    </row>
    <row r="207" spans="1:8" hidden="1" x14ac:dyDescent="0.35">
      <c r="A207" t="s">
        <v>215</v>
      </c>
      <c r="B207" s="29" t="s">
        <v>26</v>
      </c>
      <c r="C207" s="29">
        <v>2</v>
      </c>
      <c r="D207" s="29">
        <v>64</v>
      </c>
      <c r="E207" t="s">
        <v>124</v>
      </c>
      <c r="F207" t="s">
        <v>130</v>
      </c>
      <c r="G207" s="117">
        <v>36500</v>
      </c>
      <c r="H207" s="117">
        <v>36500</v>
      </c>
    </row>
    <row r="208" spans="1:8" hidden="1" x14ac:dyDescent="0.35">
      <c r="A208" t="s">
        <v>215</v>
      </c>
      <c r="B208" s="29" t="s">
        <v>26</v>
      </c>
      <c r="C208" s="29">
        <v>2</v>
      </c>
      <c r="D208" s="29">
        <v>65</v>
      </c>
      <c r="E208" t="s">
        <v>124</v>
      </c>
      <c r="F208" t="s">
        <v>131</v>
      </c>
      <c r="G208" s="117">
        <v>2100</v>
      </c>
      <c r="H208" s="117">
        <v>2100</v>
      </c>
    </row>
    <row r="209" spans="1:8" hidden="1" x14ac:dyDescent="0.35">
      <c r="A209" t="s">
        <v>215</v>
      </c>
      <c r="B209" s="29" t="s">
        <v>26</v>
      </c>
      <c r="C209" s="29">
        <v>2</v>
      </c>
      <c r="D209" s="29">
        <v>66</v>
      </c>
      <c r="E209" t="s">
        <v>124</v>
      </c>
      <c r="F209" t="s">
        <v>132</v>
      </c>
      <c r="G209" s="117"/>
      <c r="H209" s="117"/>
    </row>
    <row r="210" spans="1:8" hidden="1" x14ac:dyDescent="0.35">
      <c r="A210" t="s">
        <v>215</v>
      </c>
      <c r="B210" s="29" t="s">
        <v>26</v>
      </c>
      <c r="C210" s="29">
        <v>2</v>
      </c>
      <c r="D210" s="29">
        <v>67</v>
      </c>
      <c r="E210" t="s">
        <v>124</v>
      </c>
      <c r="F210" t="s">
        <v>41</v>
      </c>
      <c r="G210" s="117">
        <v>5000</v>
      </c>
      <c r="H210" s="117">
        <v>5000</v>
      </c>
    </row>
    <row r="211" spans="1:8" hidden="1" x14ac:dyDescent="0.35">
      <c r="A211" t="s">
        <v>215</v>
      </c>
      <c r="B211" s="29" t="s">
        <v>26</v>
      </c>
      <c r="C211" s="29">
        <v>2</v>
      </c>
      <c r="D211" s="29">
        <v>68</v>
      </c>
      <c r="E211" t="s">
        <v>124</v>
      </c>
      <c r="F211" t="s">
        <v>133</v>
      </c>
      <c r="G211" s="117"/>
      <c r="H211" s="117"/>
    </row>
    <row r="212" spans="1:8" hidden="1" x14ac:dyDescent="0.35">
      <c r="A212" t="s">
        <v>215</v>
      </c>
      <c r="B212" s="29" t="s">
        <v>26</v>
      </c>
      <c r="C212" s="29">
        <v>2</v>
      </c>
      <c r="D212" s="29">
        <v>69</v>
      </c>
      <c r="E212" t="s">
        <v>124</v>
      </c>
      <c r="F212" t="s">
        <v>134</v>
      </c>
      <c r="G212" s="117"/>
      <c r="H212" s="117"/>
    </row>
    <row r="213" spans="1:8" hidden="1" x14ac:dyDescent="0.35">
      <c r="A213" t="s">
        <v>215</v>
      </c>
      <c r="B213" s="29" t="s">
        <v>26</v>
      </c>
      <c r="C213" s="29">
        <v>2</v>
      </c>
      <c r="D213" s="29">
        <v>70</v>
      </c>
      <c r="E213" t="s">
        <v>124</v>
      </c>
      <c r="F213" t="s">
        <v>135</v>
      </c>
      <c r="G213" s="117">
        <v>1550</v>
      </c>
      <c r="H213" s="117">
        <v>1550</v>
      </c>
    </row>
    <row r="214" spans="1:8" hidden="1" x14ac:dyDescent="0.35">
      <c r="A214" t="s">
        <v>215</v>
      </c>
      <c r="B214" s="29" t="s">
        <v>26</v>
      </c>
      <c r="C214" s="29">
        <v>2</v>
      </c>
      <c r="D214" s="29">
        <v>71</v>
      </c>
      <c r="E214" t="s">
        <v>124</v>
      </c>
      <c r="F214" t="s">
        <v>136</v>
      </c>
      <c r="G214" s="117">
        <v>20000</v>
      </c>
      <c r="H214" s="117">
        <v>20000</v>
      </c>
    </row>
    <row r="215" spans="1:8" hidden="1" x14ac:dyDescent="0.35">
      <c r="A215" t="s">
        <v>215</v>
      </c>
      <c r="B215" s="29" t="s">
        <v>26</v>
      </c>
      <c r="C215" s="29">
        <v>2</v>
      </c>
      <c r="D215" s="29">
        <v>72</v>
      </c>
      <c r="E215" t="s">
        <v>124</v>
      </c>
      <c r="F215" t="s">
        <v>124</v>
      </c>
      <c r="G215" s="117"/>
      <c r="H215" s="117"/>
    </row>
    <row r="216" spans="1:8" hidden="1" x14ac:dyDescent="0.35">
      <c r="A216" t="s">
        <v>215</v>
      </c>
      <c r="B216" s="29" t="s">
        <v>26</v>
      </c>
      <c r="C216" s="29">
        <v>2</v>
      </c>
      <c r="D216" s="29">
        <v>73</v>
      </c>
      <c r="E216" t="s">
        <v>137</v>
      </c>
      <c r="F216" t="s">
        <v>138</v>
      </c>
      <c r="G216" s="117">
        <v>28000</v>
      </c>
      <c r="H216" s="117">
        <v>28000</v>
      </c>
    </row>
    <row r="217" spans="1:8" hidden="1" x14ac:dyDescent="0.35">
      <c r="A217" t="s">
        <v>215</v>
      </c>
      <c r="B217" s="29" t="s">
        <v>26</v>
      </c>
      <c r="C217" s="29">
        <v>2</v>
      </c>
      <c r="D217" s="29">
        <v>74</v>
      </c>
      <c r="E217" t="s">
        <v>137</v>
      </c>
      <c r="F217" t="s">
        <v>139</v>
      </c>
      <c r="G217" s="117"/>
      <c r="H217" s="117"/>
    </row>
    <row r="218" spans="1:8" hidden="1" x14ac:dyDescent="0.35">
      <c r="A218" t="s">
        <v>215</v>
      </c>
      <c r="B218" s="29" t="s">
        <v>26</v>
      </c>
      <c r="C218" s="29">
        <v>2</v>
      </c>
      <c r="D218" s="29">
        <v>75</v>
      </c>
      <c r="E218" t="s">
        <v>137</v>
      </c>
      <c r="F218" t="s">
        <v>140</v>
      </c>
      <c r="G218" s="117"/>
      <c r="H218" s="117"/>
    </row>
    <row r="219" spans="1:8" hidden="1" x14ac:dyDescent="0.35">
      <c r="A219" t="s">
        <v>215</v>
      </c>
      <c r="B219" s="29" t="s">
        <v>26</v>
      </c>
      <c r="C219" s="29">
        <v>2</v>
      </c>
      <c r="D219" s="29">
        <v>76</v>
      </c>
      <c r="E219" t="s">
        <v>137</v>
      </c>
      <c r="F219" t="s">
        <v>141</v>
      </c>
      <c r="G219" s="117"/>
      <c r="H219" s="117"/>
    </row>
    <row r="220" spans="1:8" hidden="1" x14ac:dyDescent="0.35">
      <c r="A220" t="s">
        <v>215</v>
      </c>
      <c r="B220" s="29" t="s">
        <v>26</v>
      </c>
      <c r="C220" s="29">
        <v>2</v>
      </c>
      <c r="D220" s="29">
        <v>77</v>
      </c>
      <c r="E220" t="s">
        <v>137</v>
      </c>
      <c r="F220" t="s">
        <v>142</v>
      </c>
      <c r="G220" s="117"/>
      <c r="H220" s="117"/>
    </row>
    <row r="221" spans="1:8" hidden="1" x14ac:dyDescent="0.35">
      <c r="A221" t="s">
        <v>215</v>
      </c>
      <c r="B221" s="29" t="s">
        <v>26</v>
      </c>
      <c r="C221" s="29">
        <v>2</v>
      </c>
      <c r="D221" s="29">
        <v>78</v>
      </c>
      <c r="E221" t="s">
        <v>137</v>
      </c>
      <c r="F221" t="s">
        <v>143</v>
      </c>
      <c r="G221" s="117">
        <v>66000</v>
      </c>
      <c r="H221" s="117">
        <v>66000</v>
      </c>
    </row>
    <row r="222" spans="1:8" hidden="1" x14ac:dyDescent="0.35">
      <c r="A222" t="s">
        <v>215</v>
      </c>
      <c r="B222" s="29" t="s">
        <v>26</v>
      </c>
      <c r="C222" s="29">
        <v>2</v>
      </c>
      <c r="D222" s="29">
        <v>79</v>
      </c>
      <c r="E222" t="s">
        <v>137</v>
      </c>
      <c r="F222" t="s">
        <v>144</v>
      </c>
      <c r="G222" s="117">
        <v>5750</v>
      </c>
      <c r="H222" s="117">
        <v>5750</v>
      </c>
    </row>
    <row r="223" spans="1:8" hidden="1" x14ac:dyDescent="0.35">
      <c r="A223" t="s">
        <v>215</v>
      </c>
      <c r="B223" s="29" t="s">
        <v>26</v>
      </c>
      <c r="C223" s="29">
        <v>2</v>
      </c>
      <c r="D223" s="29">
        <v>80</v>
      </c>
      <c r="E223" t="s">
        <v>137</v>
      </c>
      <c r="F223" t="s">
        <v>145</v>
      </c>
      <c r="G223" s="117">
        <v>5500</v>
      </c>
      <c r="H223" s="117">
        <v>5500</v>
      </c>
    </row>
    <row r="224" spans="1:8" hidden="1" x14ac:dyDescent="0.35">
      <c r="A224" t="s">
        <v>215</v>
      </c>
      <c r="B224" s="29" t="s">
        <v>26</v>
      </c>
      <c r="C224" s="29">
        <v>2</v>
      </c>
      <c r="D224" s="29">
        <v>81</v>
      </c>
      <c r="E224" t="s">
        <v>137</v>
      </c>
      <c r="F224" t="s">
        <v>146</v>
      </c>
      <c r="G224" s="117">
        <v>8000</v>
      </c>
      <c r="H224" s="117">
        <v>8000</v>
      </c>
    </row>
    <row r="225" spans="1:8" hidden="1" x14ac:dyDescent="0.35">
      <c r="A225" t="s">
        <v>215</v>
      </c>
      <c r="B225" s="29" t="s">
        <v>26</v>
      </c>
      <c r="C225" s="29">
        <v>2</v>
      </c>
      <c r="D225" s="29">
        <v>82</v>
      </c>
      <c r="E225" t="s">
        <v>137</v>
      </c>
      <c r="F225" t="s">
        <v>147</v>
      </c>
      <c r="G225" s="117">
        <v>10000</v>
      </c>
      <c r="H225" s="117">
        <v>10000</v>
      </c>
    </row>
    <row r="226" spans="1:8" hidden="1" x14ac:dyDescent="0.35">
      <c r="A226" t="s">
        <v>215</v>
      </c>
      <c r="B226" s="29" t="s">
        <v>26</v>
      </c>
      <c r="C226" s="29">
        <v>2</v>
      </c>
      <c r="D226" s="29">
        <v>83</v>
      </c>
      <c r="E226" t="s">
        <v>137</v>
      </c>
      <c r="F226" t="s">
        <v>228</v>
      </c>
      <c r="G226" s="119">
        <v>250000</v>
      </c>
      <c r="H226" s="119">
        <v>250000</v>
      </c>
    </row>
    <row r="227" spans="1:8" hidden="1" x14ac:dyDescent="0.35">
      <c r="A227" t="s">
        <v>215</v>
      </c>
      <c r="B227" s="29" t="s">
        <v>26</v>
      </c>
      <c r="C227" s="29">
        <v>2</v>
      </c>
      <c r="D227" s="29">
        <v>84</v>
      </c>
      <c r="E227" t="s">
        <v>137</v>
      </c>
      <c r="F227" t="s">
        <v>149</v>
      </c>
      <c r="G227" s="117"/>
      <c r="H227" s="117"/>
    </row>
    <row r="228" spans="1:8" hidden="1" x14ac:dyDescent="0.35">
      <c r="A228" t="s">
        <v>215</v>
      </c>
      <c r="B228" s="29" t="s">
        <v>26</v>
      </c>
      <c r="C228" s="29">
        <v>2</v>
      </c>
      <c r="D228" s="29">
        <v>85</v>
      </c>
      <c r="E228" t="s">
        <v>137</v>
      </c>
      <c r="F228" t="s">
        <v>150</v>
      </c>
      <c r="G228" s="117"/>
      <c r="H228" s="117"/>
    </row>
    <row r="229" spans="1:8" hidden="1" x14ac:dyDescent="0.35">
      <c r="A229" t="s">
        <v>215</v>
      </c>
      <c r="B229" s="29" t="s">
        <v>26</v>
      </c>
      <c r="C229" s="29">
        <v>2</v>
      </c>
      <c r="D229" s="29">
        <v>86</v>
      </c>
      <c r="E229" t="s">
        <v>137</v>
      </c>
      <c r="F229" t="s">
        <v>151</v>
      </c>
      <c r="G229" s="117"/>
      <c r="H229" s="117"/>
    </row>
    <row r="230" spans="1:8" hidden="1" x14ac:dyDescent="0.35">
      <c r="A230" t="s">
        <v>215</v>
      </c>
      <c r="B230" s="29" t="s">
        <v>26</v>
      </c>
      <c r="C230" s="29">
        <v>2</v>
      </c>
      <c r="D230" s="29">
        <v>87</v>
      </c>
      <c r="E230" t="s">
        <v>137</v>
      </c>
      <c r="F230" t="s">
        <v>152</v>
      </c>
      <c r="G230" s="117">
        <v>4400</v>
      </c>
      <c r="H230" s="117">
        <v>4400</v>
      </c>
    </row>
    <row r="231" spans="1:8" hidden="1" x14ac:dyDescent="0.35">
      <c r="A231" t="s">
        <v>113</v>
      </c>
      <c r="B231" s="29" t="s">
        <v>5</v>
      </c>
      <c r="C231" s="29">
        <v>1</v>
      </c>
      <c r="D231" s="29">
        <v>1</v>
      </c>
      <c r="E231" t="s">
        <v>7</v>
      </c>
      <c r="F231" t="s">
        <v>7</v>
      </c>
      <c r="G231" s="119">
        <v>262137</v>
      </c>
      <c r="H231" s="190">
        <v>238293</v>
      </c>
    </row>
    <row r="232" spans="1:8" hidden="1" x14ac:dyDescent="0.35">
      <c r="A232" t="s">
        <v>113</v>
      </c>
      <c r="B232" s="29" t="s">
        <v>5</v>
      </c>
      <c r="C232" s="29">
        <v>1</v>
      </c>
      <c r="D232" s="29">
        <v>2</v>
      </c>
      <c r="E232" t="s">
        <v>98</v>
      </c>
      <c r="F232" t="s">
        <v>99</v>
      </c>
      <c r="G232" s="119">
        <v>14000</v>
      </c>
      <c r="H232" s="119">
        <v>14000</v>
      </c>
    </row>
    <row r="233" spans="1:8" hidden="1" x14ac:dyDescent="0.35">
      <c r="A233" t="s">
        <v>113</v>
      </c>
      <c r="B233" s="29" t="s">
        <v>5</v>
      </c>
      <c r="C233" s="29">
        <v>1</v>
      </c>
      <c r="D233" s="29">
        <v>3</v>
      </c>
      <c r="E233" t="s">
        <v>100</v>
      </c>
      <c r="F233" t="s">
        <v>16</v>
      </c>
      <c r="G233" s="119">
        <v>100000</v>
      </c>
      <c r="H233" s="190">
        <v>200000</v>
      </c>
    </row>
    <row r="234" spans="1:8" hidden="1" x14ac:dyDescent="0.35">
      <c r="A234" t="s">
        <v>113</v>
      </c>
      <c r="B234" s="29" t="s">
        <v>5</v>
      </c>
      <c r="C234" s="29">
        <v>1</v>
      </c>
      <c r="D234" s="29">
        <v>4</v>
      </c>
      <c r="E234" t="s">
        <v>100</v>
      </c>
      <c r="F234" t="s">
        <v>101</v>
      </c>
      <c r="G234" s="119">
        <v>100000</v>
      </c>
      <c r="H234" s="190">
        <v>300000</v>
      </c>
    </row>
    <row r="235" spans="1:8" hidden="1" x14ac:dyDescent="0.35">
      <c r="A235" t="s">
        <v>113</v>
      </c>
      <c r="B235" s="29" t="s">
        <v>5</v>
      </c>
      <c r="C235" s="29">
        <v>1</v>
      </c>
      <c r="D235" s="29">
        <v>5</v>
      </c>
      <c r="E235" t="s">
        <v>102</v>
      </c>
      <c r="F235" t="s">
        <v>103</v>
      </c>
      <c r="G235" s="119">
        <v>120012</v>
      </c>
      <c r="H235" s="128">
        <v>120012</v>
      </c>
    </row>
    <row r="236" spans="1:8" hidden="1" x14ac:dyDescent="0.35">
      <c r="A236" t="s">
        <v>113</v>
      </c>
      <c r="B236" s="29" t="s">
        <v>5</v>
      </c>
      <c r="C236" s="29">
        <v>1</v>
      </c>
      <c r="D236" s="29">
        <v>6</v>
      </c>
      <c r="E236" t="s">
        <v>102</v>
      </c>
      <c r="F236" t="s">
        <v>104</v>
      </c>
      <c r="G236" s="119">
        <v>68444</v>
      </c>
      <c r="H236" s="128">
        <v>68444</v>
      </c>
    </row>
    <row r="237" spans="1:8" hidden="1" x14ac:dyDescent="0.35">
      <c r="A237" t="s">
        <v>113</v>
      </c>
      <c r="B237" s="29" t="s">
        <v>5</v>
      </c>
      <c r="C237" s="29">
        <v>1</v>
      </c>
      <c r="D237" s="29">
        <v>7</v>
      </c>
      <c r="E237" t="s">
        <v>102</v>
      </c>
      <c r="F237" t="s">
        <v>105</v>
      </c>
      <c r="G237" s="119">
        <v>500</v>
      </c>
      <c r="H237" s="128">
        <v>500</v>
      </c>
    </row>
    <row r="238" spans="1:8" hidden="1" x14ac:dyDescent="0.35">
      <c r="A238" t="s">
        <v>113</v>
      </c>
      <c r="B238" s="29" t="s">
        <v>5</v>
      </c>
      <c r="C238" s="29">
        <v>1</v>
      </c>
      <c r="D238" s="29">
        <v>8</v>
      </c>
      <c r="E238" t="s">
        <v>102</v>
      </c>
      <c r="F238" t="s">
        <v>106</v>
      </c>
      <c r="G238" s="119">
        <v>15000</v>
      </c>
      <c r="H238" s="119">
        <v>0</v>
      </c>
    </row>
    <row r="239" spans="1:8" hidden="1" x14ac:dyDescent="0.35">
      <c r="A239" t="s">
        <v>113</v>
      </c>
      <c r="B239" s="29" t="s">
        <v>5</v>
      </c>
      <c r="C239" s="29">
        <v>1</v>
      </c>
      <c r="D239" s="29">
        <v>9</v>
      </c>
      <c r="E239" t="s">
        <v>102</v>
      </c>
      <c r="F239" t="s">
        <v>107</v>
      </c>
      <c r="G239" s="119">
        <v>14000</v>
      </c>
      <c r="H239" s="190">
        <v>8872.59</v>
      </c>
    </row>
    <row r="240" spans="1:8" hidden="1" x14ac:dyDescent="0.35">
      <c r="A240" t="s">
        <v>113</v>
      </c>
      <c r="B240" s="29" t="s">
        <v>5</v>
      </c>
      <c r="C240" s="29">
        <v>1</v>
      </c>
      <c r="D240" s="29">
        <v>10</v>
      </c>
      <c r="E240" t="s">
        <v>102</v>
      </c>
      <c r="F240" t="s">
        <v>108</v>
      </c>
      <c r="G240" s="119">
        <v>17894</v>
      </c>
      <c r="H240" s="128">
        <v>17894</v>
      </c>
    </row>
    <row r="241" spans="1:8" hidden="1" x14ac:dyDescent="0.35">
      <c r="A241" t="s">
        <v>113</v>
      </c>
      <c r="B241" s="29" t="s">
        <v>5</v>
      </c>
      <c r="C241" s="29">
        <v>1</v>
      </c>
      <c r="D241" s="29">
        <v>11</v>
      </c>
      <c r="E241" t="s">
        <v>102</v>
      </c>
      <c r="F241" t="s">
        <v>109</v>
      </c>
      <c r="G241" s="119">
        <v>293</v>
      </c>
      <c r="H241" s="119">
        <v>293</v>
      </c>
    </row>
    <row r="242" spans="1:8" hidden="1" x14ac:dyDescent="0.35">
      <c r="A242" t="s">
        <v>113</v>
      </c>
      <c r="B242" s="29" t="s">
        <v>5</v>
      </c>
      <c r="C242" s="29">
        <v>1</v>
      </c>
      <c r="D242" s="29">
        <v>12</v>
      </c>
      <c r="E242" t="s">
        <v>110</v>
      </c>
      <c r="F242" t="s">
        <v>111</v>
      </c>
      <c r="G242" s="119"/>
      <c r="H242" s="119"/>
    </row>
    <row r="243" spans="1:8" x14ac:dyDescent="0.35">
      <c r="A243" t="s">
        <v>1</v>
      </c>
      <c r="B243" s="29" t="s">
        <v>5</v>
      </c>
      <c r="C243" s="29">
        <v>1</v>
      </c>
      <c r="D243" s="29">
        <v>7</v>
      </c>
      <c r="E243" s="2" t="s">
        <v>110</v>
      </c>
      <c r="F243" s="16" t="s">
        <v>22</v>
      </c>
      <c r="G243" s="95">
        <v>38422</v>
      </c>
      <c r="H243" s="95">
        <v>38422</v>
      </c>
    </row>
    <row r="244" spans="1:8" x14ac:dyDescent="0.35">
      <c r="A244" t="s">
        <v>115</v>
      </c>
      <c r="B244" s="29" t="s">
        <v>5</v>
      </c>
      <c r="C244" s="29">
        <v>1</v>
      </c>
      <c r="D244" s="261">
        <v>6</v>
      </c>
      <c r="E244" s="79" t="s">
        <v>110</v>
      </c>
      <c r="F244" s="75" t="s">
        <v>22</v>
      </c>
      <c r="G244" s="110"/>
      <c r="H244" s="110"/>
    </row>
    <row r="245" spans="1:8" x14ac:dyDescent="0.35">
      <c r="A245" t="s">
        <v>216</v>
      </c>
      <c r="B245" s="29" t="s">
        <v>5</v>
      </c>
      <c r="C245" s="29">
        <v>1</v>
      </c>
      <c r="D245" s="29">
        <v>6</v>
      </c>
      <c r="E245" s="2" t="s">
        <v>110</v>
      </c>
      <c r="F245" s="16" t="s">
        <v>22</v>
      </c>
      <c r="G245" s="127">
        <v>9000</v>
      </c>
      <c r="H245" s="127">
        <v>9000</v>
      </c>
    </row>
    <row r="246" spans="1:8" x14ac:dyDescent="0.35">
      <c r="A246" t="s">
        <v>97</v>
      </c>
      <c r="B246" s="29" t="s">
        <v>5</v>
      </c>
      <c r="C246" s="29">
        <v>1</v>
      </c>
      <c r="D246" s="29">
        <v>16</v>
      </c>
      <c r="E246" t="s">
        <v>110</v>
      </c>
      <c r="F246" t="s">
        <v>229</v>
      </c>
      <c r="G246" s="119">
        <v>35619</v>
      </c>
      <c r="H246" s="119">
        <v>35619</v>
      </c>
    </row>
    <row r="247" spans="1:8" x14ac:dyDescent="0.35">
      <c r="A247" t="s">
        <v>113</v>
      </c>
      <c r="B247" s="29" t="s">
        <v>5</v>
      </c>
      <c r="C247" s="29">
        <v>1</v>
      </c>
      <c r="D247" s="29">
        <v>16</v>
      </c>
      <c r="E247" t="s">
        <v>110</v>
      </c>
      <c r="F247" t="s">
        <v>229</v>
      </c>
      <c r="G247" s="119">
        <v>3300</v>
      </c>
      <c r="H247" s="128">
        <v>3300</v>
      </c>
    </row>
    <row r="248" spans="1:8" x14ac:dyDescent="0.35">
      <c r="A248" t="s">
        <v>215</v>
      </c>
      <c r="B248" s="29" t="s">
        <v>5</v>
      </c>
      <c r="C248" s="29">
        <v>1</v>
      </c>
      <c r="D248" s="29">
        <v>16</v>
      </c>
      <c r="E248" t="s">
        <v>110</v>
      </c>
      <c r="F248" t="s">
        <v>230</v>
      </c>
      <c r="G248" s="119">
        <v>1710</v>
      </c>
      <c r="H248" s="128">
        <v>1710</v>
      </c>
    </row>
    <row r="249" spans="1:8" hidden="1" x14ac:dyDescent="0.35">
      <c r="A249" t="s">
        <v>113</v>
      </c>
      <c r="B249" s="29" t="s">
        <v>5</v>
      </c>
      <c r="C249" s="29">
        <v>1</v>
      </c>
      <c r="D249" s="29">
        <v>19</v>
      </c>
      <c r="E249" t="s">
        <v>221</v>
      </c>
      <c r="F249" t="s">
        <v>222</v>
      </c>
      <c r="G249" s="119">
        <v>3763</v>
      </c>
      <c r="H249" s="128">
        <v>3763</v>
      </c>
    </row>
    <row r="250" spans="1:8" hidden="1" x14ac:dyDescent="0.35">
      <c r="A250" t="s">
        <v>113</v>
      </c>
      <c r="B250" s="29" t="s">
        <v>5</v>
      </c>
      <c r="C250" s="29">
        <v>1</v>
      </c>
      <c r="D250" s="29">
        <v>20</v>
      </c>
      <c r="E250" t="s">
        <v>110</v>
      </c>
      <c r="F250" t="s">
        <v>12</v>
      </c>
      <c r="G250" s="119">
        <v>68607</v>
      </c>
      <c r="H250" s="128">
        <v>68607</v>
      </c>
    </row>
    <row r="251" spans="1:8" hidden="1" x14ac:dyDescent="0.35">
      <c r="A251" t="s">
        <v>113</v>
      </c>
      <c r="B251" s="29" t="s">
        <v>5</v>
      </c>
      <c r="C251" s="29">
        <v>1</v>
      </c>
      <c r="D251" s="29">
        <v>21</v>
      </c>
      <c r="E251" t="s">
        <v>110</v>
      </c>
      <c r="F251" t="s">
        <v>220</v>
      </c>
      <c r="G251" s="119">
        <v>16602</v>
      </c>
      <c r="H251" s="128">
        <v>16602</v>
      </c>
    </row>
    <row r="252" spans="1:8" hidden="1" x14ac:dyDescent="0.35">
      <c r="A252" t="s">
        <v>113</v>
      </c>
      <c r="B252" s="29" t="s">
        <v>5</v>
      </c>
      <c r="C252" s="29">
        <v>1</v>
      </c>
      <c r="D252" s="29">
        <v>22</v>
      </c>
      <c r="E252" t="s">
        <v>110</v>
      </c>
      <c r="F252" t="s">
        <v>8</v>
      </c>
      <c r="G252" s="119">
        <v>120247</v>
      </c>
      <c r="H252" s="128">
        <v>120247</v>
      </c>
    </row>
    <row r="253" spans="1:8" hidden="1" x14ac:dyDescent="0.35">
      <c r="A253" t="s">
        <v>113</v>
      </c>
      <c r="B253" s="29" t="s">
        <v>5</v>
      </c>
      <c r="C253" s="29">
        <v>1</v>
      </c>
      <c r="D253" s="29">
        <v>23</v>
      </c>
      <c r="E253" t="s">
        <v>110</v>
      </c>
      <c r="F253" t="s">
        <v>117</v>
      </c>
      <c r="G253" s="119">
        <v>6727</v>
      </c>
      <c r="H253" s="119">
        <v>6727</v>
      </c>
    </row>
    <row r="254" spans="1:8" hidden="1" x14ac:dyDescent="0.35">
      <c r="A254" t="s">
        <v>113</v>
      </c>
      <c r="B254" s="29" t="s">
        <v>5</v>
      </c>
      <c r="C254" s="29">
        <v>1</v>
      </c>
      <c r="D254" s="29">
        <v>24</v>
      </c>
      <c r="E254" t="s">
        <v>110</v>
      </c>
      <c r="F254" t="s">
        <v>118</v>
      </c>
      <c r="G254" s="119">
        <v>132096</v>
      </c>
      <c r="H254" s="119">
        <v>132096</v>
      </c>
    </row>
    <row r="255" spans="1:8" hidden="1" x14ac:dyDescent="0.35">
      <c r="A255" t="s">
        <v>113</v>
      </c>
      <c r="B255" s="29" t="s">
        <v>5</v>
      </c>
      <c r="C255" s="29">
        <v>1</v>
      </c>
      <c r="D255" s="29">
        <v>27</v>
      </c>
      <c r="E255" t="s">
        <v>102</v>
      </c>
      <c r="F255" t="s">
        <v>119</v>
      </c>
      <c r="G255" s="119">
        <v>340674</v>
      </c>
      <c r="H255" s="128">
        <v>340674</v>
      </c>
    </row>
    <row r="256" spans="1:8" hidden="1" x14ac:dyDescent="0.35">
      <c r="A256" t="s">
        <v>113</v>
      </c>
      <c r="B256" s="29" t="s">
        <v>5</v>
      </c>
      <c r="C256" s="29">
        <v>1</v>
      </c>
      <c r="D256" s="29">
        <v>28</v>
      </c>
      <c r="E256" t="s">
        <v>102</v>
      </c>
      <c r="F256" t="s">
        <v>120</v>
      </c>
      <c r="G256" s="119">
        <v>3942410</v>
      </c>
      <c r="H256" s="241">
        <v>3504364.444444444</v>
      </c>
    </row>
    <row r="257" spans="1:8" hidden="1" x14ac:dyDescent="0.35">
      <c r="A257" t="s">
        <v>113</v>
      </c>
      <c r="B257" s="29" t="s">
        <v>5</v>
      </c>
      <c r="C257" s="29">
        <v>1</v>
      </c>
      <c r="D257" s="29">
        <v>29</v>
      </c>
      <c r="E257" t="s">
        <v>102</v>
      </c>
      <c r="F257" t="s">
        <v>121</v>
      </c>
      <c r="G257" s="117">
        <v>0</v>
      </c>
      <c r="H257" s="1156">
        <v>36568.315970038813</v>
      </c>
    </row>
    <row r="258" spans="1:8" hidden="1" x14ac:dyDescent="0.35">
      <c r="A258" t="s">
        <v>113</v>
      </c>
      <c r="B258" s="29" t="s">
        <v>26</v>
      </c>
      <c r="C258" s="29">
        <v>2</v>
      </c>
      <c r="D258" s="29">
        <v>1</v>
      </c>
      <c r="E258" t="s">
        <v>122</v>
      </c>
      <c r="F258" t="s">
        <v>231</v>
      </c>
      <c r="G258" s="117">
        <v>1899000</v>
      </c>
      <c r="H258" s="190">
        <f>'23-24 C3 staffing'!F27</f>
        <v>1688000</v>
      </c>
    </row>
    <row r="259" spans="1:8" hidden="1" x14ac:dyDescent="0.35">
      <c r="A259" t="s">
        <v>113</v>
      </c>
      <c r="B259" s="29" t="s">
        <v>26</v>
      </c>
      <c r="C259" s="29">
        <v>2</v>
      </c>
      <c r="D259" s="29">
        <v>2</v>
      </c>
      <c r="E259" t="s">
        <v>122</v>
      </c>
      <c r="F259" t="s">
        <v>153</v>
      </c>
      <c r="G259" s="117"/>
      <c r="H259" s="117"/>
    </row>
    <row r="260" spans="1:8" hidden="1" x14ac:dyDescent="0.35">
      <c r="A260" t="s">
        <v>113</v>
      </c>
      <c r="B260" s="29" t="s">
        <v>26</v>
      </c>
      <c r="C260" s="29">
        <v>2</v>
      </c>
      <c r="D260" s="29">
        <v>3</v>
      </c>
      <c r="E260" t="s">
        <v>122</v>
      </c>
      <c r="F260" s="2" t="s">
        <v>154</v>
      </c>
      <c r="G260" s="117">
        <v>57400</v>
      </c>
      <c r="H260" s="190">
        <f>H258*0.04</f>
        <v>67520</v>
      </c>
    </row>
    <row r="261" spans="1:8" hidden="1" x14ac:dyDescent="0.35">
      <c r="A261" t="s">
        <v>113</v>
      </c>
      <c r="B261" s="29" t="s">
        <v>26</v>
      </c>
      <c r="C261" s="29">
        <v>2</v>
      </c>
      <c r="D261" s="29">
        <v>4</v>
      </c>
      <c r="E261" t="s">
        <v>155</v>
      </c>
      <c r="F261" t="s">
        <v>224</v>
      </c>
      <c r="G261" s="117">
        <v>27535.5</v>
      </c>
      <c r="H261" s="190">
        <f>H258*0.0145</f>
        <v>24476</v>
      </c>
    </row>
    <row r="262" spans="1:8" hidden="1" x14ac:dyDescent="0.35">
      <c r="A262" t="s">
        <v>113</v>
      </c>
      <c r="B262" s="29" t="s">
        <v>26</v>
      </c>
      <c r="C262" s="29">
        <v>2</v>
      </c>
      <c r="D262" s="29">
        <v>5</v>
      </c>
      <c r="E262" t="s">
        <v>155</v>
      </c>
      <c r="F262" t="s">
        <v>157</v>
      </c>
      <c r="G262" s="117">
        <v>406386</v>
      </c>
      <c r="H262" s="190">
        <f>H258*0.214</f>
        <v>361232</v>
      </c>
    </row>
    <row r="263" spans="1:8" hidden="1" x14ac:dyDescent="0.35">
      <c r="A263" t="s">
        <v>113</v>
      </c>
      <c r="B263" s="29" t="s">
        <v>26</v>
      </c>
      <c r="C263" s="29">
        <v>2</v>
      </c>
      <c r="D263" s="29">
        <v>6</v>
      </c>
      <c r="E263" t="s">
        <v>155</v>
      </c>
      <c r="F263" t="s">
        <v>158</v>
      </c>
      <c r="G263" s="119">
        <v>187502.97600000002</v>
      </c>
      <c r="H263" s="190">
        <f>('23-24 C3 staffing'!B43*0.8)*6334.56</f>
        <v>177367.68000000002</v>
      </c>
    </row>
    <row r="264" spans="1:8" hidden="1" x14ac:dyDescent="0.35">
      <c r="A264" t="s">
        <v>113</v>
      </c>
      <c r="B264" s="29" t="s">
        <v>26</v>
      </c>
      <c r="C264" s="29">
        <v>2</v>
      </c>
      <c r="D264" s="29">
        <v>7</v>
      </c>
      <c r="E264" t="s">
        <v>124</v>
      </c>
      <c r="F264" t="s">
        <v>159</v>
      </c>
      <c r="G264" s="117">
        <v>4070</v>
      </c>
      <c r="H264" s="190">
        <f>(H258+H267+H270)*0.017</f>
        <v>36448</v>
      </c>
    </row>
    <row r="265" spans="1:8" hidden="1" x14ac:dyDescent="0.35">
      <c r="A265" t="s">
        <v>113</v>
      </c>
      <c r="B265" s="29" t="s">
        <v>26</v>
      </c>
      <c r="C265" s="29">
        <v>2</v>
      </c>
      <c r="D265" s="29">
        <v>8</v>
      </c>
      <c r="E265" t="s">
        <v>124</v>
      </c>
      <c r="F265" t="s">
        <v>160</v>
      </c>
      <c r="G265" s="117">
        <v>12250</v>
      </c>
      <c r="H265" s="190">
        <f>(H258+H267+H270)*0.0126</f>
        <v>27014.400000000001</v>
      </c>
    </row>
    <row r="266" spans="1:8" hidden="1" x14ac:dyDescent="0.35">
      <c r="A266" t="s">
        <v>113</v>
      </c>
      <c r="B266" s="29" t="s">
        <v>26</v>
      </c>
      <c r="C266" s="29">
        <v>2</v>
      </c>
      <c r="D266" s="29">
        <v>9</v>
      </c>
      <c r="E266" t="s">
        <v>124</v>
      </c>
      <c r="F266" t="s">
        <v>161</v>
      </c>
      <c r="G266" s="117"/>
      <c r="H266" s="190">
        <f>'23-24 C3 staffing'!B43*8.4</f>
        <v>294</v>
      </c>
    </row>
    <row r="267" spans="1:8" hidden="1" x14ac:dyDescent="0.35">
      <c r="A267" t="s">
        <v>113</v>
      </c>
      <c r="B267" s="29" t="s">
        <v>26</v>
      </c>
      <c r="C267" s="29">
        <v>2</v>
      </c>
      <c r="D267" s="29">
        <v>10</v>
      </c>
      <c r="E267" t="s">
        <v>122</v>
      </c>
      <c r="F267" t="s">
        <v>77</v>
      </c>
      <c r="G267" s="117">
        <v>69000</v>
      </c>
      <c r="H267" s="117">
        <f>'23-24 C3 staffing'!F29</f>
        <v>71000</v>
      </c>
    </row>
    <row r="268" spans="1:8" hidden="1" x14ac:dyDescent="0.35">
      <c r="A268" t="s">
        <v>113</v>
      </c>
      <c r="B268" s="29" t="s">
        <v>26</v>
      </c>
      <c r="C268" s="29">
        <v>2</v>
      </c>
      <c r="D268" s="29">
        <v>11</v>
      </c>
      <c r="E268" t="s">
        <v>155</v>
      </c>
      <c r="F268" t="s">
        <v>162</v>
      </c>
      <c r="G268" s="117">
        <v>1000.5</v>
      </c>
      <c r="H268" s="117">
        <f>H267*0.0145</f>
        <v>1029.5</v>
      </c>
    </row>
    <row r="269" spans="1:8" hidden="1" x14ac:dyDescent="0.35">
      <c r="A269" t="s">
        <v>113</v>
      </c>
      <c r="B269" s="29" t="s">
        <v>26</v>
      </c>
      <c r="C269" s="29">
        <v>2</v>
      </c>
      <c r="D269" s="29">
        <v>12</v>
      </c>
      <c r="E269" t="s">
        <v>155</v>
      </c>
      <c r="F269" t="s">
        <v>163</v>
      </c>
      <c r="G269" s="117">
        <v>14766</v>
      </c>
      <c r="H269" s="117">
        <f>H267*0.214</f>
        <v>15194</v>
      </c>
    </row>
    <row r="270" spans="1:8" hidden="1" x14ac:dyDescent="0.35">
      <c r="A270" t="s">
        <v>113</v>
      </c>
      <c r="B270" s="29" t="s">
        <v>26</v>
      </c>
      <c r="C270" s="29">
        <v>2</v>
      </c>
      <c r="D270" s="29">
        <v>13</v>
      </c>
      <c r="E270" t="s">
        <v>122</v>
      </c>
      <c r="F270" t="s">
        <v>164</v>
      </c>
      <c r="G270" s="117">
        <v>375000</v>
      </c>
      <c r="H270" s="190">
        <f>'23-24 C3 staffing'!C41</f>
        <v>385000</v>
      </c>
    </row>
    <row r="271" spans="1:8" hidden="1" x14ac:dyDescent="0.35">
      <c r="A271" t="s">
        <v>113</v>
      </c>
      <c r="B271" s="29" t="s">
        <v>26</v>
      </c>
      <c r="C271" s="29">
        <v>2</v>
      </c>
      <c r="D271" s="29">
        <v>14</v>
      </c>
      <c r="E271" t="s">
        <v>122</v>
      </c>
      <c r="F271" t="s">
        <v>165</v>
      </c>
      <c r="G271" s="117"/>
      <c r="H271" s="117"/>
    </row>
    <row r="272" spans="1:8" hidden="1" x14ac:dyDescent="0.35">
      <c r="A272" t="s">
        <v>113</v>
      </c>
      <c r="B272" s="29" t="s">
        <v>26</v>
      </c>
      <c r="C272" s="29">
        <v>2</v>
      </c>
      <c r="D272" s="29">
        <v>15</v>
      </c>
      <c r="E272" t="s">
        <v>122</v>
      </c>
      <c r="F272" t="s">
        <v>166</v>
      </c>
      <c r="G272" s="117">
        <v>10000</v>
      </c>
      <c r="H272" s="117">
        <v>10000</v>
      </c>
    </row>
    <row r="273" spans="1:8" hidden="1" x14ac:dyDescent="0.35">
      <c r="A273" t="s">
        <v>113</v>
      </c>
      <c r="B273" s="29" t="s">
        <v>26</v>
      </c>
      <c r="C273" s="29">
        <v>2</v>
      </c>
      <c r="D273" s="29">
        <v>16</v>
      </c>
      <c r="E273" t="s">
        <v>155</v>
      </c>
      <c r="F273" t="s">
        <v>167</v>
      </c>
      <c r="G273" s="117">
        <v>5437.5</v>
      </c>
      <c r="H273" s="190">
        <f>H270*0.0145</f>
        <v>5582.5</v>
      </c>
    </row>
    <row r="274" spans="1:8" hidden="1" x14ac:dyDescent="0.35">
      <c r="A274" t="s">
        <v>113</v>
      </c>
      <c r="B274" s="29" t="s">
        <v>26</v>
      </c>
      <c r="C274" s="29">
        <v>2</v>
      </c>
      <c r="D274" s="29">
        <v>17</v>
      </c>
      <c r="E274" t="s">
        <v>155</v>
      </c>
      <c r="F274" t="s">
        <v>225</v>
      </c>
      <c r="G274" s="117">
        <v>80250</v>
      </c>
      <c r="H274" s="190">
        <f>H270*0.214</f>
        <v>82390</v>
      </c>
    </row>
    <row r="275" spans="1:8" hidden="1" x14ac:dyDescent="0.35">
      <c r="A275" t="s">
        <v>113</v>
      </c>
      <c r="B275" s="29" t="s">
        <v>26</v>
      </c>
      <c r="C275" s="29">
        <v>2</v>
      </c>
      <c r="D275" s="29">
        <v>18</v>
      </c>
      <c r="E275" t="s">
        <v>155</v>
      </c>
      <c r="F275" t="s">
        <v>121</v>
      </c>
      <c r="G275" s="117">
        <v>0</v>
      </c>
      <c r="H275" s="1156">
        <v>36568.315970038813</v>
      </c>
    </row>
    <row r="276" spans="1:8" hidden="1" x14ac:dyDescent="0.35">
      <c r="A276" t="s">
        <v>113</v>
      </c>
      <c r="B276" s="29" t="s">
        <v>26</v>
      </c>
      <c r="C276" s="29">
        <v>2</v>
      </c>
      <c r="D276" s="29">
        <v>19</v>
      </c>
      <c r="E276" t="s">
        <v>169</v>
      </c>
      <c r="F276" t="s">
        <v>170</v>
      </c>
      <c r="G276" s="117">
        <v>2600</v>
      </c>
      <c r="H276" s="117">
        <v>2600</v>
      </c>
    </row>
    <row r="277" spans="1:8" hidden="1" x14ac:dyDescent="0.35">
      <c r="A277" t="s">
        <v>113</v>
      </c>
      <c r="B277" s="29" t="s">
        <v>26</v>
      </c>
      <c r="C277" s="29">
        <v>2</v>
      </c>
      <c r="D277" s="29">
        <v>20</v>
      </c>
      <c r="E277" t="s">
        <v>169</v>
      </c>
      <c r="F277" t="s">
        <v>171</v>
      </c>
      <c r="G277" s="117"/>
      <c r="H277" s="117"/>
    </row>
    <row r="278" spans="1:8" hidden="1" x14ac:dyDescent="0.35">
      <c r="A278" t="s">
        <v>113</v>
      </c>
      <c r="B278" s="29" t="s">
        <v>26</v>
      </c>
      <c r="C278" s="29">
        <v>2</v>
      </c>
      <c r="D278" s="29">
        <v>21</v>
      </c>
      <c r="E278" t="s">
        <v>172</v>
      </c>
      <c r="F278" t="s">
        <v>173</v>
      </c>
      <c r="G278" s="117">
        <v>94006</v>
      </c>
      <c r="H278" s="117">
        <v>94006</v>
      </c>
    </row>
    <row r="279" spans="1:8" hidden="1" x14ac:dyDescent="0.35">
      <c r="A279" t="s">
        <v>113</v>
      </c>
      <c r="B279" s="29" t="s">
        <v>26</v>
      </c>
      <c r="C279" s="29">
        <v>2</v>
      </c>
      <c r="D279" s="29">
        <v>22</v>
      </c>
      <c r="E279" t="s">
        <v>172</v>
      </c>
      <c r="F279" t="s">
        <v>174</v>
      </c>
      <c r="G279" s="117"/>
      <c r="H279" s="117"/>
    </row>
    <row r="280" spans="1:8" hidden="1" x14ac:dyDescent="0.35">
      <c r="A280" t="s">
        <v>113</v>
      </c>
      <c r="B280" s="29" t="s">
        <v>26</v>
      </c>
      <c r="C280" s="29">
        <v>2</v>
      </c>
      <c r="D280" s="29">
        <v>23</v>
      </c>
      <c r="E280" t="s">
        <v>172</v>
      </c>
      <c r="F280" t="s">
        <v>175</v>
      </c>
      <c r="G280" s="117">
        <v>30000</v>
      </c>
      <c r="H280" s="117">
        <v>30000</v>
      </c>
    </row>
    <row r="281" spans="1:8" hidden="1" x14ac:dyDescent="0.35">
      <c r="A281" t="s">
        <v>113</v>
      </c>
      <c r="B281" s="29" t="s">
        <v>26</v>
      </c>
      <c r="C281" s="29">
        <v>2</v>
      </c>
      <c r="D281" s="29">
        <v>24</v>
      </c>
      <c r="E281" t="s">
        <v>172</v>
      </c>
      <c r="F281" t="s">
        <v>176</v>
      </c>
      <c r="G281" s="117"/>
      <c r="H281" s="117"/>
    </row>
    <row r="282" spans="1:8" hidden="1" x14ac:dyDescent="0.35">
      <c r="A282" t="s">
        <v>113</v>
      </c>
      <c r="B282" s="29" t="s">
        <v>26</v>
      </c>
      <c r="C282" s="29">
        <v>2</v>
      </c>
      <c r="D282" s="29">
        <v>25</v>
      </c>
      <c r="E282" t="s">
        <v>172</v>
      </c>
      <c r="F282" s="2" t="s">
        <v>177</v>
      </c>
      <c r="G282" s="117">
        <v>10000</v>
      </c>
      <c r="H282" s="117">
        <v>10000</v>
      </c>
    </row>
    <row r="283" spans="1:8" hidden="1" x14ac:dyDescent="0.35">
      <c r="A283" t="s">
        <v>113</v>
      </c>
      <c r="B283" s="29" t="s">
        <v>26</v>
      </c>
      <c r="C283" s="29">
        <v>2</v>
      </c>
      <c r="D283" s="29">
        <v>26</v>
      </c>
      <c r="E283" t="s">
        <v>172</v>
      </c>
      <c r="F283" s="2" t="s">
        <v>178</v>
      </c>
      <c r="G283" s="117">
        <v>20000</v>
      </c>
      <c r="H283" s="117">
        <v>20000</v>
      </c>
    </row>
    <row r="284" spans="1:8" hidden="1" x14ac:dyDescent="0.35">
      <c r="A284" t="s">
        <v>113</v>
      </c>
      <c r="B284" s="29" t="s">
        <v>26</v>
      </c>
      <c r="C284" s="29">
        <v>2</v>
      </c>
      <c r="D284" s="29">
        <v>27</v>
      </c>
      <c r="E284" t="s">
        <v>172</v>
      </c>
      <c r="F284" t="s">
        <v>179</v>
      </c>
      <c r="G284" s="117">
        <v>5000</v>
      </c>
      <c r="H284" s="117">
        <v>5000</v>
      </c>
    </row>
    <row r="285" spans="1:8" hidden="1" x14ac:dyDescent="0.35">
      <c r="A285" t="s">
        <v>113</v>
      </c>
      <c r="B285" s="29" t="s">
        <v>26</v>
      </c>
      <c r="C285" s="29">
        <v>2</v>
      </c>
      <c r="D285" s="29">
        <v>28</v>
      </c>
      <c r="E285" t="s">
        <v>172</v>
      </c>
      <c r="F285" t="s">
        <v>180</v>
      </c>
      <c r="G285" s="117"/>
      <c r="H285" s="117"/>
    </row>
    <row r="286" spans="1:8" hidden="1" x14ac:dyDescent="0.35">
      <c r="A286" t="s">
        <v>113</v>
      </c>
      <c r="B286" s="29" t="s">
        <v>26</v>
      </c>
      <c r="C286" s="29">
        <v>2</v>
      </c>
      <c r="D286" s="29">
        <v>29</v>
      </c>
      <c r="E286" t="s">
        <v>181</v>
      </c>
      <c r="F286" t="s">
        <v>182</v>
      </c>
      <c r="G286" s="117">
        <v>5000</v>
      </c>
      <c r="H286" s="117">
        <v>5000</v>
      </c>
    </row>
    <row r="287" spans="1:8" hidden="1" x14ac:dyDescent="0.35">
      <c r="A287" t="s">
        <v>113</v>
      </c>
      <c r="B287" s="29" t="s">
        <v>26</v>
      </c>
      <c r="C287" s="29">
        <v>2</v>
      </c>
      <c r="D287" s="29">
        <v>30</v>
      </c>
      <c r="E287" t="s">
        <v>181</v>
      </c>
      <c r="F287" t="s">
        <v>232</v>
      </c>
      <c r="G287" s="127">
        <v>30000</v>
      </c>
      <c r="H287" s="127">
        <v>30000</v>
      </c>
    </row>
    <row r="288" spans="1:8" hidden="1" x14ac:dyDescent="0.35">
      <c r="A288" t="s">
        <v>113</v>
      </c>
      <c r="B288" s="29" t="s">
        <v>26</v>
      </c>
      <c r="C288" s="29">
        <v>2</v>
      </c>
      <c r="D288" s="29">
        <v>31</v>
      </c>
      <c r="E288" t="s">
        <v>181</v>
      </c>
      <c r="F288" t="s">
        <v>184</v>
      </c>
      <c r="G288" s="117">
        <v>20000</v>
      </c>
      <c r="H288" s="117">
        <v>20000</v>
      </c>
    </row>
    <row r="289" spans="1:8" hidden="1" x14ac:dyDescent="0.35">
      <c r="A289" t="s">
        <v>113</v>
      </c>
      <c r="B289" s="29" t="s">
        <v>26</v>
      </c>
      <c r="C289" s="29">
        <v>2</v>
      </c>
      <c r="D289" s="29">
        <v>32</v>
      </c>
      <c r="E289" t="s">
        <v>181</v>
      </c>
      <c r="F289" t="s">
        <v>185</v>
      </c>
      <c r="G289" s="117">
        <v>50000</v>
      </c>
      <c r="H289" s="117">
        <v>50000</v>
      </c>
    </row>
    <row r="290" spans="1:8" hidden="1" x14ac:dyDescent="0.35">
      <c r="A290" t="s">
        <v>113</v>
      </c>
      <c r="B290" s="29" t="s">
        <v>26</v>
      </c>
      <c r="C290" s="29">
        <v>2</v>
      </c>
      <c r="D290" s="29">
        <v>33</v>
      </c>
      <c r="E290" t="s">
        <v>181</v>
      </c>
      <c r="F290" t="s">
        <v>186</v>
      </c>
      <c r="G290" s="117">
        <v>5000</v>
      </c>
      <c r="H290" s="117">
        <v>5000</v>
      </c>
    </row>
    <row r="291" spans="1:8" hidden="1" x14ac:dyDescent="0.35">
      <c r="A291" t="s">
        <v>113</v>
      </c>
      <c r="B291" s="29" t="s">
        <v>26</v>
      </c>
      <c r="C291" s="29">
        <v>2</v>
      </c>
      <c r="D291" s="29">
        <v>34</v>
      </c>
      <c r="E291" t="s">
        <v>181</v>
      </c>
      <c r="F291" t="s">
        <v>187</v>
      </c>
      <c r="G291" s="117">
        <v>2000</v>
      </c>
      <c r="H291" s="117">
        <v>2000</v>
      </c>
    </row>
    <row r="292" spans="1:8" hidden="1" x14ac:dyDescent="0.35">
      <c r="A292" t="s">
        <v>113</v>
      </c>
      <c r="B292" s="29" t="s">
        <v>26</v>
      </c>
      <c r="C292" s="29">
        <v>2</v>
      </c>
      <c r="D292" s="29">
        <v>35</v>
      </c>
      <c r="E292" t="s">
        <v>181</v>
      </c>
      <c r="F292" t="s">
        <v>188</v>
      </c>
      <c r="G292" s="117">
        <v>5000</v>
      </c>
      <c r="H292" s="117">
        <v>5000</v>
      </c>
    </row>
    <row r="293" spans="1:8" hidden="1" x14ac:dyDescent="0.35">
      <c r="A293" t="s">
        <v>113</v>
      </c>
      <c r="B293" s="29" t="s">
        <v>26</v>
      </c>
      <c r="C293" s="29">
        <v>2</v>
      </c>
      <c r="D293" s="29">
        <v>36</v>
      </c>
      <c r="E293" t="s">
        <v>181</v>
      </c>
      <c r="F293" t="s">
        <v>189</v>
      </c>
      <c r="G293" s="117">
        <v>40000</v>
      </c>
      <c r="H293" s="117">
        <v>40000</v>
      </c>
    </row>
    <row r="294" spans="1:8" hidden="1" x14ac:dyDescent="0.35">
      <c r="A294" t="s">
        <v>113</v>
      </c>
      <c r="B294" s="29" t="s">
        <v>26</v>
      </c>
      <c r="C294" s="29">
        <v>2</v>
      </c>
      <c r="D294" s="29">
        <v>37</v>
      </c>
      <c r="E294" t="s">
        <v>181</v>
      </c>
      <c r="F294" t="s">
        <v>190</v>
      </c>
      <c r="G294" s="117"/>
      <c r="H294" s="117"/>
    </row>
    <row r="295" spans="1:8" hidden="1" x14ac:dyDescent="0.35">
      <c r="A295" t="s">
        <v>113</v>
      </c>
      <c r="B295" s="29" t="s">
        <v>26</v>
      </c>
      <c r="C295" s="29">
        <v>2</v>
      </c>
      <c r="D295" s="29">
        <v>38</v>
      </c>
      <c r="E295" t="s">
        <v>181</v>
      </c>
      <c r="F295" t="s">
        <v>191</v>
      </c>
      <c r="G295" s="117">
        <v>15000</v>
      </c>
      <c r="H295" s="117">
        <v>15000</v>
      </c>
    </row>
    <row r="296" spans="1:8" hidden="1" x14ac:dyDescent="0.35">
      <c r="A296" t="s">
        <v>113</v>
      </c>
      <c r="B296" s="29" t="s">
        <v>26</v>
      </c>
      <c r="C296" s="29">
        <v>2</v>
      </c>
      <c r="D296" s="29">
        <v>39</v>
      </c>
      <c r="E296" t="s">
        <v>181</v>
      </c>
      <c r="F296" t="s">
        <v>192</v>
      </c>
      <c r="G296" s="117">
        <v>65000</v>
      </c>
      <c r="H296" s="117">
        <v>65000</v>
      </c>
    </row>
    <row r="297" spans="1:8" hidden="1" x14ac:dyDescent="0.35">
      <c r="A297" t="s">
        <v>113</v>
      </c>
      <c r="B297" s="29" t="s">
        <v>26</v>
      </c>
      <c r="C297" s="29">
        <v>2</v>
      </c>
      <c r="D297" s="29">
        <v>40</v>
      </c>
      <c r="E297" t="s">
        <v>181</v>
      </c>
      <c r="F297" t="s">
        <v>193</v>
      </c>
      <c r="G297" s="117">
        <v>550</v>
      </c>
      <c r="H297" s="117">
        <v>550</v>
      </c>
    </row>
    <row r="298" spans="1:8" hidden="1" x14ac:dyDescent="0.35">
      <c r="A298" t="s">
        <v>113</v>
      </c>
      <c r="B298" s="29" t="s">
        <v>26</v>
      </c>
      <c r="C298" s="29">
        <v>2</v>
      </c>
      <c r="D298" s="29">
        <v>41</v>
      </c>
      <c r="E298" t="s">
        <v>181</v>
      </c>
      <c r="F298" t="s">
        <v>194</v>
      </c>
      <c r="G298" s="117">
        <v>500</v>
      </c>
      <c r="H298" s="117">
        <v>500</v>
      </c>
    </row>
    <row r="299" spans="1:8" hidden="1" x14ac:dyDescent="0.35">
      <c r="A299" t="s">
        <v>113</v>
      </c>
      <c r="B299" s="29" t="s">
        <v>26</v>
      </c>
      <c r="C299" s="29">
        <v>2</v>
      </c>
      <c r="D299" s="29">
        <v>42</v>
      </c>
      <c r="E299" t="s">
        <v>169</v>
      </c>
      <c r="F299" t="s">
        <v>195</v>
      </c>
      <c r="G299" s="117">
        <v>6800</v>
      </c>
      <c r="H299" s="117">
        <v>6800</v>
      </c>
    </row>
    <row r="300" spans="1:8" hidden="1" x14ac:dyDescent="0.35">
      <c r="A300" t="s">
        <v>113</v>
      </c>
      <c r="B300" s="29" t="s">
        <v>26</v>
      </c>
      <c r="C300" s="29">
        <v>2</v>
      </c>
      <c r="D300" s="29">
        <v>43</v>
      </c>
      <c r="E300" t="s">
        <v>169</v>
      </c>
      <c r="F300" t="s">
        <v>196</v>
      </c>
      <c r="G300" s="117"/>
      <c r="H300" s="117"/>
    </row>
    <row r="301" spans="1:8" hidden="1" x14ac:dyDescent="0.35">
      <c r="A301" t="s">
        <v>113</v>
      </c>
      <c r="B301" s="29" t="s">
        <v>26</v>
      </c>
      <c r="C301" s="29">
        <v>2</v>
      </c>
      <c r="D301" s="29">
        <v>45</v>
      </c>
      <c r="E301" t="s">
        <v>169</v>
      </c>
      <c r="F301" t="s">
        <v>233</v>
      </c>
      <c r="G301" s="117">
        <v>30000</v>
      </c>
      <c r="H301" s="190">
        <f>0.01*H256</f>
        <v>35043.644444444442</v>
      </c>
    </row>
    <row r="302" spans="1:8" hidden="1" x14ac:dyDescent="0.35">
      <c r="A302" t="s">
        <v>113</v>
      </c>
      <c r="B302" s="29" t="s">
        <v>26</v>
      </c>
      <c r="C302" s="29">
        <v>2</v>
      </c>
      <c r="D302" s="29">
        <v>46</v>
      </c>
      <c r="E302" t="s">
        <v>199</v>
      </c>
      <c r="F302" t="s">
        <v>200</v>
      </c>
      <c r="G302" s="119">
        <v>104160</v>
      </c>
      <c r="H302" s="190">
        <f>0.03*H256</f>
        <v>105130.93333333332</v>
      </c>
    </row>
    <row r="303" spans="1:8" hidden="1" x14ac:dyDescent="0.35">
      <c r="A303" t="s">
        <v>113</v>
      </c>
      <c r="B303" s="29" t="s">
        <v>26</v>
      </c>
      <c r="C303" s="29">
        <v>2</v>
      </c>
      <c r="D303" s="29">
        <v>47</v>
      </c>
      <c r="E303" t="s">
        <v>199</v>
      </c>
      <c r="F303" t="s">
        <v>234</v>
      </c>
      <c r="G303" s="117"/>
      <c r="H303" s="117"/>
    </row>
    <row r="304" spans="1:8" hidden="1" x14ac:dyDescent="0.35">
      <c r="A304" t="s">
        <v>113</v>
      </c>
      <c r="B304" s="29" t="s">
        <v>26</v>
      </c>
      <c r="C304" s="29">
        <v>2</v>
      </c>
      <c r="D304" s="29">
        <v>48</v>
      </c>
      <c r="E304" t="s">
        <v>199</v>
      </c>
      <c r="F304" t="s">
        <v>202</v>
      </c>
      <c r="G304" s="117">
        <v>100000</v>
      </c>
      <c r="H304" s="190">
        <v>300000</v>
      </c>
    </row>
    <row r="305" spans="1:8" hidden="1" x14ac:dyDescent="0.35">
      <c r="A305" t="s">
        <v>113</v>
      </c>
      <c r="B305" s="29" t="s">
        <v>26</v>
      </c>
      <c r="C305" s="29">
        <v>2</v>
      </c>
      <c r="D305" s="29">
        <v>49</v>
      </c>
      <c r="E305" t="s">
        <v>199</v>
      </c>
      <c r="F305" t="s">
        <v>203</v>
      </c>
      <c r="G305" s="117"/>
      <c r="H305" s="117"/>
    </row>
    <row r="306" spans="1:8" hidden="1" x14ac:dyDescent="0.35">
      <c r="A306" t="s">
        <v>113</v>
      </c>
      <c r="B306" s="29" t="s">
        <v>26</v>
      </c>
      <c r="C306" s="29">
        <v>2</v>
      </c>
      <c r="D306" s="29">
        <v>50</v>
      </c>
      <c r="E306" t="s">
        <v>199</v>
      </c>
      <c r="F306" t="s">
        <v>204</v>
      </c>
      <c r="G306" s="117">
        <v>30000</v>
      </c>
      <c r="H306" s="117">
        <v>30000</v>
      </c>
    </row>
    <row r="307" spans="1:8" hidden="1" x14ac:dyDescent="0.35">
      <c r="A307" t="s">
        <v>113</v>
      </c>
      <c r="B307" s="29" t="s">
        <v>26</v>
      </c>
      <c r="C307" s="29">
        <v>2</v>
      </c>
      <c r="D307" s="29">
        <v>51</v>
      </c>
      <c r="E307" t="s">
        <v>199</v>
      </c>
      <c r="F307" t="s">
        <v>205</v>
      </c>
      <c r="G307" s="117">
        <v>60000</v>
      </c>
      <c r="H307" s="117">
        <v>60000</v>
      </c>
    </row>
    <row r="308" spans="1:8" hidden="1" x14ac:dyDescent="0.35">
      <c r="A308" t="s">
        <v>113</v>
      </c>
      <c r="B308" s="29" t="s">
        <v>26</v>
      </c>
      <c r="C308" s="29">
        <v>2</v>
      </c>
      <c r="D308" s="29">
        <v>52</v>
      </c>
      <c r="E308" t="s">
        <v>199</v>
      </c>
      <c r="F308" t="s">
        <v>206</v>
      </c>
      <c r="G308" s="117">
        <v>15000</v>
      </c>
      <c r="H308" s="117">
        <v>15000</v>
      </c>
    </row>
    <row r="309" spans="1:8" hidden="1" x14ac:dyDescent="0.35">
      <c r="A309" t="s">
        <v>113</v>
      </c>
      <c r="B309" s="29" t="s">
        <v>26</v>
      </c>
      <c r="C309" s="29">
        <v>2</v>
      </c>
      <c r="D309" s="29">
        <v>53</v>
      </c>
      <c r="E309" t="s">
        <v>199</v>
      </c>
      <c r="F309" t="s">
        <v>227</v>
      </c>
      <c r="G309" s="119">
        <v>200000</v>
      </c>
      <c r="H309" s="119">
        <v>200000</v>
      </c>
    </row>
    <row r="310" spans="1:8" hidden="1" x14ac:dyDescent="0.35">
      <c r="A310" t="s">
        <v>113</v>
      </c>
      <c r="B310" s="29" t="s">
        <v>26</v>
      </c>
      <c r="C310" s="29">
        <v>2</v>
      </c>
      <c r="D310" s="29">
        <v>54</v>
      </c>
      <c r="E310" t="s">
        <v>199</v>
      </c>
      <c r="F310" t="s">
        <v>208</v>
      </c>
      <c r="G310" s="120"/>
      <c r="H310" s="120"/>
    </row>
    <row r="311" spans="1:8" hidden="1" x14ac:dyDescent="0.35">
      <c r="A311" t="s">
        <v>113</v>
      </c>
      <c r="B311" s="29" t="s">
        <v>26</v>
      </c>
      <c r="C311" s="29">
        <v>2</v>
      </c>
      <c r="D311" s="29">
        <v>55</v>
      </c>
      <c r="E311" t="s">
        <v>199</v>
      </c>
      <c r="F311" t="s">
        <v>209</v>
      </c>
      <c r="G311" s="117">
        <v>3000</v>
      </c>
      <c r="H311" s="117">
        <v>3000</v>
      </c>
    </row>
    <row r="312" spans="1:8" hidden="1" x14ac:dyDescent="0.35">
      <c r="A312" t="s">
        <v>113</v>
      </c>
      <c r="B312" s="29" t="s">
        <v>26</v>
      </c>
      <c r="C312" s="29">
        <v>2</v>
      </c>
      <c r="D312" s="29">
        <v>56</v>
      </c>
      <c r="E312" t="s">
        <v>199</v>
      </c>
      <c r="F312" t="s">
        <v>210</v>
      </c>
      <c r="G312" s="117"/>
      <c r="H312" s="117"/>
    </row>
    <row r="313" spans="1:8" hidden="1" x14ac:dyDescent="0.35">
      <c r="A313" t="s">
        <v>113</v>
      </c>
      <c r="B313" s="29" t="s">
        <v>26</v>
      </c>
      <c r="C313" s="29">
        <v>2</v>
      </c>
      <c r="D313" s="29">
        <v>57</v>
      </c>
      <c r="E313" t="s">
        <v>199</v>
      </c>
      <c r="F313" t="s">
        <v>211</v>
      </c>
      <c r="G313" s="117"/>
      <c r="H313" s="117"/>
    </row>
    <row r="314" spans="1:8" hidden="1" x14ac:dyDescent="0.35">
      <c r="A314" t="s">
        <v>113</v>
      </c>
      <c r="B314" s="29" t="s">
        <v>26</v>
      </c>
      <c r="C314" s="29">
        <v>2</v>
      </c>
      <c r="D314" s="29">
        <v>58</v>
      </c>
      <c r="E314" t="s">
        <v>199</v>
      </c>
      <c r="F314" t="s">
        <v>212</v>
      </c>
      <c r="G314" s="117"/>
      <c r="H314" s="117"/>
    </row>
    <row r="315" spans="1:8" hidden="1" x14ac:dyDescent="0.35">
      <c r="A315" t="s">
        <v>113</v>
      </c>
      <c r="B315" s="29" t="s">
        <v>26</v>
      </c>
      <c r="C315" s="29">
        <v>2</v>
      </c>
      <c r="D315" s="29">
        <v>59</v>
      </c>
      <c r="E315" t="s">
        <v>199</v>
      </c>
      <c r="F315" t="s">
        <v>213</v>
      </c>
      <c r="G315" s="117"/>
      <c r="H315" s="117"/>
    </row>
    <row r="316" spans="1:8" hidden="1" x14ac:dyDescent="0.35">
      <c r="A316" t="s">
        <v>113</v>
      </c>
      <c r="B316" s="29" t="s">
        <v>26</v>
      </c>
      <c r="C316" s="29">
        <v>2</v>
      </c>
      <c r="D316" s="29">
        <v>60</v>
      </c>
      <c r="E316" t="s">
        <v>199</v>
      </c>
      <c r="F316" t="s">
        <v>214</v>
      </c>
      <c r="G316" s="117"/>
      <c r="H316" s="117"/>
    </row>
    <row r="317" spans="1:8" hidden="1" x14ac:dyDescent="0.35">
      <c r="A317" t="s">
        <v>113</v>
      </c>
      <c r="B317" s="29" t="s">
        <v>26</v>
      </c>
      <c r="C317" s="29">
        <v>2</v>
      </c>
      <c r="D317" s="29">
        <v>61</v>
      </c>
      <c r="E317" t="s">
        <v>124</v>
      </c>
      <c r="F317" t="s">
        <v>125</v>
      </c>
      <c r="G317" s="117"/>
      <c r="H317" s="117"/>
    </row>
    <row r="318" spans="1:8" hidden="1" x14ac:dyDescent="0.35">
      <c r="A318" t="s">
        <v>113</v>
      </c>
      <c r="B318" s="29" t="s">
        <v>26</v>
      </c>
      <c r="C318" s="29">
        <v>2</v>
      </c>
      <c r="D318" s="29">
        <v>62</v>
      </c>
      <c r="E318" t="s">
        <v>124</v>
      </c>
      <c r="F318" t="s">
        <v>67</v>
      </c>
      <c r="G318" s="117">
        <v>34330</v>
      </c>
      <c r="H318" s="117">
        <v>34330</v>
      </c>
    </row>
    <row r="319" spans="1:8" hidden="1" x14ac:dyDescent="0.35">
      <c r="A319" t="s">
        <v>113</v>
      </c>
      <c r="B319" s="29" t="s">
        <v>26</v>
      </c>
      <c r="C319" s="29">
        <v>2</v>
      </c>
      <c r="D319" s="29">
        <v>63</v>
      </c>
      <c r="E319" t="s">
        <v>124</v>
      </c>
      <c r="F319" t="s">
        <v>128</v>
      </c>
      <c r="G319" s="119">
        <v>140000</v>
      </c>
      <c r="H319" s="128">
        <v>140000</v>
      </c>
    </row>
    <row r="320" spans="1:8" hidden="1" x14ac:dyDescent="0.35">
      <c r="A320" t="s">
        <v>113</v>
      </c>
      <c r="B320" s="29" t="s">
        <v>26</v>
      </c>
      <c r="C320" s="29">
        <v>2</v>
      </c>
      <c r="D320" s="29">
        <v>64</v>
      </c>
      <c r="E320" t="s">
        <v>124</v>
      </c>
      <c r="F320" t="s">
        <v>129</v>
      </c>
      <c r="G320" s="117">
        <v>10000</v>
      </c>
      <c r="H320" s="117">
        <v>10000</v>
      </c>
    </row>
    <row r="321" spans="1:8" hidden="1" x14ac:dyDescent="0.35">
      <c r="A321" t="s">
        <v>113</v>
      </c>
      <c r="B321" s="29" t="s">
        <v>26</v>
      </c>
      <c r="C321" s="29">
        <v>2</v>
      </c>
      <c r="D321" s="29">
        <v>65</v>
      </c>
      <c r="E321" t="s">
        <v>124</v>
      </c>
      <c r="F321" t="s">
        <v>130</v>
      </c>
      <c r="G321" s="117">
        <v>30000</v>
      </c>
      <c r="H321" s="117">
        <v>30000</v>
      </c>
    </row>
    <row r="322" spans="1:8" hidden="1" x14ac:dyDescent="0.35">
      <c r="A322" t="s">
        <v>113</v>
      </c>
      <c r="B322" s="29" t="s">
        <v>26</v>
      </c>
      <c r="C322" s="29">
        <v>2</v>
      </c>
      <c r="D322" s="29">
        <v>66</v>
      </c>
      <c r="E322" t="s">
        <v>124</v>
      </c>
      <c r="F322" t="s">
        <v>131</v>
      </c>
      <c r="G322" s="117">
        <v>20000</v>
      </c>
      <c r="H322" s="117">
        <v>20000</v>
      </c>
    </row>
    <row r="323" spans="1:8" hidden="1" x14ac:dyDescent="0.35">
      <c r="A323" t="s">
        <v>113</v>
      </c>
      <c r="B323" s="29" t="s">
        <v>26</v>
      </c>
      <c r="C323" s="29">
        <v>2</v>
      </c>
      <c r="D323" s="29">
        <v>67</v>
      </c>
      <c r="E323" t="s">
        <v>124</v>
      </c>
      <c r="F323" t="s">
        <v>132</v>
      </c>
      <c r="G323" s="117"/>
      <c r="H323" s="117"/>
    </row>
    <row r="324" spans="1:8" hidden="1" x14ac:dyDescent="0.35">
      <c r="A324" t="s">
        <v>113</v>
      </c>
      <c r="B324" s="29" t="s">
        <v>26</v>
      </c>
      <c r="C324" s="29">
        <v>2</v>
      </c>
      <c r="D324" s="29">
        <v>68</v>
      </c>
      <c r="E324" t="s">
        <v>124</v>
      </c>
      <c r="F324" t="s">
        <v>41</v>
      </c>
      <c r="G324" s="117">
        <v>5000</v>
      </c>
      <c r="H324" s="117">
        <v>5000</v>
      </c>
    </row>
    <row r="325" spans="1:8" hidden="1" x14ac:dyDescent="0.35">
      <c r="A325" t="s">
        <v>113</v>
      </c>
      <c r="B325" s="29" t="s">
        <v>26</v>
      </c>
      <c r="C325" s="29">
        <v>2</v>
      </c>
      <c r="D325" s="29">
        <v>69</v>
      </c>
      <c r="E325" t="s">
        <v>124</v>
      </c>
      <c r="F325" t="s">
        <v>133</v>
      </c>
      <c r="G325" s="117">
        <v>500</v>
      </c>
      <c r="H325" s="117">
        <v>500</v>
      </c>
    </row>
    <row r="326" spans="1:8" hidden="1" x14ac:dyDescent="0.35">
      <c r="A326" t="s">
        <v>113</v>
      </c>
      <c r="B326" s="29" t="s">
        <v>26</v>
      </c>
      <c r="C326" s="29">
        <v>2</v>
      </c>
      <c r="D326" s="29">
        <v>70</v>
      </c>
      <c r="E326" t="s">
        <v>124</v>
      </c>
      <c r="F326" t="s">
        <v>134</v>
      </c>
      <c r="G326" s="117"/>
      <c r="H326" s="117"/>
    </row>
    <row r="327" spans="1:8" hidden="1" x14ac:dyDescent="0.35">
      <c r="A327" t="s">
        <v>113</v>
      </c>
      <c r="B327" s="29" t="s">
        <v>26</v>
      </c>
      <c r="C327" s="29">
        <v>2</v>
      </c>
      <c r="D327" s="29">
        <v>71</v>
      </c>
      <c r="E327" t="s">
        <v>124</v>
      </c>
      <c r="F327" t="s">
        <v>135</v>
      </c>
      <c r="G327" s="117">
        <v>3000</v>
      </c>
      <c r="H327" s="117">
        <v>3000</v>
      </c>
    </row>
    <row r="328" spans="1:8" hidden="1" x14ac:dyDescent="0.35">
      <c r="A328" t="s">
        <v>113</v>
      </c>
      <c r="B328" s="29" t="s">
        <v>26</v>
      </c>
      <c r="C328" s="29">
        <v>2</v>
      </c>
      <c r="D328" s="29">
        <v>72</v>
      </c>
      <c r="E328" t="s">
        <v>124</v>
      </c>
      <c r="F328" t="s">
        <v>136</v>
      </c>
      <c r="G328" s="117">
        <v>32000</v>
      </c>
      <c r="H328" s="117">
        <v>32000</v>
      </c>
    </row>
    <row r="329" spans="1:8" hidden="1" x14ac:dyDescent="0.35">
      <c r="A329" t="s">
        <v>113</v>
      </c>
      <c r="B329" s="29" t="s">
        <v>26</v>
      </c>
      <c r="C329" s="29">
        <v>2</v>
      </c>
      <c r="D329" s="29">
        <v>73</v>
      </c>
      <c r="E329" t="s">
        <v>124</v>
      </c>
      <c r="F329" t="s">
        <v>124</v>
      </c>
      <c r="G329" s="117"/>
      <c r="H329" s="117"/>
    </row>
    <row r="330" spans="1:8" hidden="1" x14ac:dyDescent="0.35">
      <c r="A330" t="s">
        <v>113</v>
      </c>
      <c r="B330" s="29" t="s">
        <v>26</v>
      </c>
      <c r="C330" s="29">
        <v>2</v>
      </c>
      <c r="D330" s="29">
        <v>74</v>
      </c>
      <c r="E330" t="s">
        <v>137</v>
      </c>
      <c r="F330" t="s">
        <v>138</v>
      </c>
      <c r="G330" s="117">
        <v>63000</v>
      </c>
      <c r="H330" s="117">
        <v>63000</v>
      </c>
    </row>
    <row r="331" spans="1:8" hidden="1" x14ac:dyDescent="0.35">
      <c r="A331" t="s">
        <v>113</v>
      </c>
      <c r="B331" s="29" t="s">
        <v>26</v>
      </c>
      <c r="C331" s="29">
        <v>2</v>
      </c>
      <c r="D331" s="29">
        <v>75</v>
      </c>
      <c r="E331" t="s">
        <v>137</v>
      </c>
      <c r="F331" t="s">
        <v>139</v>
      </c>
      <c r="G331" s="117">
        <v>34000</v>
      </c>
      <c r="H331" s="117">
        <v>34000</v>
      </c>
    </row>
    <row r="332" spans="1:8" hidden="1" x14ac:dyDescent="0.35">
      <c r="A332" t="s">
        <v>113</v>
      </c>
      <c r="B332" s="29" t="s">
        <v>26</v>
      </c>
      <c r="C332" s="29">
        <v>2</v>
      </c>
      <c r="D332" s="29">
        <v>76</v>
      </c>
      <c r="E332" t="s">
        <v>137</v>
      </c>
      <c r="F332" t="s">
        <v>140</v>
      </c>
      <c r="G332" s="117">
        <v>52500</v>
      </c>
      <c r="H332" s="117">
        <v>52500</v>
      </c>
    </row>
    <row r="333" spans="1:8" hidden="1" x14ac:dyDescent="0.35">
      <c r="A333" t="s">
        <v>113</v>
      </c>
      <c r="B333" s="29" t="s">
        <v>26</v>
      </c>
      <c r="C333" s="29">
        <v>2</v>
      </c>
      <c r="D333" s="29">
        <v>77</v>
      </c>
      <c r="E333" t="s">
        <v>137</v>
      </c>
      <c r="F333" t="s">
        <v>141</v>
      </c>
      <c r="G333" s="117">
        <v>65000</v>
      </c>
      <c r="H333" s="117">
        <v>65000</v>
      </c>
    </row>
    <row r="334" spans="1:8" hidden="1" x14ac:dyDescent="0.35">
      <c r="A334" t="s">
        <v>113</v>
      </c>
      <c r="B334" s="29" t="s">
        <v>26</v>
      </c>
      <c r="C334" s="29">
        <v>2</v>
      </c>
      <c r="D334" s="29">
        <v>78</v>
      </c>
      <c r="E334" t="s">
        <v>137</v>
      </c>
      <c r="F334" t="s">
        <v>142</v>
      </c>
      <c r="G334" s="117">
        <v>10000</v>
      </c>
      <c r="H334" s="117">
        <v>10000</v>
      </c>
    </row>
    <row r="335" spans="1:8" hidden="1" x14ac:dyDescent="0.35">
      <c r="A335" t="s">
        <v>113</v>
      </c>
      <c r="B335" s="29" t="s">
        <v>26</v>
      </c>
      <c r="C335" s="29">
        <v>2</v>
      </c>
      <c r="D335" s="29">
        <v>79</v>
      </c>
      <c r="E335" t="s">
        <v>137</v>
      </c>
      <c r="F335" t="s">
        <v>143</v>
      </c>
      <c r="G335" s="117">
        <v>70000</v>
      </c>
      <c r="H335" s="117">
        <v>70000</v>
      </c>
    </row>
    <row r="336" spans="1:8" hidden="1" x14ac:dyDescent="0.35">
      <c r="A336" t="s">
        <v>113</v>
      </c>
      <c r="B336" s="29" t="s">
        <v>26</v>
      </c>
      <c r="C336" s="29">
        <v>2</v>
      </c>
      <c r="D336" s="29">
        <v>80</v>
      </c>
      <c r="E336" t="s">
        <v>137</v>
      </c>
      <c r="F336" t="s">
        <v>144</v>
      </c>
      <c r="G336" s="117">
        <v>6000</v>
      </c>
      <c r="H336" s="117">
        <v>6000</v>
      </c>
    </row>
    <row r="337" spans="1:8" hidden="1" x14ac:dyDescent="0.35">
      <c r="A337" t="s">
        <v>113</v>
      </c>
      <c r="B337" s="29" t="s">
        <v>26</v>
      </c>
      <c r="C337" s="29">
        <v>2</v>
      </c>
      <c r="D337" s="29">
        <v>81</v>
      </c>
      <c r="E337" t="s">
        <v>137</v>
      </c>
      <c r="F337" t="s">
        <v>145</v>
      </c>
      <c r="G337" s="117">
        <v>2100</v>
      </c>
      <c r="H337" s="117">
        <v>2100</v>
      </c>
    </row>
    <row r="338" spans="1:8" hidden="1" x14ac:dyDescent="0.35">
      <c r="A338" t="s">
        <v>113</v>
      </c>
      <c r="B338" s="29" t="s">
        <v>26</v>
      </c>
      <c r="C338" s="29">
        <v>2</v>
      </c>
      <c r="D338" s="29">
        <v>82</v>
      </c>
      <c r="E338" t="s">
        <v>137</v>
      </c>
      <c r="F338" t="s">
        <v>146</v>
      </c>
      <c r="G338" s="117">
        <v>45000</v>
      </c>
      <c r="H338" s="117">
        <v>45000</v>
      </c>
    </row>
    <row r="339" spans="1:8" hidden="1" x14ac:dyDescent="0.35">
      <c r="A339" t="s">
        <v>113</v>
      </c>
      <c r="B339" s="29" t="s">
        <v>26</v>
      </c>
      <c r="C339" s="29">
        <v>2</v>
      </c>
      <c r="D339" s="29">
        <v>83</v>
      </c>
      <c r="E339" t="s">
        <v>137</v>
      </c>
      <c r="F339" t="s">
        <v>147</v>
      </c>
      <c r="G339" s="117">
        <v>10000</v>
      </c>
      <c r="H339" s="117">
        <v>10000</v>
      </c>
    </row>
    <row r="340" spans="1:8" hidden="1" x14ac:dyDescent="0.35">
      <c r="A340" t="s">
        <v>113</v>
      </c>
      <c r="B340" s="29" t="s">
        <v>26</v>
      </c>
      <c r="C340" s="29">
        <v>2</v>
      </c>
      <c r="D340" s="29">
        <v>84</v>
      </c>
      <c r="E340" t="s">
        <v>137</v>
      </c>
      <c r="F340" t="s">
        <v>148</v>
      </c>
      <c r="G340" s="119">
        <v>531831</v>
      </c>
      <c r="H340" s="119">
        <v>531831</v>
      </c>
    </row>
    <row r="341" spans="1:8" hidden="1" x14ac:dyDescent="0.35">
      <c r="A341" t="s">
        <v>113</v>
      </c>
      <c r="B341" s="29" t="s">
        <v>26</v>
      </c>
      <c r="C341" s="29">
        <v>2</v>
      </c>
      <c r="D341" s="29">
        <v>85</v>
      </c>
      <c r="E341" t="s">
        <v>137</v>
      </c>
      <c r="F341" t="s">
        <v>149</v>
      </c>
      <c r="G341" s="119"/>
      <c r="H341" s="119"/>
    </row>
    <row r="342" spans="1:8" hidden="1" x14ac:dyDescent="0.35">
      <c r="A342" t="s">
        <v>113</v>
      </c>
      <c r="B342" s="29" t="s">
        <v>26</v>
      </c>
      <c r="C342" s="29">
        <v>2</v>
      </c>
      <c r="D342" s="29">
        <v>86</v>
      </c>
      <c r="E342" t="s">
        <v>137</v>
      </c>
      <c r="F342" t="s">
        <v>150</v>
      </c>
      <c r="G342" s="117"/>
      <c r="H342" s="117"/>
    </row>
    <row r="343" spans="1:8" hidden="1" x14ac:dyDescent="0.35">
      <c r="A343" t="s">
        <v>113</v>
      </c>
      <c r="B343" s="29" t="s">
        <v>26</v>
      </c>
      <c r="C343" s="29">
        <v>2</v>
      </c>
      <c r="D343" s="29">
        <v>87</v>
      </c>
      <c r="E343" t="s">
        <v>137</v>
      </c>
      <c r="F343" t="s">
        <v>151</v>
      </c>
      <c r="G343" s="117"/>
      <c r="H343" s="117"/>
    </row>
    <row r="344" spans="1:8" hidden="1" x14ac:dyDescent="0.35">
      <c r="A344" t="s">
        <v>113</v>
      </c>
      <c r="B344" s="29" t="s">
        <v>26</v>
      </c>
      <c r="C344" s="29">
        <v>2</v>
      </c>
      <c r="D344" s="29">
        <v>88</v>
      </c>
      <c r="E344" t="s">
        <v>137</v>
      </c>
      <c r="F344" t="s">
        <v>152</v>
      </c>
      <c r="G344" s="117"/>
      <c r="H344" s="117"/>
    </row>
    <row r="345" spans="1:8" hidden="1" x14ac:dyDescent="0.35">
      <c r="A345" t="s">
        <v>1</v>
      </c>
      <c r="B345" s="29" t="s">
        <v>5</v>
      </c>
      <c r="C345" s="29">
        <v>1</v>
      </c>
      <c r="D345" s="29">
        <v>1</v>
      </c>
      <c r="E345" s="2" t="s">
        <v>7</v>
      </c>
      <c r="F345" s="16" t="s">
        <v>7</v>
      </c>
      <c r="G345" s="95">
        <v>1110185</v>
      </c>
      <c r="H345" s="95">
        <v>1110185</v>
      </c>
    </row>
    <row r="346" spans="1:8" hidden="1" x14ac:dyDescent="0.35">
      <c r="A346" t="s">
        <v>1</v>
      </c>
      <c r="B346" s="29" t="s">
        <v>5</v>
      </c>
      <c r="C346" s="29">
        <v>1</v>
      </c>
      <c r="D346" s="29">
        <v>2</v>
      </c>
      <c r="E346" s="2" t="s">
        <v>102</v>
      </c>
      <c r="F346" s="16" t="s">
        <v>10</v>
      </c>
      <c r="G346" s="101">
        <v>11528505</v>
      </c>
      <c r="H346" s="185">
        <v>12485550</v>
      </c>
    </row>
    <row r="347" spans="1:8" hidden="1" x14ac:dyDescent="0.35">
      <c r="A347" t="s">
        <v>1</v>
      </c>
      <c r="B347" s="29" t="s">
        <v>5</v>
      </c>
      <c r="C347" s="29">
        <v>1</v>
      </c>
      <c r="D347" s="29">
        <v>3</v>
      </c>
      <c r="E347" s="2" t="s">
        <v>102</v>
      </c>
      <c r="F347" s="16" t="s">
        <v>11</v>
      </c>
      <c r="G347" s="101">
        <v>1867618</v>
      </c>
      <c r="H347" s="185">
        <v>2022729.5999999999</v>
      </c>
    </row>
    <row r="348" spans="1:8" hidden="1" x14ac:dyDescent="0.35">
      <c r="A348" t="s">
        <v>1</v>
      </c>
      <c r="B348" s="29" t="s">
        <v>5</v>
      </c>
      <c r="C348" s="29">
        <v>1</v>
      </c>
      <c r="D348" s="29">
        <v>4</v>
      </c>
      <c r="E348" s="2" t="s">
        <v>102</v>
      </c>
      <c r="F348" s="16" t="s">
        <v>6</v>
      </c>
      <c r="G348" s="101">
        <v>1329346</v>
      </c>
      <c r="H348" s="185">
        <v>1439722.8</v>
      </c>
    </row>
    <row r="349" spans="1:8" hidden="1" x14ac:dyDescent="0.35">
      <c r="A349" t="s">
        <v>1</v>
      </c>
      <c r="B349" s="29" t="s">
        <v>5</v>
      </c>
      <c r="C349" s="29">
        <v>1</v>
      </c>
      <c r="D349" s="29">
        <v>5</v>
      </c>
      <c r="E349" s="2" t="s">
        <v>102</v>
      </c>
      <c r="F349" s="16" t="s">
        <v>20</v>
      </c>
      <c r="G349" s="95"/>
      <c r="H349" s="95"/>
    </row>
    <row r="350" spans="1:8" x14ac:dyDescent="0.35">
      <c r="A350" t="s">
        <v>1</v>
      </c>
      <c r="B350" s="29" t="s">
        <v>5</v>
      </c>
      <c r="C350" s="29">
        <v>1</v>
      </c>
      <c r="D350" s="29">
        <v>8</v>
      </c>
      <c r="E350" s="2" t="s">
        <v>110</v>
      </c>
      <c r="F350" s="16" t="s">
        <v>23</v>
      </c>
      <c r="G350" s="95">
        <v>50000</v>
      </c>
      <c r="H350" s="95">
        <v>50000</v>
      </c>
    </row>
    <row r="351" spans="1:8" x14ac:dyDescent="0.35">
      <c r="A351" t="s">
        <v>115</v>
      </c>
      <c r="B351" s="29" t="s">
        <v>5</v>
      </c>
      <c r="C351" s="29">
        <v>1</v>
      </c>
      <c r="D351" s="261">
        <v>7</v>
      </c>
      <c r="E351" s="79" t="s">
        <v>110</v>
      </c>
      <c r="F351" s="75" t="s">
        <v>23</v>
      </c>
      <c r="G351" s="110"/>
      <c r="H351" s="110"/>
    </row>
    <row r="352" spans="1:8" x14ac:dyDescent="0.35">
      <c r="A352" t="s">
        <v>216</v>
      </c>
      <c r="B352" s="29" t="s">
        <v>5</v>
      </c>
      <c r="C352" s="29">
        <v>1</v>
      </c>
      <c r="D352" s="29">
        <v>7</v>
      </c>
      <c r="E352" s="2" t="s">
        <v>110</v>
      </c>
      <c r="F352" s="16" t="s">
        <v>23</v>
      </c>
      <c r="G352" s="127"/>
      <c r="H352" s="127"/>
    </row>
    <row r="353" spans="1:8" x14ac:dyDescent="0.35">
      <c r="A353" t="s">
        <v>97</v>
      </c>
      <c r="B353" s="29" t="s">
        <v>5</v>
      </c>
      <c r="C353" s="29">
        <v>1</v>
      </c>
      <c r="D353" s="29">
        <v>17</v>
      </c>
      <c r="E353" t="s">
        <v>110</v>
      </c>
      <c r="F353" t="s">
        <v>235</v>
      </c>
      <c r="G353" s="119">
        <v>0</v>
      </c>
      <c r="H353" s="119">
        <v>0</v>
      </c>
    </row>
    <row r="354" spans="1:8" hidden="1" x14ac:dyDescent="0.35">
      <c r="A354" t="s">
        <v>1</v>
      </c>
      <c r="B354" s="29" t="s">
        <v>5</v>
      </c>
      <c r="C354" s="29">
        <v>1</v>
      </c>
      <c r="D354" s="29">
        <v>10</v>
      </c>
      <c r="E354" s="2" t="s">
        <v>110</v>
      </c>
      <c r="F354" t="s">
        <v>12</v>
      </c>
      <c r="G354" s="95">
        <v>219600</v>
      </c>
      <c r="H354" s="95">
        <v>219600</v>
      </c>
    </row>
    <row r="355" spans="1:8" hidden="1" x14ac:dyDescent="0.35">
      <c r="A355" t="s">
        <v>1</v>
      </c>
      <c r="B355" s="29" t="s">
        <v>5</v>
      </c>
      <c r="C355" s="29">
        <v>1</v>
      </c>
      <c r="D355" s="29">
        <v>11</v>
      </c>
      <c r="E355" s="2" t="s">
        <v>102</v>
      </c>
      <c r="F355" s="16" t="s">
        <v>14</v>
      </c>
      <c r="G355" s="95">
        <v>70000</v>
      </c>
      <c r="H355" s="95">
        <v>70000</v>
      </c>
    </row>
    <row r="356" spans="1:8" hidden="1" x14ac:dyDescent="0.35">
      <c r="A356" t="s">
        <v>1</v>
      </c>
      <c r="B356" s="29" t="s">
        <v>5</v>
      </c>
      <c r="C356" s="29">
        <v>1</v>
      </c>
      <c r="D356" s="29">
        <v>12</v>
      </c>
      <c r="E356" s="2" t="s">
        <v>98</v>
      </c>
      <c r="F356" s="16" t="s">
        <v>13</v>
      </c>
      <c r="G356" s="95">
        <v>0</v>
      </c>
      <c r="H356" s="95">
        <v>0</v>
      </c>
    </row>
    <row r="357" spans="1:8" hidden="1" x14ac:dyDescent="0.35">
      <c r="A357" t="s">
        <v>1</v>
      </c>
      <c r="B357" s="29" t="s">
        <v>5</v>
      </c>
      <c r="C357" s="29">
        <v>1</v>
      </c>
      <c r="D357" s="29">
        <v>13</v>
      </c>
      <c r="E357" s="2" t="s">
        <v>110</v>
      </c>
      <c r="F357" s="2" t="s">
        <v>8</v>
      </c>
      <c r="G357" s="95">
        <v>1560000</v>
      </c>
      <c r="H357" s="95">
        <v>1560000</v>
      </c>
    </row>
    <row r="358" spans="1:8" hidden="1" x14ac:dyDescent="0.35">
      <c r="A358" t="s">
        <v>1</v>
      </c>
      <c r="B358" s="29" t="s">
        <v>5</v>
      </c>
      <c r="C358" s="29">
        <v>1</v>
      </c>
      <c r="D358" s="29">
        <v>14</v>
      </c>
      <c r="E358" s="2" t="s">
        <v>110</v>
      </c>
      <c r="F358" s="2" t="s">
        <v>9</v>
      </c>
      <c r="G358" s="95"/>
      <c r="H358" s="95"/>
    </row>
    <row r="359" spans="1:8" hidden="1" x14ac:dyDescent="0.35">
      <c r="A359" t="s">
        <v>1</v>
      </c>
      <c r="B359" s="29" t="s">
        <v>5</v>
      </c>
      <c r="C359" s="29">
        <v>1</v>
      </c>
      <c r="D359" s="29">
        <v>15</v>
      </c>
      <c r="E359" s="2" t="s">
        <v>102</v>
      </c>
      <c r="F359" s="16" t="s">
        <v>19</v>
      </c>
      <c r="G359" s="95">
        <v>212639</v>
      </c>
      <c r="H359" s="95">
        <v>212639</v>
      </c>
    </row>
    <row r="360" spans="1:8" hidden="1" x14ac:dyDescent="0.35">
      <c r="A360" t="s">
        <v>1</v>
      </c>
      <c r="B360" s="29" t="s">
        <v>5</v>
      </c>
      <c r="C360" s="29">
        <v>1</v>
      </c>
      <c r="D360" s="29">
        <v>16</v>
      </c>
      <c r="E360" s="2" t="s">
        <v>102</v>
      </c>
      <c r="F360" s="16" t="s">
        <v>18</v>
      </c>
      <c r="G360" s="95">
        <v>443000</v>
      </c>
      <c r="H360" s="95">
        <v>443000</v>
      </c>
    </row>
    <row r="361" spans="1:8" hidden="1" x14ac:dyDescent="0.35">
      <c r="A361" t="s">
        <v>1</v>
      </c>
      <c r="B361" s="29" t="s">
        <v>5</v>
      </c>
      <c r="C361" s="29">
        <v>1</v>
      </c>
      <c r="D361" s="29">
        <v>17</v>
      </c>
      <c r="E361" t="s">
        <v>102</v>
      </c>
      <c r="F361" t="s">
        <v>25</v>
      </c>
      <c r="G361" s="119"/>
      <c r="H361" s="119"/>
    </row>
    <row r="362" spans="1:8" hidden="1" x14ac:dyDescent="0.35">
      <c r="A362" t="s">
        <v>1</v>
      </c>
      <c r="B362" s="29" t="s">
        <v>5</v>
      </c>
      <c r="C362" s="29">
        <v>1</v>
      </c>
      <c r="D362" s="29">
        <v>18</v>
      </c>
      <c r="E362" t="s">
        <v>100</v>
      </c>
      <c r="F362" s="22" t="s">
        <v>15</v>
      </c>
      <c r="G362" s="95"/>
      <c r="H362" s="95"/>
    </row>
    <row r="363" spans="1:8" hidden="1" x14ac:dyDescent="0.35">
      <c r="A363" t="s">
        <v>1</v>
      </c>
      <c r="B363" s="29" t="s">
        <v>5</v>
      </c>
      <c r="C363" s="29">
        <v>1</v>
      </c>
      <c r="D363" s="29">
        <v>19</v>
      </c>
      <c r="E363" s="2" t="s">
        <v>100</v>
      </c>
      <c r="F363" s="16" t="s">
        <v>16</v>
      </c>
      <c r="G363" s="95"/>
      <c r="H363" s="95"/>
    </row>
    <row r="364" spans="1:8" hidden="1" x14ac:dyDescent="0.35">
      <c r="A364" t="s">
        <v>1</v>
      </c>
      <c r="B364" s="29" t="s">
        <v>5</v>
      </c>
      <c r="C364" s="29">
        <v>1</v>
      </c>
      <c r="D364" s="29">
        <v>20</v>
      </c>
      <c r="E364" s="2" t="s">
        <v>98</v>
      </c>
      <c r="F364" s="16" t="s">
        <v>17</v>
      </c>
      <c r="G364" s="95">
        <v>0</v>
      </c>
      <c r="H364" s="95">
        <v>0</v>
      </c>
    </row>
    <row r="365" spans="1:8" hidden="1" x14ac:dyDescent="0.35">
      <c r="A365" t="s">
        <v>1</v>
      </c>
      <c r="B365" s="29" t="s">
        <v>26</v>
      </c>
      <c r="C365" s="29">
        <v>2</v>
      </c>
      <c r="D365" s="29">
        <v>1</v>
      </c>
      <c r="E365" s="2" t="s">
        <v>236</v>
      </c>
      <c r="F365" s="22" t="s">
        <v>61</v>
      </c>
      <c r="G365" s="104">
        <v>6579000</v>
      </c>
      <c r="H365" s="186">
        <f>'Ector FY23 Staffing'!F30</f>
        <v>6313000</v>
      </c>
    </row>
    <row r="366" spans="1:8" hidden="1" x14ac:dyDescent="0.35">
      <c r="A366" t="s">
        <v>1</v>
      </c>
      <c r="B366" s="29" t="s">
        <v>26</v>
      </c>
      <c r="C366" s="29">
        <v>2</v>
      </c>
      <c r="D366" s="29">
        <v>2</v>
      </c>
      <c r="E366" s="2" t="s">
        <v>237</v>
      </c>
      <c r="F366" s="22" t="s">
        <v>62</v>
      </c>
      <c r="G366" s="101"/>
      <c r="H366" s="104"/>
    </row>
    <row r="367" spans="1:8" hidden="1" x14ac:dyDescent="0.35">
      <c r="A367" t="s">
        <v>1</v>
      </c>
      <c r="B367" s="29" t="s">
        <v>26</v>
      </c>
      <c r="C367" s="29">
        <v>2</v>
      </c>
      <c r="D367" s="29">
        <v>3</v>
      </c>
      <c r="E367" s="2" t="s">
        <v>238</v>
      </c>
      <c r="F367" s="22" t="s">
        <v>58</v>
      </c>
      <c r="G367" s="101">
        <f>4571000*0.04</f>
        <v>182840</v>
      </c>
      <c r="H367" s="186">
        <f>H365*0.04</f>
        <v>252520</v>
      </c>
    </row>
    <row r="368" spans="1:8" hidden="1" x14ac:dyDescent="0.35">
      <c r="A368" t="s">
        <v>1</v>
      </c>
      <c r="B368" s="29" t="s">
        <v>26</v>
      </c>
      <c r="C368" s="29">
        <v>2</v>
      </c>
      <c r="D368" s="29">
        <v>4</v>
      </c>
      <c r="E368" s="2" t="s">
        <v>239</v>
      </c>
      <c r="F368" s="22" t="s">
        <v>60</v>
      </c>
      <c r="G368" s="101">
        <v>83796</v>
      </c>
      <c r="H368" s="186">
        <f>H365*0.0145</f>
        <v>91538.5</v>
      </c>
    </row>
    <row r="369" spans="1:8" hidden="1" x14ac:dyDescent="0.35">
      <c r="A369" t="s">
        <v>1</v>
      </c>
      <c r="B369" s="29" t="s">
        <v>26</v>
      </c>
      <c r="C369" s="29">
        <v>2</v>
      </c>
      <c r="D369" s="29">
        <v>5</v>
      </c>
      <c r="E369" s="2" t="s">
        <v>239</v>
      </c>
      <c r="F369" s="22" t="s">
        <v>59</v>
      </c>
      <c r="G369" s="101">
        <v>3000</v>
      </c>
      <c r="H369" s="186">
        <f>'Ector FY23 Staffing'!B30*8.4</f>
        <v>764.4</v>
      </c>
    </row>
    <row r="370" spans="1:8" hidden="1" x14ac:dyDescent="0.35">
      <c r="A370" t="s">
        <v>1</v>
      </c>
      <c r="B370" s="29" t="s">
        <v>26</v>
      </c>
      <c r="C370" s="29">
        <v>2</v>
      </c>
      <c r="D370" s="29">
        <v>6</v>
      </c>
      <c r="E370" s="2" t="s">
        <v>239</v>
      </c>
      <c r="F370" s="22" t="s">
        <v>57</v>
      </c>
      <c r="G370" s="101">
        <f>(111*0.8)*6334.56</f>
        <v>562508.92800000007</v>
      </c>
      <c r="H370" s="186">
        <f>('Ector FY23 Staffing'!B30*0.8)*6334.56</f>
        <v>461155.96799999999</v>
      </c>
    </row>
    <row r="371" spans="1:8" hidden="1" x14ac:dyDescent="0.35">
      <c r="A371" t="s">
        <v>1</v>
      </c>
      <c r="B371" s="29" t="s">
        <v>26</v>
      </c>
      <c r="C371" s="29">
        <v>2</v>
      </c>
      <c r="D371" s="29">
        <v>7</v>
      </c>
      <c r="E371" s="2" t="s">
        <v>239</v>
      </c>
      <c r="F371" s="22" t="s">
        <v>65</v>
      </c>
      <c r="G371" s="101">
        <v>72815</v>
      </c>
      <c r="H371" s="186">
        <f>H365*0.0126</f>
        <v>79543.8</v>
      </c>
    </row>
    <row r="372" spans="1:8" hidden="1" x14ac:dyDescent="0.35">
      <c r="A372" t="s">
        <v>1</v>
      </c>
      <c r="B372" s="29" t="s">
        <v>26</v>
      </c>
      <c r="C372" s="29">
        <v>2</v>
      </c>
      <c r="D372" s="29">
        <v>8</v>
      </c>
      <c r="E372" s="2" t="s">
        <v>239</v>
      </c>
      <c r="F372" s="22" t="s">
        <v>63</v>
      </c>
      <c r="G372" s="101">
        <v>104022</v>
      </c>
      <c r="H372" s="186">
        <f>H365*0.018</f>
        <v>113633.99999999999</v>
      </c>
    </row>
    <row r="373" spans="1:8" hidden="1" x14ac:dyDescent="0.35">
      <c r="A373" t="s">
        <v>1</v>
      </c>
      <c r="B373" s="29" t="s">
        <v>26</v>
      </c>
      <c r="C373" s="29">
        <v>2</v>
      </c>
      <c r="D373" s="29">
        <v>9</v>
      </c>
      <c r="E373" s="2" t="s">
        <v>239</v>
      </c>
      <c r="F373" s="22" t="s">
        <v>64</v>
      </c>
      <c r="G373" s="101">
        <v>46232</v>
      </c>
      <c r="H373" s="186">
        <f>H365*0.008</f>
        <v>50504</v>
      </c>
    </row>
    <row r="374" spans="1:8" hidden="1" x14ac:dyDescent="0.35">
      <c r="A374" t="s">
        <v>1</v>
      </c>
      <c r="B374" s="29" t="s">
        <v>26</v>
      </c>
      <c r="C374" s="29">
        <v>2</v>
      </c>
      <c r="D374" s="29">
        <v>10</v>
      </c>
      <c r="E374" s="2" t="s">
        <v>236</v>
      </c>
      <c r="F374" s="22" t="s">
        <v>240</v>
      </c>
      <c r="G374" s="101">
        <v>376000</v>
      </c>
      <c r="H374" s="186">
        <f>'Ector FY23 Staffing'!F36</f>
        <v>457000</v>
      </c>
    </row>
    <row r="375" spans="1:8" hidden="1" x14ac:dyDescent="0.35">
      <c r="A375" t="s">
        <v>1</v>
      </c>
      <c r="B375" s="29" t="s">
        <v>26</v>
      </c>
      <c r="C375" s="29">
        <v>2</v>
      </c>
      <c r="D375" s="29">
        <v>11</v>
      </c>
      <c r="E375" s="2" t="s">
        <v>239</v>
      </c>
      <c r="F375" t="s">
        <v>74</v>
      </c>
      <c r="G375" s="101">
        <f>G374*0.0145</f>
        <v>5452</v>
      </c>
      <c r="H375" s="186">
        <f>H374*0.0145</f>
        <v>6626.5</v>
      </c>
    </row>
    <row r="376" spans="1:8" hidden="1" x14ac:dyDescent="0.35">
      <c r="A376" t="s">
        <v>1</v>
      </c>
      <c r="B376" s="29" t="s">
        <v>26</v>
      </c>
      <c r="C376" s="29">
        <v>2</v>
      </c>
      <c r="D376" s="29">
        <v>12</v>
      </c>
      <c r="E376" s="2" t="s">
        <v>239</v>
      </c>
      <c r="F376" s="22" t="s">
        <v>76</v>
      </c>
      <c r="G376" s="101"/>
      <c r="H376" s="186">
        <f>('Ector FY23 Staffing'!B36*0.8)*6334.56</f>
        <v>35473.536000000007</v>
      </c>
    </row>
    <row r="377" spans="1:8" hidden="1" x14ac:dyDescent="0.35">
      <c r="A377" t="s">
        <v>1</v>
      </c>
      <c r="B377" s="29" t="s">
        <v>26</v>
      </c>
      <c r="C377" s="29">
        <v>2</v>
      </c>
      <c r="D377" s="29">
        <v>13</v>
      </c>
      <c r="E377" s="2" t="s">
        <v>239</v>
      </c>
      <c r="F377" s="22" t="s">
        <v>75</v>
      </c>
      <c r="G377" s="101">
        <f>G374*0.0126</f>
        <v>4737.6000000000004</v>
      </c>
      <c r="H377" s="186">
        <f>H374*0.0126</f>
        <v>5758.2</v>
      </c>
    </row>
    <row r="378" spans="1:8" hidden="1" x14ac:dyDescent="0.35">
      <c r="A378" t="s">
        <v>1</v>
      </c>
      <c r="B378" s="29" t="s">
        <v>26</v>
      </c>
      <c r="C378" s="29">
        <v>2</v>
      </c>
      <c r="D378" s="29">
        <v>14</v>
      </c>
      <c r="E378" s="2" t="s">
        <v>239</v>
      </c>
      <c r="F378" s="22" t="s">
        <v>87</v>
      </c>
      <c r="G378" s="101">
        <f>G374*0.018</f>
        <v>6767.9999999999991</v>
      </c>
      <c r="H378" s="186">
        <f>H374*0.018</f>
        <v>8226</v>
      </c>
    </row>
    <row r="379" spans="1:8" hidden="1" x14ac:dyDescent="0.35">
      <c r="A379" t="s">
        <v>1</v>
      </c>
      <c r="B379" s="29" t="s">
        <v>26</v>
      </c>
      <c r="C379" s="29">
        <v>2</v>
      </c>
      <c r="D379" s="29">
        <v>15</v>
      </c>
      <c r="E379" s="2" t="s">
        <v>239</v>
      </c>
      <c r="F379" s="22" t="s">
        <v>88</v>
      </c>
      <c r="G379" s="101">
        <f>G374*0.008</f>
        <v>3008</v>
      </c>
      <c r="H379" s="186">
        <f>H374*0.008</f>
        <v>3656</v>
      </c>
    </row>
    <row r="380" spans="1:8" hidden="1" x14ac:dyDescent="0.35">
      <c r="A380" t="s">
        <v>1</v>
      </c>
      <c r="B380" s="29" t="s">
        <v>26</v>
      </c>
      <c r="C380" s="29">
        <v>2</v>
      </c>
      <c r="D380" s="29">
        <v>16</v>
      </c>
      <c r="E380" s="2" t="s">
        <v>237</v>
      </c>
      <c r="F380" s="16" t="s">
        <v>83</v>
      </c>
      <c r="G380" s="101">
        <v>26400</v>
      </c>
      <c r="H380" s="101">
        <v>26400</v>
      </c>
    </row>
    <row r="381" spans="1:8" hidden="1" x14ac:dyDescent="0.35">
      <c r="A381" t="s">
        <v>1</v>
      </c>
      <c r="B381" s="29" t="s">
        <v>26</v>
      </c>
      <c r="C381" s="29">
        <v>2</v>
      </c>
      <c r="D381" s="29">
        <v>17</v>
      </c>
      <c r="E381" s="2" t="s">
        <v>241</v>
      </c>
      <c r="F381" s="22" t="s">
        <v>29</v>
      </c>
      <c r="G381" s="101">
        <v>1227000</v>
      </c>
      <c r="H381" s="182">
        <f>'Ector FY23 Staffing'!F49</f>
        <v>1247000</v>
      </c>
    </row>
    <row r="382" spans="1:8" hidden="1" x14ac:dyDescent="0.35">
      <c r="A382" t="s">
        <v>1</v>
      </c>
      <c r="B382" s="29" t="s">
        <v>26</v>
      </c>
      <c r="C382" s="29">
        <v>2</v>
      </c>
      <c r="D382" s="29">
        <v>18</v>
      </c>
      <c r="E382" s="2" t="s">
        <v>241</v>
      </c>
      <c r="F382" t="s">
        <v>28</v>
      </c>
      <c r="G382" s="101">
        <v>30000</v>
      </c>
      <c r="H382" s="101">
        <v>30000</v>
      </c>
    </row>
    <row r="383" spans="1:8" hidden="1" x14ac:dyDescent="0.35">
      <c r="A383" t="s">
        <v>1</v>
      </c>
      <c r="B383" s="29" t="s">
        <v>26</v>
      </c>
      <c r="C383" s="29">
        <v>2</v>
      </c>
      <c r="D383" s="29">
        <v>19</v>
      </c>
      <c r="E383" s="2" t="s">
        <v>242</v>
      </c>
      <c r="F383" s="22" t="s">
        <v>33</v>
      </c>
      <c r="G383" s="101">
        <f>G381*0.0145</f>
        <v>17791.5</v>
      </c>
      <c r="H383" s="101">
        <f>H381*0.0145</f>
        <v>18081.5</v>
      </c>
    </row>
    <row r="384" spans="1:8" hidden="1" x14ac:dyDescent="0.35">
      <c r="A384" t="s">
        <v>1</v>
      </c>
      <c r="B384" s="29" t="s">
        <v>26</v>
      </c>
      <c r="C384" s="29">
        <v>2</v>
      </c>
      <c r="D384" s="29">
        <v>20</v>
      </c>
      <c r="E384" s="2" t="s">
        <v>242</v>
      </c>
      <c r="F384" s="22" t="s">
        <v>32</v>
      </c>
      <c r="G384" s="101">
        <v>500</v>
      </c>
      <c r="H384" s="186">
        <f>'Ector FY23 Staffing'!B49*8.4</f>
        <v>142.80000000000001</v>
      </c>
    </row>
    <row r="385" spans="1:8" hidden="1" x14ac:dyDescent="0.35">
      <c r="A385" t="s">
        <v>1</v>
      </c>
      <c r="B385" s="29" t="s">
        <v>26</v>
      </c>
      <c r="C385" s="29">
        <v>2</v>
      </c>
      <c r="D385" s="29">
        <v>21</v>
      </c>
      <c r="E385" s="2" t="s">
        <v>242</v>
      </c>
      <c r="F385" s="22" t="s">
        <v>31</v>
      </c>
      <c r="G385" s="101"/>
      <c r="H385" s="186">
        <f>('Ector FY23 Staffing'!B49*0.8)*6334.56</f>
        <v>86150.016000000018</v>
      </c>
    </row>
    <row r="386" spans="1:8" hidden="1" x14ac:dyDescent="0.35">
      <c r="A386" t="s">
        <v>1</v>
      </c>
      <c r="B386" s="29" t="s">
        <v>26</v>
      </c>
      <c r="C386" s="29">
        <v>2</v>
      </c>
      <c r="D386" s="29">
        <v>22</v>
      </c>
      <c r="E386" s="2" t="s">
        <v>242</v>
      </c>
      <c r="F386" s="22" t="s">
        <v>39</v>
      </c>
      <c r="G386" s="101">
        <f>G381*0.0126</f>
        <v>15460.2</v>
      </c>
      <c r="H386" s="182">
        <f>H381*0.0126</f>
        <v>15712.2</v>
      </c>
    </row>
    <row r="387" spans="1:8" hidden="1" x14ac:dyDescent="0.35">
      <c r="A387" t="s">
        <v>1</v>
      </c>
      <c r="B387" s="29" t="s">
        <v>26</v>
      </c>
      <c r="C387" s="29">
        <v>2</v>
      </c>
      <c r="D387" s="29">
        <v>23</v>
      </c>
      <c r="E387" s="2" t="s">
        <v>242</v>
      </c>
      <c r="F387" s="22" t="s">
        <v>37</v>
      </c>
      <c r="G387" s="101">
        <f>G381*0.018</f>
        <v>22086</v>
      </c>
      <c r="H387" s="182">
        <f>H381*0.018</f>
        <v>22446</v>
      </c>
    </row>
    <row r="388" spans="1:8" hidden="1" x14ac:dyDescent="0.35">
      <c r="A388" t="s">
        <v>1</v>
      </c>
      <c r="B388" s="29" t="s">
        <v>26</v>
      </c>
      <c r="C388" s="29">
        <v>2</v>
      </c>
      <c r="D388" s="29">
        <v>24</v>
      </c>
      <c r="E388" s="2" t="s">
        <v>242</v>
      </c>
      <c r="F388" s="22" t="s">
        <v>38</v>
      </c>
      <c r="G388" s="101">
        <f>G381*0.008</f>
        <v>9816</v>
      </c>
      <c r="H388" s="182">
        <f>H381*0.008</f>
        <v>9976</v>
      </c>
    </row>
    <row r="389" spans="1:8" hidden="1" x14ac:dyDescent="0.35">
      <c r="A389" t="s">
        <v>1</v>
      </c>
      <c r="B389" s="29" t="s">
        <v>26</v>
      </c>
      <c r="C389" s="29">
        <v>2</v>
      </c>
      <c r="D389" s="29">
        <v>25</v>
      </c>
      <c r="E389" t="s">
        <v>243</v>
      </c>
      <c r="F389" t="s">
        <v>25</v>
      </c>
      <c r="G389" s="101"/>
      <c r="H389" s="182"/>
    </row>
    <row r="390" spans="1:8" hidden="1" x14ac:dyDescent="0.35">
      <c r="A390" t="s">
        <v>1</v>
      </c>
      <c r="B390" s="29" t="s">
        <v>26</v>
      </c>
      <c r="C390" s="29">
        <v>2</v>
      </c>
      <c r="D390" s="29">
        <v>26</v>
      </c>
      <c r="E390" t="s">
        <v>244</v>
      </c>
      <c r="F390" s="16" t="s">
        <v>43</v>
      </c>
      <c r="G390" s="101">
        <v>50000</v>
      </c>
      <c r="H390" s="101">
        <v>50000</v>
      </c>
    </row>
    <row r="391" spans="1:8" hidden="1" x14ac:dyDescent="0.35">
      <c r="A391" t="s">
        <v>1</v>
      </c>
      <c r="B391" s="29" t="s">
        <v>26</v>
      </c>
      <c r="C391" s="29">
        <v>2</v>
      </c>
      <c r="D391" s="29">
        <v>27</v>
      </c>
      <c r="E391" s="2" t="s">
        <v>245</v>
      </c>
      <c r="F391" s="22" t="s">
        <v>246</v>
      </c>
      <c r="G391" s="101">
        <v>250000</v>
      </c>
      <c r="H391" s="101">
        <v>250000</v>
      </c>
    </row>
    <row r="392" spans="1:8" hidden="1" x14ac:dyDescent="0.35">
      <c r="A392" t="s">
        <v>1</v>
      </c>
      <c r="B392" s="29" t="s">
        <v>26</v>
      </c>
      <c r="C392" s="29">
        <v>2</v>
      </c>
      <c r="D392" s="29">
        <v>28</v>
      </c>
      <c r="E392" s="2" t="s">
        <v>247</v>
      </c>
      <c r="F392" s="16" t="s">
        <v>82</v>
      </c>
      <c r="G392" s="101">
        <v>30000</v>
      </c>
      <c r="H392" s="101">
        <v>30000</v>
      </c>
    </row>
    <row r="393" spans="1:8" hidden="1" x14ac:dyDescent="0.35">
      <c r="A393" t="s">
        <v>1</v>
      </c>
      <c r="B393" s="29" t="s">
        <v>26</v>
      </c>
      <c r="C393" s="29">
        <v>2</v>
      </c>
      <c r="D393" s="29">
        <v>29</v>
      </c>
      <c r="E393" s="2" t="s">
        <v>248</v>
      </c>
      <c r="F393" s="16" t="s">
        <v>34</v>
      </c>
      <c r="G393" s="101">
        <v>1269000</v>
      </c>
      <c r="H393" s="101">
        <v>1269000</v>
      </c>
    </row>
    <row r="394" spans="1:8" hidden="1" x14ac:dyDescent="0.35">
      <c r="A394" t="s">
        <v>1</v>
      </c>
      <c r="B394" s="29" t="s">
        <v>26</v>
      </c>
      <c r="C394" s="29">
        <v>2</v>
      </c>
      <c r="D394" s="29">
        <v>30</v>
      </c>
      <c r="E394" s="2" t="s">
        <v>248</v>
      </c>
      <c r="F394" s="16" t="s">
        <v>35</v>
      </c>
      <c r="G394" s="101">
        <v>598050</v>
      </c>
      <c r="H394" s="101">
        <v>598050</v>
      </c>
    </row>
    <row r="395" spans="1:8" hidden="1" x14ac:dyDescent="0.35">
      <c r="A395" t="s">
        <v>1</v>
      </c>
      <c r="B395" s="29" t="s">
        <v>26</v>
      </c>
      <c r="C395" s="29">
        <v>2</v>
      </c>
      <c r="D395" s="29">
        <v>31</v>
      </c>
      <c r="E395" s="2" t="s">
        <v>248</v>
      </c>
      <c r="F395" s="16" t="s">
        <v>36</v>
      </c>
      <c r="G395" s="101">
        <v>2017493</v>
      </c>
      <c r="H395" s="186">
        <v>2633230</v>
      </c>
    </row>
    <row r="396" spans="1:8" hidden="1" x14ac:dyDescent="0.35">
      <c r="A396" t="s">
        <v>1</v>
      </c>
      <c r="B396" s="29" t="s">
        <v>26</v>
      </c>
      <c r="C396" s="29">
        <v>2</v>
      </c>
      <c r="D396" s="29">
        <v>32</v>
      </c>
      <c r="E396" t="s">
        <v>49</v>
      </c>
      <c r="F396" s="16" t="s">
        <v>49</v>
      </c>
      <c r="G396" s="102">
        <v>50000</v>
      </c>
      <c r="H396" s="266">
        <v>80000</v>
      </c>
    </row>
    <row r="397" spans="1:8" hidden="1" x14ac:dyDescent="0.35">
      <c r="A397" t="s">
        <v>1</v>
      </c>
      <c r="B397" s="29" t="s">
        <v>26</v>
      </c>
      <c r="C397" s="29">
        <v>2</v>
      </c>
      <c r="D397" s="29">
        <v>33</v>
      </c>
      <c r="E397" s="2" t="s">
        <v>249</v>
      </c>
      <c r="F397" s="23" t="s">
        <v>73</v>
      </c>
      <c r="G397" s="102">
        <v>120000</v>
      </c>
      <c r="H397" s="102">
        <v>120000</v>
      </c>
    </row>
    <row r="398" spans="1:8" hidden="1" x14ac:dyDescent="0.35">
      <c r="A398" t="s">
        <v>1</v>
      </c>
      <c r="B398" s="29" t="s">
        <v>26</v>
      </c>
      <c r="C398" s="29">
        <v>2</v>
      </c>
      <c r="D398" s="29">
        <v>34</v>
      </c>
      <c r="E398" s="2" t="s">
        <v>249</v>
      </c>
      <c r="F398" s="23" t="s">
        <v>50</v>
      </c>
      <c r="G398" s="101">
        <v>30000</v>
      </c>
      <c r="H398" s="101">
        <v>30000</v>
      </c>
    </row>
    <row r="399" spans="1:8" hidden="1" x14ac:dyDescent="0.35">
      <c r="A399" t="s">
        <v>1</v>
      </c>
      <c r="B399" s="29" t="s">
        <v>26</v>
      </c>
      <c r="C399" s="29">
        <v>2</v>
      </c>
      <c r="D399" s="29">
        <v>35</v>
      </c>
      <c r="E399" s="2" t="s">
        <v>250</v>
      </c>
      <c r="F399" s="23" t="s">
        <v>84</v>
      </c>
      <c r="G399" s="101">
        <v>350000</v>
      </c>
      <c r="H399" s="101">
        <v>350000</v>
      </c>
    </row>
    <row r="400" spans="1:8" hidden="1" x14ac:dyDescent="0.35">
      <c r="A400" t="s">
        <v>1</v>
      </c>
      <c r="B400" s="29" t="s">
        <v>26</v>
      </c>
      <c r="C400" s="29">
        <v>2</v>
      </c>
      <c r="D400" s="29">
        <v>36</v>
      </c>
      <c r="E400" s="2" t="s">
        <v>250</v>
      </c>
      <c r="F400" s="2" t="s">
        <v>51</v>
      </c>
      <c r="G400" s="101">
        <v>30000</v>
      </c>
      <c r="H400" s="101">
        <v>30000</v>
      </c>
    </row>
    <row r="401" spans="1:8" hidden="1" x14ac:dyDescent="0.35">
      <c r="A401" t="s">
        <v>1</v>
      </c>
      <c r="B401" s="29" t="s">
        <v>26</v>
      </c>
      <c r="C401" s="29">
        <v>2</v>
      </c>
      <c r="D401" s="29">
        <v>37</v>
      </c>
      <c r="E401" s="2" t="s">
        <v>250</v>
      </c>
      <c r="F401" s="28" t="s">
        <v>86</v>
      </c>
      <c r="G401" s="101">
        <v>25000</v>
      </c>
      <c r="H401" s="101">
        <v>25000</v>
      </c>
    </row>
    <row r="402" spans="1:8" hidden="1" x14ac:dyDescent="0.35">
      <c r="A402" t="s">
        <v>1</v>
      </c>
      <c r="B402" s="29" t="s">
        <v>26</v>
      </c>
      <c r="C402" s="29">
        <v>2</v>
      </c>
      <c r="D402" s="29">
        <v>38</v>
      </c>
      <c r="E402" s="2" t="s">
        <v>250</v>
      </c>
      <c r="F402" s="2" t="s">
        <v>251</v>
      </c>
      <c r="G402" s="101">
        <v>80000</v>
      </c>
      <c r="H402" s="101">
        <v>80000</v>
      </c>
    </row>
    <row r="403" spans="1:8" hidden="1" x14ac:dyDescent="0.35">
      <c r="A403" t="s">
        <v>1</v>
      </c>
      <c r="B403" s="29" t="s">
        <v>26</v>
      </c>
      <c r="C403" s="29">
        <v>2</v>
      </c>
      <c r="D403" s="29">
        <v>39</v>
      </c>
      <c r="E403" s="2" t="s">
        <v>250</v>
      </c>
      <c r="F403" s="2" t="s">
        <v>56</v>
      </c>
      <c r="G403" s="101">
        <v>14000</v>
      </c>
      <c r="H403" s="101">
        <v>14000</v>
      </c>
    </row>
    <row r="404" spans="1:8" hidden="1" x14ac:dyDescent="0.35">
      <c r="A404" t="s">
        <v>1</v>
      </c>
      <c r="B404" s="29" t="s">
        <v>26</v>
      </c>
      <c r="C404" s="29">
        <v>2</v>
      </c>
      <c r="D404" s="29">
        <v>40</v>
      </c>
      <c r="E404" s="2" t="s">
        <v>250</v>
      </c>
      <c r="F404" s="2" t="s">
        <v>53</v>
      </c>
      <c r="G404" s="101">
        <v>140000</v>
      </c>
      <c r="H404" s="101">
        <v>140000</v>
      </c>
    </row>
    <row r="405" spans="1:8" hidden="1" x14ac:dyDescent="0.35">
      <c r="A405" t="s">
        <v>1</v>
      </c>
      <c r="B405" s="29" t="s">
        <v>26</v>
      </c>
      <c r="C405" s="29">
        <v>2</v>
      </c>
      <c r="D405" s="29">
        <v>41</v>
      </c>
      <c r="E405" s="2" t="s">
        <v>250</v>
      </c>
      <c r="F405" s="2" t="s">
        <v>55</v>
      </c>
      <c r="G405" s="101">
        <v>70000</v>
      </c>
      <c r="H405" s="101">
        <v>70000</v>
      </c>
    </row>
    <row r="406" spans="1:8" hidden="1" x14ac:dyDescent="0.35">
      <c r="A406" t="s">
        <v>1</v>
      </c>
      <c r="B406" s="29" t="s">
        <v>26</v>
      </c>
      <c r="C406" s="29">
        <v>2</v>
      </c>
      <c r="D406" s="29">
        <v>42</v>
      </c>
      <c r="E406" s="2" t="s">
        <v>250</v>
      </c>
      <c r="F406" s="2" t="s">
        <v>54</v>
      </c>
      <c r="G406" s="101">
        <v>14000</v>
      </c>
      <c r="H406" s="101">
        <v>14000</v>
      </c>
    </row>
    <row r="407" spans="1:8" hidden="1" x14ac:dyDescent="0.35">
      <c r="A407" t="s">
        <v>1</v>
      </c>
      <c r="B407" s="29" t="s">
        <v>26</v>
      </c>
      <c r="C407" s="29">
        <v>2</v>
      </c>
      <c r="D407" s="29">
        <v>43</v>
      </c>
      <c r="E407" s="2" t="s">
        <v>250</v>
      </c>
      <c r="F407" t="s">
        <v>47</v>
      </c>
      <c r="G407" s="101">
        <v>50000</v>
      </c>
      <c r="H407" s="101">
        <v>50000</v>
      </c>
    </row>
    <row r="408" spans="1:8" hidden="1" x14ac:dyDescent="0.35">
      <c r="A408" t="s">
        <v>1</v>
      </c>
      <c r="B408" s="29" t="s">
        <v>26</v>
      </c>
      <c r="C408" s="29">
        <v>2</v>
      </c>
      <c r="D408" s="29">
        <v>44</v>
      </c>
      <c r="E408" s="2" t="s">
        <v>252</v>
      </c>
      <c r="F408" s="23" t="s">
        <v>45</v>
      </c>
      <c r="G408" s="104">
        <v>225000</v>
      </c>
      <c r="H408" s="104">
        <v>225000</v>
      </c>
    </row>
    <row r="409" spans="1:8" hidden="1" x14ac:dyDescent="0.35">
      <c r="A409" t="s">
        <v>1</v>
      </c>
      <c r="B409" s="29" t="s">
        <v>26</v>
      </c>
      <c r="C409" s="29">
        <v>2</v>
      </c>
      <c r="D409" s="29">
        <v>45</v>
      </c>
      <c r="E409" s="2" t="s">
        <v>252</v>
      </c>
      <c r="F409" s="23" t="s">
        <v>46</v>
      </c>
      <c r="G409" s="104">
        <v>75000</v>
      </c>
      <c r="H409" s="104">
        <v>75000</v>
      </c>
    </row>
    <row r="410" spans="1:8" hidden="1" x14ac:dyDescent="0.35">
      <c r="A410" t="s">
        <v>1</v>
      </c>
      <c r="B410" s="29" t="s">
        <v>26</v>
      </c>
      <c r="C410" s="29">
        <v>2</v>
      </c>
      <c r="D410" s="29">
        <v>46</v>
      </c>
      <c r="E410" s="2" t="s">
        <v>252</v>
      </c>
      <c r="F410" s="2" t="s">
        <v>78</v>
      </c>
      <c r="G410" s="104">
        <v>120000</v>
      </c>
      <c r="H410" s="104">
        <v>120000</v>
      </c>
    </row>
    <row r="411" spans="1:8" hidden="1" x14ac:dyDescent="0.35">
      <c r="A411" t="s">
        <v>1</v>
      </c>
      <c r="B411" s="29" t="s">
        <v>26</v>
      </c>
      <c r="C411" s="29">
        <v>2</v>
      </c>
      <c r="D411" s="29">
        <v>47</v>
      </c>
      <c r="E411" s="2" t="s">
        <v>252</v>
      </c>
      <c r="F411" t="s">
        <v>48</v>
      </c>
      <c r="G411" s="104">
        <v>20000</v>
      </c>
      <c r="H411" s="104">
        <v>20000</v>
      </c>
    </row>
    <row r="412" spans="1:8" hidden="1" x14ac:dyDescent="0.35">
      <c r="A412" t="s">
        <v>1</v>
      </c>
      <c r="B412" s="29" t="s">
        <v>26</v>
      </c>
      <c r="C412" s="29">
        <v>2</v>
      </c>
      <c r="D412" s="29">
        <v>48</v>
      </c>
      <c r="E412" s="2" t="s">
        <v>253</v>
      </c>
      <c r="F412" t="s">
        <v>79</v>
      </c>
      <c r="G412" s="101">
        <v>75000</v>
      </c>
      <c r="H412" s="101">
        <v>75000</v>
      </c>
    </row>
    <row r="413" spans="1:8" hidden="1" x14ac:dyDescent="0.35">
      <c r="A413" t="s">
        <v>1</v>
      </c>
      <c r="B413" s="29" t="s">
        <v>26</v>
      </c>
      <c r="C413" s="29">
        <v>2</v>
      </c>
      <c r="D413" s="29">
        <v>49</v>
      </c>
      <c r="E413" s="2" t="s">
        <v>253</v>
      </c>
      <c r="F413" t="s">
        <v>80</v>
      </c>
      <c r="G413" s="101">
        <v>30000</v>
      </c>
      <c r="H413" s="101">
        <v>30000</v>
      </c>
    </row>
    <row r="414" spans="1:8" hidden="1" x14ac:dyDescent="0.35">
      <c r="A414" t="s">
        <v>1</v>
      </c>
      <c r="B414" s="29" t="s">
        <v>26</v>
      </c>
      <c r="C414" s="29">
        <v>2</v>
      </c>
      <c r="D414" s="29">
        <v>50</v>
      </c>
      <c r="E414" s="2" t="s">
        <v>253</v>
      </c>
      <c r="F414" t="s">
        <v>81</v>
      </c>
      <c r="G414" s="101">
        <v>20000</v>
      </c>
      <c r="H414" s="101">
        <v>20000</v>
      </c>
    </row>
    <row r="415" spans="1:8" hidden="1" x14ac:dyDescent="0.35">
      <c r="A415" t="s">
        <v>1</v>
      </c>
      <c r="B415" s="29" t="s">
        <v>26</v>
      </c>
      <c r="C415" s="29">
        <v>2</v>
      </c>
      <c r="D415" s="29">
        <v>51</v>
      </c>
      <c r="E415" s="2" t="s">
        <v>252</v>
      </c>
      <c r="F415" s="2" t="s">
        <v>42</v>
      </c>
      <c r="G415" s="101"/>
      <c r="H415" s="101"/>
    </row>
    <row r="416" spans="1:8" hidden="1" x14ac:dyDescent="0.35">
      <c r="A416" t="s">
        <v>1</v>
      </c>
      <c r="B416" s="29" t="s">
        <v>26</v>
      </c>
      <c r="C416" s="29">
        <v>2</v>
      </c>
      <c r="D416" s="29">
        <v>52</v>
      </c>
      <c r="E416" s="2" t="s">
        <v>252</v>
      </c>
      <c r="F416" s="2" t="s">
        <v>41</v>
      </c>
      <c r="G416" s="101">
        <v>20000</v>
      </c>
      <c r="H416" s="101">
        <v>20000</v>
      </c>
    </row>
    <row r="417" spans="1:8" hidden="1" x14ac:dyDescent="0.35">
      <c r="A417" t="s">
        <v>1</v>
      </c>
      <c r="B417" s="29" t="s">
        <v>26</v>
      </c>
      <c r="C417" s="29">
        <v>2</v>
      </c>
      <c r="D417" s="29">
        <v>53</v>
      </c>
      <c r="E417" s="2" t="s">
        <v>252</v>
      </c>
      <c r="F417" s="2" t="s">
        <v>85</v>
      </c>
      <c r="G417" s="101">
        <v>15000</v>
      </c>
      <c r="H417" s="101">
        <v>15000</v>
      </c>
    </row>
    <row r="418" spans="1:8" hidden="1" x14ac:dyDescent="0.35">
      <c r="A418" t="s">
        <v>1</v>
      </c>
      <c r="B418" s="29" t="s">
        <v>26</v>
      </c>
      <c r="C418" s="29">
        <v>2</v>
      </c>
      <c r="D418" s="29">
        <v>54</v>
      </c>
      <c r="E418" s="2" t="s">
        <v>254</v>
      </c>
      <c r="F418" s="2" t="s">
        <v>66</v>
      </c>
      <c r="G418" s="101">
        <v>56000</v>
      </c>
      <c r="H418" s="101">
        <v>56000</v>
      </c>
    </row>
    <row r="419" spans="1:8" hidden="1" x14ac:dyDescent="0.35">
      <c r="A419" t="s">
        <v>1</v>
      </c>
      <c r="B419" s="29" t="s">
        <v>26</v>
      </c>
      <c r="C419" s="29">
        <v>2</v>
      </c>
      <c r="D419" s="29">
        <v>55</v>
      </c>
      <c r="E419" s="2" t="s">
        <v>254</v>
      </c>
      <c r="F419" s="16" t="s">
        <v>68</v>
      </c>
      <c r="G419" s="101">
        <v>80000</v>
      </c>
      <c r="H419" s="101">
        <v>80000</v>
      </c>
    </row>
    <row r="420" spans="1:8" hidden="1" x14ac:dyDescent="0.35">
      <c r="A420" t="s">
        <v>1</v>
      </c>
      <c r="B420" s="29" t="s">
        <v>26</v>
      </c>
      <c r="C420" s="29">
        <v>2</v>
      </c>
      <c r="D420" s="29">
        <v>56</v>
      </c>
      <c r="E420" s="2" t="s">
        <v>254</v>
      </c>
      <c r="F420" s="2" t="s">
        <v>71</v>
      </c>
      <c r="G420" s="101">
        <v>10000</v>
      </c>
      <c r="H420" s="101">
        <v>10000</v>
      </c>
    </row>
    <row r="421" spans="1:8" hidden="1" x14ac:dyDescent="0.35">
      <c r="A421" t="s">
        <v>1</v>
      </c>
      <c r="B421" s="29" t="s">
        <v>26</v>
      </c>
      <c r="C421" s="29">
        <v>2</v>
      </c>
      <c r="D421" s="29">
        <v>57</v>
      </c>
      <c r="E421" s="2" t="s">
        <v>255</v>
      </c>
      <c r="F421" s="2" t="s">
        <v>70</v>
      </c>
      <c r="G421" s="101">
        <v>10000</v>
      </c>
      <c r="H421" s="101">
        <v>10000</v>
      </c>
    </row>
    <row r="422" spans="1:8" hidden="1" x14ac:dyDescent="0.35">
      <c r="A422" t="s">
        <v>1</v>
      </c>
      <c r="B422" s="29" t="s">
        <v>26</v>
      </c>
      <c r="C422" s="29">
        <v>2</v>
      </c>
      <c r="D422" s="29">
        <v>58</v>
      </c>
      <c r="E422" s="2" t="s">
        <v>248</v>
      </c>
      <c r="F422" t="s">
        <v>72</v>
      </c>
      <c r="G422" s="101">
        <v>30000</v>
      </c>
      <c r="H422" s="101">
        <v>30000</v>
      </c>
    </row>
    <row r="423" spans="1:8" hidden="1" x14ac:dyDescent="0.35">
      <c r="A423" t="s">
        <v>1</v>
      </c>
      <c r="B423" s="29" t="s">
        <v>26</v>
      </c>
      <c r="C423" s="29">
        <v>2</v>
      </c>
      <c r="D423" s="29">
        <v>59</v>
      </c>
      <c r="E423" s="2" t="s">
        <v>255</v>
      </c>
      <c r="F423" s="16" t="s">
        <v>30</v>
      </c>
      <c r="G423" s="101">
        <v>15000</v>
      </c>
      <c r="H423" s="101">
        <v>15000</v>
      </c>
    </row>
    <row r="424" spans="1:8" hidden="1" x14ac:dyDescent="0.35">
      <c r="A424" t="s">
        <v>1</v>
      </c>
      <c r="B424" s="29" t="s">
        <v>26</v>
      </c>
      <c r="C424" s="29">
        <v>2</v>
      </c>
      <c r="D424" s="29">
        <v>60</v>
      </c>
      <c r="E424" s="2" t="s">
        <v>248</v>
      </c>
      <c r="F424" s="16" t="s">
        <v>40</v>
      </c>
      <c r="G424" s="101">
        <v>40000</v>
      </c>
      <c r="H424" s="101">
        <v>40000</v>
      </c>
    </row>
    <row r="425" spans="1:8" hidden="1" x14ac:dyDescent="0.35">
      <c r="A425" t="s">
        <v>1</v>
      </c>
      <c r="B425" s="29" t="s">
        <v>26</v>
      </c>
      <c r="C425" s="29">
        <v>2</v>
      </c>
      <c r="D425" s="29">
        <v>61</v>
      </c>
      <c r="E425" s="2" t="s">
        <v>256</v>
      </c>
      <c r="F425" s="2" t="s">
        <v>69</v>
      </c>
      <c r="G425" s="101">
        <v>30000</v>
      </c>
      <c r="H425" s="101">
        <v>30000</v>
      </c>
    </row>
    <row r="426" spans="1:8" hidden="1" x14ac:dyDescent="0.35">
      <c r="A426" t="s">
        <v>1</v>
      </c>
      <c r="B426" s="29" t="s">
        <v>26</v>
      </c>
      <c r="C426" s="29">
        <v>2</v>
      </c>
      <c r="D426" s="29">
        <v>62</v>
      </c>
      <c r="E426" s="2" t="s">
        <v>257</v>
      </c>
      <c r="F426" s="2" t="s">
        <v>44</v>
      </c>
      <c r="G426" s="101">
        <v>338000</v>
      </c>
      <c r="H426" s="101">
        <v>338000</v>
      </c>
    </row>
    <row r="427" spans="1:8" hidden="1" x14ac:dyDescent="0.35">
      <c r="A427" t="s">
        <v>1</v>
      </c>
      <c r="B427" s="29" t="s">
        <v>26</v>
      </c>
      <c r="C427" s="29">
        <v>2</v>
      </c>
      <c r="D427" s="29">
        <v>63</v>
      </c>
      <c r="E427" s="2" t="s">
        <v>257</v>
      </c>
      <c r="F427" s="2" t="s">
        <v>67</v>
      </c>
      <c r="G427" s="101">
        <v>20000</v>
      </c>
      <c r="H427" s="101">
        <v>20000</v>
      </c>
    </row>
    <row r="428" spans="1:8" hidden="1" x14ac:dyDescent="0.35">
      <c r="A428" t="s">
        <v>115</v>
      </c>
      <c r="B428" s="29" t="s">
        <v>5</v>
      </c>
      <c r="C428" s="29">
        <v>1</v>
      </c>
      <c r="D428" s="261">
        <v>1</v>
      </c>
      <c r="E428" s="79" t="s">
        <v>7</v>
      </c>
      <c r="F428" s="75" t="s">
        <v>7</v>
      </c>
      <c r="G428" s="110"/>
      <c r="H428" s="110"/>
    </row>
    <row r="429" spans="1:8" hidden="1" x14ac:dyDescent="0.35">
      <c r="A429" t="s">
        <v>115</v>
      </c>
      <c r="B429" s="29" t="s">
        <v>5</v>
      </c>
      <c r="C429" s="29">
        <v>1</v>
      </c>
      <c r="D429" s="261">
        <v>2</v>
      </c>
      <c r="E429" s="79" t="s">
        <v>102</v>
      </c>
      <c r="F429" s="75" t="s">
        <v>258</v>
      </c>
      <c r="G429" s="1157">
        <v>3343346</v>
      </c>
      <c r="H429" s="1158">
        <v>3343346</v>
      </c>
    </row>
    <row r="430" spans="1:8" hidden="1" x14ac:dyDescent="0.35">
      <c r="A430" t="s">
        <v>115</v>
      </c>
      <c r="B430" s="29" t="s">
        <v>5</v>
      </c>
      <c r="C430" s="29">
        <v>1</v>
      </c>
      <c r="D430" s="261">
        <v>3</v>
      </c>
      <c r="E430" s="79" t="s">
        <v>102</v>
      </c>
      <c r="F430" s="75" t="s">
        <v>6</v>
      </c>
      <c r="G430" s="1157">
        <v>346129</v>
      </c>
      <c r="H430" s="1158">
        <v>346129</v>
      </c>
    </row>
    <row r="431" spans="1:8" hidden="1" x14ac:dyDescent="0.35">
      <c r="A431" t="s">
        <v>115</v>
      </c>
      <c r="B431" s="29" t="s">
        <v>5</v>
      </c>
      <c r="C431" s="29">
        <v>1</v>
      </c>
      <c r="D431" s="261">
        <v>4</v>
      </c>
      <c r="E431" s="79" t="s">
        <v>102</v>
      </c>
      <c r="F431" s="75" t="s">
        <v>20</v>
      </c>
      <c r="G431" s="110"/>
      <c r="H431" s="110"/>
    </row>
    <row r="432" spans="1:8" x14ac:dyDescent="0.35">
      <c r="A432" t="s">
        <v>113</v>
      </c>
      <c r="B432" s="29" t="s">
        <v>5</v>
      </c>
      <c r="C432" s="29">
        <v>1</v>
      </c>
      <c r="D432" s="29">
        <v>17</v>
      </c>
      <c r="E432" t="s">
        <v>110</v>
      </c>
      <c r="F432" t="s">
        <v>235</v>
      </c>
      <c r="G432" s="119">
        <v>3472</v>
      </c>
      <c r="H432" s="128">
        <v>3472</v>
      </c>
    </row>
    <row r="433" spans="1:8" x14ac:dyDescent="0.35">
      <c r="A433" t="s">
        <v>215</v>
      </c>
      <c r="B433" s="29" t="s">
        <v>5</v>
      </c>
      <c r="C433" s="29">
        <v>1</v>
      </c>
      <c r="D433" s="29">
        <v>17</v>
      </c>
      <c r="E433" t="s">
        <v>110</v>
      </c>
      <c r="F433" t="s">
        <v>259</v>
      </c>
      <c r="G433" s="119">
        <v>2638</v>
      </c>
      <c r="H433" s="119">
        <v>2638</v>
      </c>
    </row>
    <row r="434" spans="1:8" x14ac:dyDescent="0.35">
      <c r="A434" t="s">
        <v>115</v>
      </c>
      <c r="B434" s="29" t="s">
        <v>5</v>
      </c>
      <c r="C434" s="29">
        <v>1</v>
      </c>
      <c r="D434" s="261">
        <v>8</v>
      </c>
      <c r="E434" s="79" t="s">
        <v>110</v>
      </c>
      <c r="F434" s="75" t="s">
        <v>260</v>
      </c>
      <c r="G434" s="110"/>
      <c r="H434" s="110"/>
    </row>
    <row r="435" spans="1:8" x14ac:dyDescent="0.35">
      <c r="A435" t="s">
        <v>216</v>
      </c>
      <c r="B435" s="29" t="s">
        <v>5</v>
      </c>
      <c r="C435" s="29">
        <v>1</v>
      </c>
      <c r="D435" s="29">
        <v>8</v>
      </c>
      <c r="E435" s="2" t="s">
        <v>110</v>
      </c>
      <c r="F435" s="16" t="s">
        <v>260</v>
      </c>
      <c r="G435" s="127">
        <v>4000</v>
      </c>
      <c r="H435" s="127">
        <v>4000</v>
      </c>
    </row>
    <row r="436" spans="1:8" hidden="1" x14ac:dyDescent="0.35">
      <c r="A436" t="s">
        <v>115</v>
      </c>
      <c r="B436" s="29" t="s">
        <v>5</v>
      </c>
      <c r="C436" s="29">
        <v>1</v>
      </c>
      <c r="D436" s="261">
        <v>9</v>
      </c>
      <c r="E436" s="79" t="s">
        <v>110</v>
      </c>
      <c r="F436" t="s">
        <v>12</v>
      </c>
      <c r="G436" s="110"/>
      <c r="H436" s="110"/>
    </row>
    <row r="437" spans="1:8" hidden="1" x14ac:dyDescent="0.35">
      <c r="A437" t="s">
        <v>115</v>
      </c>
      <c r="B437" s="29" t="s">
        <v>5</v>
      </c>
      <c r="C437" s="29">
        <v>1</v>
      </c>
      <c r="D437" s="261">
        <v>10</v>
      </c>
      <c r="E437" s="79" t="s">
        <v>102</v>
      </c>
      <c r="F437" s="75" t="s">
        <v>14</v>
      </c>
      <c r="G437" s="110"/>
      <c r="H437" s="110"/>
    </row>
    <row r="438" spans="1:8" hidden="1" x14ac:dyDescent="0.35">
      <c r="A438" t="s">
        <v>115</v>
      </c>
      <c r="B438" s="29" t="s">
        <v>5</v>
      </c>
      <c r="C438" s="29">
        <v>1</v>
      </c>
      <c r="D438" s="261">
        <v>11</v>
      </c>
      <c r="E438" s="79" t="s">
        <v>110</v>
      </c>
      <c r="F438" s="75" t="s">
        <v>261</v>
      </c>
      <c r="G438" s="110">
        <v>147123</v>
      </c>
      <c r="H438" s="110">
        <v>147123</v>
      </c>
    </row>
    <row r="439" spans="1:8" hidden="1" x14ac:dyDescent="0.35">
      <c r="A439" t="s">
        <v>115</v>
      </c>
      <c r="B439" s="29" t="s">
        <v>5</v>
      </c>
      <c r="C439" s="29">
        <v>1</v>
      </c>
      <c r="D439" s="261">
        <v>12</v>
      </c>
      <c r="E439" s="79" t="s">
        <v>98</v>
      </c>
      <c r="F439" s="75" t="s">
        <v>13</v>
      </c>
      <c r="G439" s="110">
        <v>0</v>
      </c>
      <c r="H439" s="110">
        <v>0</v>
      </c>
    </row>
    <row r="440" spans="1:8" hidden="1" x14ac:dyDescent="0.35">
      <c r="A440" t="s">
        <v>115</v>
      </c>
      <c r="B440" s="29" t="s">
        <v>5</v>
      </c>
      <c r="C440" s="29">
        <v>1</v>
      </c>
      <c r="D440" s="261">
        <v>13</v>
      </c>
      <c r="E440" s="79" t="s">
        <v>110</v>
      </c>
      <c r="F440" s="79" t="s">
        <v>8</v>
      </c>
      <c r="G440" s="110">
        <v>200000</v>
      </c>
      <c r="H440" s="110">
        <v>200000</v>
      </c>
    </row>
    <row r="441" spans="1:8" hidden="1" x14ac:dyDescent="0.35">
      <c r="A441" t="s">
        <v>115</v>
      </c>
      <c r="B441" s="29" t="s">
        <v>5</v>
      </c>
      <c r="C441" s="29">
        <v>1</v>
      </c>
      <c r="D441" s="261">
        <v>14</v>
      </c>
      <c r="E441" s="79" t="s">
        <v>110</v>
      </c>
      <c r="F441" s="79" t="s">
        <v>9</v>
      </c>
      <c r="G441" s="110"/>
      <c r="H441" s="110"/>
    </row>
    <row r="442" spans="1:8" hidden="1" x14ac:dyDescent="0.35">
      <c r="A442" t="s">
        <v>115</v>
      </c>
      <c r="B442" s="29" t="s">
        <v>5</v>
      </c>
      <c r="C442" s="29">
        <v>1</v>
      </c>
      <c r="D442" s="261">
        <v>15</v>
      </c>
      <c r="E442" s="79" t="s">
        <v>102</v>
      </c>
      <c r="F442" s="75" t="s">
        <v>262</v>
      </c>
      <c r="G442" s="110">
        <v>900000</v>
      </c>
      <c r="H442" s="110">
        <v>900000</v>
      </c>
    </row>
    <row r="443" spans="1:8" hidden="1" x14ac:dyDescent="0.35">
      <c r="A443" t="s">
        <v>115</v>
      </c>
      <c r="B443" s="29" t="s">
        <v>5</v>
      </c>
      <c r="C443" s="29">
        <v>1</v>
      </c>
      <c r="D443" s="261">
        <v>16</v>
      </c>
      <c r="E443" s="79" t="s">
        <v>102</v>
      </c>
      <c r="F443" s="75" t="s">
        <v>263</v>
      </c>
      <c r="G443" s="110"/>
      <c r="H443" s="110"/>
    </row>
    <row r="444" spans="1:8" hidden="1" x14ac:dyDescent="0.35">
      <c r="A444" t="s">
        <v>115</v>
      </c>
      <c r="B444" s="29" t="s">
        <v>5</v>
      </c>
      <c r="C444" s="29">
        <v>1</v>
      </c>
      <c r="D444" s="261">
        <v>17</v>
      </c>
      <c r="E444" t="s">
        <v>102</v>
      </c>
      <c r="F444" t="s">
        <v>25</v>
      </c>
      <c r="G444" s="119"/>
      <c r="H444" s="119"/>
    </row>
    <row r="445" spans="1:8" hidden="1" x14ac:dyDescent="0.35">
      <c r="A445" t="s">
        <v>115</v>
      </c>
      <c r="B445" s="29" t="s">
        <v>5</v>
      </c>
      <c r="C445" s="29">
        <v>1</v>
      </c>
      <c r="D445" s="261">
        <v>18</v>
      </c>
      <c r="E445" s="74" t="s">
        <v>100</v>
      </c>
      <c r="F445" s="75" t="s">
        <v>264</v>
      </c>
      <c r="G445" s="110">
        <v>300000</v>
      </c>
      <c r="H445" s="187">
        <v>200000</v>
      </c>
    </row>
    <row r="446" spans="1:8" hidden="1" x14ac:dyDescent="0.35">
      <c r="A446" t="s">
        <v>115</v>
      </c>
      <c r="B446" s="29" t="s">
        <v>5</v>
      </c>
      <c r="C446" s="29">
        <v>1</v>
      </c>
      <c r="D446" s="261">
        <v>19</v>
      </c>
      <c r="E446" s="79" t="s">
        <v>100</v>
      </c>
      <c r="F446" s="75" t="s">
        <v>16</v>
      </c>
      <c r="G446" s="110">
        <v>200000</v>
      </c>
      <c r="H446" s="110">
        <v>200000</v>
      </c>
    </row>
    <row r="447" spans="1:8" hidden="1" x14ac:dyDescent="0.35">
      <c r="A447" t="s">
        <v>115</v>
      </c>
      <c r="B447" s="29" t="s">
        <v>5</v>
      </c>
      <c r="C447" s="29">
        <v>1</v>
      </c>
      <c r="D447" s="261">
        <v>20</v>
      </c>
      <c r="E447" s="79" t="s">
        <v>100</v>
      </c>
      <c r="F447" s="75" t="s">
        <v>265</v>
      </c>
      <c r="G447" s="110">
        <v>80000</v>
      </c>
      <c r="H447" s="110">
        <v>80000</v>
      </c>
    </row>
    <row r="448" spans="1:8" hidden="1" x14ac:dyDescent="0.35">
      <c r="A448" t="s">
        <v>115</v>
      </c>
      <c r="B448" s="29" t="s">
        <v>5</v>
      </c>
      <c r="C448" s="29">
        <v>1</v>
      </c>
      <c r="D448" s="261">
        <v>21</v>
      </c>
      <c r="E448" s="79" t="s">
        <v>98</v>
      </c>
      <c r="F448" s="75" t="s">
        <v>17</v>
      </c>
      <c r="G448" s="110"/>
      <c r="H448" s="110"/>
    </row>
    <row r="449" spans="1:8" hidden="1" x14ac:dyDescent="0.35">
      <c r="A449" t="s">
        <v>115</v>
      </c>
      <c r="B449" s="29" t="s">
        <v>26</v>
      </c>
      <c r="C449" s="29">
        <v>2</v>
      </c>
      <c r="D449" s="261">
        <v>1</v>
      </c>
      <c r="E449" s="79" t="s">
        <v>236</v>
      </c>
      <c r="F449" s="22" t="s">
        <v>61</v>
      </c>
      <c r="G449" s="1157">
        <v>2022000</v>
      </c>
      <c r="H449" s="187" t="e">
        <f>#REF!</f>
        <v>#REF!</v>
      </c>
    </row>
    <row r="450" spans="1:8" hidden="1" x14ac:dyDescent="0.35">
      <c r="A450" t="s">
        <v>115</v>
      </c>
      <c r="B450" s="29" t="s">
        <v>26</v>
      </c>
      <c r="C450" s="29">
        <v>2</v>
      </c>
      <c r="D450" s="261">
        <v>2</v>
      </c>
      <c r="E450" s="79" t="s">
        <v>237</v>
      </c>
      <c r="F450" s="22" t="s">
        <v>62</v>
      </c>
      <c r="G450" s="110"/>
      <c r="H450" s="110"/>
    </row>
    <row r="451" spans="1:8" hidden="1" x14ac:dyDescent="0.35">
      <c r="A451" t="s">
        <v>115</v>
      </c>
      <c r="B451" s="29" t="s">
        <v>26</v>
      </c>
      <c r="C451" s="29">
        <v>2</v>
      </c>
      <c r="D451" s="261">
        <v>3</v>
      </c>
      <c r="E451" s="79" t="s">
        <v>238</v>
      </c>
      <c r="F451" s="22" t="s">
        <v>58</v>
      </c>
      <c r="G451" s="110">
        <v>0</v>
      </c>
      <c r="H451" s="110">
        <v>0</v>
      </c>
    </row>
    <row r="452" spans="1:8" hidden="1" x14ac:dyDescent="0.35">
      <c r="A452" t="s">
        <v>115</v>
      </c>
      <c r="B452" s="29" t="s">
        <v>26</v>
      </c>
      <c r="C452" s="29">
        <v>2</v>
      </c>
      <c r="D452" s="261">
        <v>4</v>
      </c>
      <c r="E452" s="79" t="s">
        <v>239</v>
      </c>
      <c r="F452" s="22" t="s">
        <v>60</v>
      </c>
      <c r="G452" s="110">
        <f>G449*0.0145</f>
        <v>29319</v>
      </c>
      <c r="H452" s="187" t="e">
        <f>H449*0.0145</f>
        <v>#REF!</v>
      </c>
    </row>
    <row r="453" spans="1:8" hidden="1" x14ac:dyDescent="0.35">
      <c r="A453" t="s">
        <v>115</v>
      </c>
      <c r="B453" s="29" t="s">
        <v>26</v>
      </c>
      <c r="C453" s="29">
        <v>2</v>
      </c>
      <c r="D453" s="261">
        <v>5</v>
      </c>
      <c r="E453" s="79" t="s">
        <v>239</v>
      </c>
      <c r="F453" s="22" t="s">
        <v>59</v>
      </c>
      <c r="G453" s="110">
        <v>1000</v>
      </c>
      <c r="H453" s="187" t="e">
        <f>#REF!*8.4</f>
        <v>#REF!</v>
      </c>
    </row>
    <row r="454" spans="1:8" hidden="1" x14ac:dyDescent="0.35">
      <c r="A454" t="s">
        <v>115</v>
      </c>
      <c r="B454" s="29" t="s">
        <v>26</v>
      </c>
      <c r="C454" s="29">
        <v>2</v>
      </c>
      <c r="D454" s="261">
        <v>6</v>
      </c>
      <c r="E454" s="79" t="s">
        <v>239</v>
      </c>
      <c r="F454" s="22" t="s">
        <v>57</v>
      </c>
      <c r="G454" s="110">
        <f>(43*0.8)*6300</f>
        <v>216720</v>
      </c>
      <c r="H454" s="187" t="e">
        <f>(#REF!*0.8)*6334.56</f>
        <v>#REF!</v>
      </c>
    </row>
    <row r="455" spans="1:8" hidden="1" x14ac:dyDescent="0.35">
      <c r="A455" t="s">
        <v>115</v>
      </c>
      <c r="B455" s="29" t="s">
        <v>26</v>
      </c>
      <c r="C455" s="29">
        <v>2</v>
      </c>
      <c r="D455" s="261">
        <v>7</v>
      </c>
      <c r="E455" s="79" t="s">
        <v>239</v>
      </c>
      <c r="F455" s="22" t="s">
        <v>65</v>
      </c>
      <c r="G455" s="110">
        <f>G449*0.0126</f>
        <v>25477.200000000001</v>
      </c>
      <c r="H455" s="187" t="e">
        <f>H449*0.0126</f>
        <v>#REF!</v>
      </c>
    </row>
    <row r="456" spans="1:8" hidden="1" x14ac:dyDescent="0.35">
      <c r="A456" t="s">
        <v>115</v>
      </c>
      <c r="B456" s="29" t="s">
        <v>26</v>
      </c>
      <c r="C456" s="29">
        <v>2</v>
      </c>
      <c r="D456" s="261">
        <v>8</v>
      </c>
      <c r="E456" s="79" t="s">
        <v>239</v>
      </c>
      <c r="F456" s="22" t="s">
        <v>63</v>
      </c>
      <c r="G456" s="110">
        <f>G449*0.018</f>
        <v>36396</v>
      </c>
      <c r="H456" s="187" t="e">
        <f>H449*0.018</f>
        <v>#REF!</v>
      </c>
    </row>
    <row r="457" spans="1:8" hidden="1" x14ac:dyDescent="0.35">
      <c r="A457" t="s">
        <v>115</v>
      </c>
      <c r="B457" s="29" t="s">
        <v>26</v>
      </c>
      <c r="C457" s="29">
        <v>2</v>
      </c>
      <c r="D457" s="261">
        <v>9</v>
      </c>
      <c r="E457" s="79" t="s">
        <v>239</v>
      </c>
      <c r="F457" s="22" t="s">
        <v>64</v>
      </c>
      <c r="G457" s="110">
        <f>G449*0.008</f>
        <v>16176</v>
      </c>
      <c r="H457" s="187" t="e">
        <f>H449*0.008</f>
        <v>#REF!</v>
      </c>
    </row>
    <row r="458" spans="1:8" hidden="1" x14ac:dyDescent="0.35">
      <c r="A458" t="s">
        <v>115</v>
      </c>
      <c r="B458" s="29" t="s">
        <v>26</v>
      </c>
      <c r="C458" s="29">
        <v>2</v>
      </c>
      <c r="D458" s="261">
        <v>10</v>
      </c>
      <c r="E458" s="79" t="s">
        <v>236</v>
      </c>
      <c r="F458" s="22" t="s">
        <v>240</v>
      </c>
      <c r="G458" s="110">
        <v>318000</v>
      </c>
      <c r="H458" s="183" t="e">
        <f>#REF!</f>
        <v>#REF!</v>
      </c>
    </row>
    <row r="459" spans="1:8" hidden="1" x14ac:dyDescent="0.35">
      <c r="A459" t="s">
        <v>115</v>
      </c>
      <c r="B459" s="29" t="s">
        <v>26</v>
      </c>
      <c r="C459" s="29">
        <v>2</v>
      </c>
      <c r="D459" s="261">
        <v>11</v>
      </c>
      <c r="E459" s="79" t="s">
        <v>239</v>
      </c>
      <c r="F459" t="s">
        <v>74</v>
      </c>
      <c r="G459" s="110">
        <f>G458*0.0145</f>
        <v>4611</v>
      </c>
      <c r="H459" s="183" t="e">
        <f>H458*0.0145</f>
        <v>#REF!</v>
      </c>
    </row>
    <row r="460" spans="1:8" hidden="1" x14ac:dyDescent="0.35">
      <c r="A460" t="s">
        <v>115</v>
      </c>
      <c r="B460" s="29" t="s">
        <v>26</v>
      </c>
      <c r="C460" s="29">
        <v>2</v>
      </c>
      <c r="D460" s="261">
        <v>12</v>
      </c>
      <c r="E460" s="79" t="s">
        <v>239</v>
      </c>
      <c r="F460" s="22" t="s">
        <v>76</v>
      </c>
      <c r="G460" s="110"/>
      <c r="H460" s="187" t="e">
        <f>(#REF!*0.8)*6334.56</f>
        <v>#REF!</v>
      </c>
    </row>
    <row r="461" spans="1:8" hidden="1" x14ac:dyDescent="0.35">
      <c r="A461" t="s">
        <v>115</v>
      </c>
      <c r="B461" s="29" t="s">
        <v>26</v>
      </c>
      <c r="C461" s="29">
        <v>2</v>
      </c>
      <c r="D461" s="261">
        <v>13</v>
      </c>
      <c r="E461" s="79" t="s">
        <v>239</v>
      </c>
      <c r="F461" s="22" t="s">
        <v>75</v>
      </c>
      <c r="G461" s="110">
        <f>G458*0.0126</f>
        <v>4006.8</v>
      </c>
      <c r="H461" s="183" t="e">
        <f>H458*0.0126</f>
        <v>#REF!</v>
      </c>
    </row>
    <row r="462" spans="1:8" hidden="1" x14ac:dyDescent="0.35">
      <c r="A462" t="s">
        <v>115</v>
      </c>
      <c r="B462" s="29" t="s">
        <v>26</v>
      </c>
      <c r="C462" s="29">
        <v>2</v>
      </c>
      <c r="D462" s="261">
        <v>14</v>
      </c>
      <c r="E462" s="79" t="s">
        <v>239</v>
      </c>
      <c r="F462" s="22" t="s">
        <v>87</v>
      </c>
      <c r="G462" s="110">
        <f>G458*0.018</f>
        <v>5724</v>
      </c>
      <c r="H462" s="183" t="e">
        <f>H458*0.018</f>
        <v>#REF!</v>
      </c>
    </row>
    <row r="463" spans="1:8" hidden="1" x14ac:dyDescent="0.35">
      <c r="A463" t="s">
        <v>115</v>
      </c>
      <c r="B463" s="29" t="s">
        <v>26</v>
      </c>
      <c r="C463" s="29">
        <v>2</v>
      </c>
      <c r="D463" s="261">
        <v>15</v>
      </c>
      <c r="E463" s="79" t="s">
        <v>239</v>
      </c>
      <c r="F463" s="22" t="s">
        <v>88</v>
      </c>
      <c r="G463" s="110">
        <f>G458*0.008</f>
        <v>2544</v>
      </c>
      <c r="H463" s="183" t="e">
        <f>H458*0.008</f>
        <v>#REF!</v>
      </c>
    </row>
    <row r="464" spans="1:8" hidden="1" x14ac:dyDescent="0.35">
      <c r="A464" t="s">
        <v>115</v>
      </c>
      <c r="B464" s="29" t="s">
        <v>26</v>
      </c>
      <c r="C464" s="29">
        <v>2</v>
      </c>
      <c r="D464" s="261">
        <v>16</v>
      </c>
      <c r="E464" s="79" t="s">
        <v>237</v>
      </c>
      <c r="F464" s="75" t="s">
        <v>266</v>
      </c>
      <c r="G464" s="110">
        <v>15000</v>
      </c>
      <c r="H464" s="110">
        <v>15000</v>
      </c>
    </row>
    <row r="465" spans="1:8" hidden="1" x14ac:dyDescent="0.35">
      <c r="A465" t="s">
        <v>115</v>
      </c>
      <c r="B465" s="29" t="s">
        <v>26</v>
      </c>
      <c r="C465" s="29">
        <v>2</v>
      </c>
      <c r="D465" s="261">
        <v>17</v>
      </c>
      <c r="E465" s="79" t="s">
        <v>241</v>
      </c>
      <c r="F465" s="22" t="s">
        <v>29</v>
      </c>
      <c r="G465" s="110">
        <v>487500</v>
      </c>
      <c r="H465" s="187" t="e">
        <f>#REF!</f>
        <v>#REF!</v>
      </c>
    </row>
    <row r="466" spans="1:8" hidden="1" x14ac:dyDescent="0.35">
      <c r="A466" t="s">
        <v>115</v>
      </c>
      <c r="B466" s="29" t="s">
        <v>26</v>
      </c>
      <c r="C466" s="29">
        <v>2</v>
      </c>
      <c r="D466" s="261">
        <v>18</v>
      </c>
      <c r="E466" s="79" t="s">
        <v>241</v>
      </c>
      <c r="F466" t="s">
        <v>28</v>
      </c>
      <c r="G466" s="1157"/>
      <c r="H466" s="1157"/>
    </row>
    <row r="467" spans="1:8" hidden="1" x14ac:dyDescent="0.35">
      <c r="A467" t="s">
        <v>115</v>
      </c>
      <c r="B467" s="29" t="s">
        <v>26</v>
      </c>
      <c r="C467" s="29">
        <v>2</v>
      </c>
      <c r="D467" s="261">
        <v>19</v>
      </c>
      <c r="E467" s="79" t="s">
        <v>242</v>
      </c>
      <c r="F467" s="22" t="s">
        <v>33</v>
      </c>
      <c r="G467" s="110">
        <f>G465*0.0145</f>
        <v>7068.75</v>
      </c>
      <c r="H467" s="187" t="e">
        <f>H465*0.0145</f>
        <v>#REF!</v>
      </c>
    </row>
    <row r="468" spans="1:8" hidden="1" x14ac:dyDescent="0.35">
      <c r="A468" t="s">
        <v>115</v>
      </c>
      <c r="B468" s="29" t="s">
        <v>26</v>
      </c>
      <c r="C468" s="29">
        <v>2</v>
      </c>
      <c r="D468" s="261">
        <v>20</v>
      </c>
      <c r="E468" s="79" t="s">
        <v>242</v>
      </c>
      <c r="F468" s="22" t="s">
        <v>32</v>
      </c>
      <c r="G468" s="110">
        <v>1000</v>
      </c>
      <c r="H468" s="187" t="e">
        <f>#REF!*8.4</f>
        <v>#REF!</v>
      </c>
    </row>
    <row r="469" spans="1:8" hidden="1" x14ac:dyDescent="0.35">
      <c r="A469" t="s">
        <v>115</v>
      </c>
      <c r="B469" s="29" t="s">
        <v>26</v>
      </c>
      <c r="C469" s="29">
        <v>2</v>
      </c>
      <c r="D469" s="261">
        <v>21</v>
      </c>
      <c r="E469" s="79" t="s">
        <v>242</v>
      </c>
      <c r="F469" s="22" t="s">
        <v>31</v>
      </c>
      <c r="G469" s="110"/>
      <c r="H469" s="187" t="e">
        <f>(#REF!*0.8)*6334.56</f>
        <v>#REF!</v>
      </c>
    </row>
    <row r="470" spans="1:8" hidden="1" x14ac:dyDescent="0.35">
      <c r="A470" t="s">
        <v>115</v>
      </c>
      <c r="B470" s="29" t="s">
        <v>26</v>
      </c>
      <c r="C470" s="29">
        <v>2</v>
      </c>
      <c r="D470" s="261">
        <v>22</v>
      </c>
      <c r="E470" s="79" t="s">
        <v>242</v>
      </c>
      <c r="F470" s="22" t="s">
        <v>39</v>
      </c>
      <c r="G470" s="110">
        <f>G465*0.0126</f>
        <v>6142.5</v>
      </c>
      <c r="H470" s="187" t="e">
        <f>H465*0.0126</f>
        <v>#REF!</v>
      </c>
    </row>
    <row r="471" spans="1:8" hidden="1" x14ac:dyDescent="0.35">
      <c r="A471" t="s">
        <v>115</v>
      </c>
      <c r="B471" s="29" t="s">
        <v>26</v>
      </c>
      <c r="C471" s="29">
        <v>2</v>
      </c>
      <c r="D471" s="261">
        <v>23</v>
      </c>
      <c r="E471" s="79" t="s">
        <v>242</v>
      </c>
      <c r="F471" s="22" t="s">
        <v>37</v>
      </c>
      <c r="G471" s="110">
        <f>G465*0.018</f>
        <v>8775</v>
      </c>
      <c r="H471" s="187" t="e">
        <f>H465*0.018</f>
        <v>#REF!</v>
      </c>
    </row>
    <row r="472" spans="1:8" hidden="1" x14ac:dyDescent="0.35">
      <c r="A472" t="s">
        <v>115</v>
      </c>
      <c r="B472" s="29" t="s">
        <v>26</v>
      </c>
      <c r="C472" s="29">
        <v>2</v>
      </c>
      <c r="D472" s="261">
        <v>24</v>
      </c>
      <c r="E472" s="79" t="s">
        <v>242</v>
      </c>
      <c r="F472" s="22" t="s">
        <v>38</v>
      </c>
      <c r="G472" s="110">
        <f>G465*0.008</f>
        <v>3900</v>
      </c>
      <c r="H472" s="187" t="e">
        <f>H465*0.008</f>
        <v>#REF!</v>
      </c>
    </row>
    <row r="473" spans="1:8" hidden="1" x14ac:dyDescent="0.35">
      <c r="A473" t="s">
        <v>115</v>
      </c>
      <c r="B473" s="29" t="s">
        <v>26</v>
      </c>
      <c r="C473" s="29">
        <v>2</v>
      </c>
      <c r="D473" s="261">
        <v>25</v>
      </c>
      <c r="E473" s="79" t="s">
        <v>241</v>
      </c>
      <c r="F473" s="22" t="s">
        <v>267</v>
      </c>
      <c r="G473" s="110">
        <v>0</v>
      </c>
      <c r="H473" s="260" t="e">
        <f>#REF!</f>
        <v>#REF!</v>
      </c>
    </row>
    <row r="474" spans="1:8" hidden="1" x14ac:dyDescent="0.35">
      <c r="A474" t="s">
        <v>115</v>
      </c>
      <c r="B474" s="29" t="s">
        <v>26</v>
      </c>
      <c r="C474" s="29">
        <v>2</v>
      </c>
      <c r="D474" s="261">
        <v>26</v>
      </c>
      <c r="E474" s="79" t="s">
        <v>241</v>
      </c>
      <c r="F474" t="s">
        <v>268</v>
      </c>
      <c r="G474" s="1157"/>
      <c r="H474" s="1158"/>
    </row>
    <row r="475" spans="1:8" hidden="1" x14ac:dyDescent="0.35">
      <c r="A475" t="s">
        <v>115</v>
      </c>
      <c r="B475" s="29" t="s">
        <v>26</v>
      </c>
      <c r="C475" s="29">
        <v>2</v>
      </c>
      <c r="D475" s="261">
        <v>27</v>
      </c>
      <c r="E475" s="79" t="s">
        <v>242</v>
      </c>
      <c r="F475" s="22" t="s">
        <v>269</v>
      </c>
      <c r="G475" s="203">
        <f>G473*0.0145</f>
        <v>0</v>
      </c>
      <c r="H475" s="263" t="e">
        <f>H473*0.0145</f>
        <v>#REF!</v>
      </c>
    </row>
    <row r="476" spans="1:8" hidden="1" x14ac:dyDescent="0.35">
      <c r="A476" t="s">
        <v>115</v>
      </c>
      <c r="B476" s="29" t="s">
        <v>26</v>
      </c>
      <c r="C476" s="29">
        <v>2</v>
      </c>
      <c r="D476" s="261">
        <v>28</v>
      </c>
      <c r="E476" s="79" t="s">
        <v>242</v>
      </c>
      <c r="F476" s="22" t="s">
        <v>270</v>
      </c>
      <c r="G476" s="110">
        <v>0</v>
      </c>
      <c r="H476" s="260" t="e">
        <f>#REF!*8.4</f>
        <v>#REF!</v>
      </c>
    </row>
    <row r="477" spans="1:8" hidden="1" x14ac:dyDescent="0.35">
      <c r="A477" t="s">
        <v>115</v>
      </c>
      <c r="B477" s="29" t="s">
        <v>26</v>
      </c>
      <c r="C477" s="29">
        <v>2</v>
      </c>
      <c r="D477" s="261">
        <v>29</v>
      </c>
      <c r="E477" s="79" t="s">
        <v>242</v>
      </c>
      <c r="F477" s="22" t="s">
        <v>271</v>
      </c>
      <c r="G477" s="110"/>
      <c r="H477" s="260" t="e">
        <f>(#REF!*0.8)*6334.56</f>
        <v>#REF!</v>
      </c>
    </row>
    <row r="478" spans="1:8" hidden="1" x14ac:dyDescent="0.35">
      <c r="A478" t="s">
        <v>115</v>
      </c>
      <c r="B478" s="29" t="s">
        <v>26</v>
      </c>
      <c r="C478" s="29">
        <v>2</v>
      </c>
      <c r="D478" s="261">
        <v>30</v>
      </c>
      <c r="E478" s="79" t="s">
        <v>242</v>
      </c>
      <c r="F478" s="22" t="s">
        <v>272</v>
      </c>
      <c r="G478" s="110">
        <f>G473*0.0126</f>
        <v>0</v>
      </c>
      <c r="H478" s="260" t="e">
        <f>H473*0.0126</f>
        <v>#REF!</v>
      </c>
    </row>
    <row r="479" spans="1:8" hidden="1" x14ac:dyDescent="0.35">
      <c r="A479" t="s">
        <v>115</v>
      </c>
      <c r="B479" s="29" t="s">
        <v>26</v>
      </c>
      <c r="C479" s="29">
        <v>2</v>
      </c>
      <c r="D479" s="261">
        <v>31</v>
      </c>
      <c r="E479" s="79" t="s">
        <v>242</v>
      </c>
      <c r="F479" s="22" t="s">
        <v>273</v>
      </c>
      <c r="G479" s="110">
        <f>G473*0.018</f>
        <v>0</v>
      </c>
      <c r="H479" s="260" t="e">
        <f>H473*0.018</f>
        <v>#REF!</v>
      </c>
    </row>
    <row r="480" spans="1:8" hidden="1" x14ac:dyDescent="0.35">
      <c r="A480" t="s">
        <v>115</v>
      </c>
      <c r="B480" s="29" t="s">
        <v>26</v>
      </c>
      <c r="C480" s="29">
        <v>2</v>
      </c>
      <c r="D480" s="261">
        <v>32</v>
      </c>
      <c r="E480" s="79" t="s">
        <v>242</v>
      </c>
      <c r="F480" s="22" t="s">
        <v>274</v>
      </c>
      <c r="G480" s="110">
        <f>G473*0.008</f>
        <v>0</v>
      </c>
      <c r="H480" s="260" t="e">
        <f>H473*0.008</f>
        <v>#REF!</v>
      </c>
    </row>
    <row r="481" spans="1:8" hidden="1" x14ac:dyDescent="0.35">
      <c r="A481" t="s">
        <v>115</v>
      </c>
      <c r="B481" s="29" t="s">
        <v>26</v>
      </c>
      <c r="C481" s="29">
        <v>2</v>
      </c>
      <c r="D481" s="261">
        <v>33</v>
      </c>
      <c r="E481" t="s">
        <v>243</v>
      </c>
      <c r="F481" t="s">
        <v>25</v>
      </c>
      <c r="G481" s="101"/>
      <c r="H481" s="182"/>
    </row>
    <row r="482" spans="1:8" hidden="1" x14ac:dyDescent="0.35">
      <c r="A482" t="s">
        <v>115</v>
      </c>
      <c r="B482" s="29" t="s">
        <v>26</v>
      </c>
      <c r="C482" s="29">
        <v>2</v>
      </c>
      <c r="D482" s="261">
        <v>34</v>
      </c>
      <c r="E482" s="74" t="s">
        <v>244</v>
      </c>
      <c r="F482" s="75" t="s">
        <v>43</v>
      </c>
      <c r="G482" s="110"/>
      <c r="H482" s="110"/>
    </row>
    <row r="483" spans="1:8" hidden="1" x14ac:dyDescent="0.35">
      <c r="A483" t="s">
        <v>115</v>
      </c>
      <c r="B483" s="29" t="s">
        <v>26</v>
      </c>
      <c r="C483" s="29">
        <v>2</v>
      </c>
      <c r="D483" s="261">
        <v>35</v>
      </c>
      <c r="E483" s="79" t="s">
        <v>245</v>
      </c>
      <c r="F483" s="83" t="s">
        <v>275</v>
      </c>
      <c r="G483" s="1157">
        <v>50000</v>
      </c>
      <c r="H483" s="1157">
        <v>50000</v>
      </c>
    </row>
    <row r="484" spans="1:8" hidden="1" x14ac:dyDescent="0.35">
      <c r="A484" t="s">
        <v>115</v>
      </c>
      <c r="B484" s="29" t="s">
        <v>26</v>
      </c>
      <c r="C484" s="29">
        <v>2</v>
      </c>
      <c r="D484" s="261">
        <v>36</v>
      </c>
      <c r="E484" s="79" t="s">
        <v>247</v>
      </c>
      <c r="F484" s="75" t="s">
        <v>82</v>
      </c>
      <c r="G484" s="110">
        <v>20000</v>
      </c>
      <c r="H484" s="110">
        <v>20000</v>
      </c>
    </row>
    <row r="485" spans="1:8" hidden="1" x14ac:dyDescent="0.35">
      <c r="A485" t="s">
        <v>115</v>
      </c>
      <c r="B485" s="29" t="s">
        <v>26</v>
      </c>
      <c r="C485" s="29">
        <v>2</v>
      </c>
      <c r="D485" s="261">
        <v>37</v>
      </c>
      <c r="E485" s="79" t="s">
        <v>248</v>
      </c>
      <c r="F485" s="75" t="s">
        <v>276</v>
      </c>
      <c r="G485" s="110">
        <v>100000</v>
      </c>
      <c r="H485" s="110">
        <v>100000</v>
      </c>
    </row>
    <row r="486" spans="1:8" hidden="1" x14ac:dyDescent="0.35">
      <c r="A486" t="s">
        <v>115</v>
      </c>
      <c r="B486" s="29" t="s">
        <v>26</v>
      </c>
      <c r="C486" s="29">
        <v>2</v>
      </c>
      <c r="D486" s="261">
        <v>38</v>
      </c>
      <c r="E486" s="79" t="s">
        <v>248</v>
      </c>
      <c r="F486" s="75" t="s">
        <v>277</v>
      </c>
      <c r="G486" s="110">
        <v>80000</v>
      </c>
      <c r="H486" s="110">
        <v>80000</v>
      </c>
    </row>
    <row r="487" spans="1:8" hidden="1" x14ac:dyDescent="0.35">
      <c r="A487" t="s">
        <v>115</v>
      </c>
      <c r="B487" s="29" t="s">
        <v>26</v>
      </c>
      <c r="C487" s="29">
        <v>2</v>
      </c>
      <c r="D487" s="261">
        <v>39</v>
      </c>
      <c r="E487" s="79" t="s">
        <v>248</v>
      </c>
      <c r="F487" s="75" t="s">
        <v>36</v>
      </c>
      <c r="G487" s="110">
        <v>300000</v>
      </c>
      <c r="H487" s="187">
        <v>400000</v>
      </c>
    </row>
    <row r="488" spans="1:8" hidden="1" x14ac:dyDescent="0.35">
      <c r="A488" t="s">
        <v>115</v>
      </c>
      <c r="B488" s="29" t="s">
        <v>26</v>
      </c>
      <c r="C488" s="29">
        <v>2</v>
      </c>
      <c r="D488" s="261">
        <v>40</v>
      </c>
      <c r="E488" s="74" t="s">
        <v>49</v>
      </c>
      <c r="F488" s="75" t="s">
        <v>278</v>
      </c>
      <c r="G488" s="110">
        <v>100000</v>
      </c>
      <c r="H488" s="110">
        <v>100000</v>
      </c>
    </row>
    <row r="489" spans="1:8" hidden="1" x14ac:dyDescent="0.35">
      <c r="A489" t="s">
        <v>115</v>
      </c>
      <c r="B489" s="29" t="s">
        <v>26</v>
      </c>
      <c r="C489" s="29">
        <v>2</v>
      </c>
      <c r="D489" s="261">
        <v>41</v>
      </c>
      <c r="E489" s="79" t="s">
        <v>249</v>
      </c>
      <c r="F489" s="84" t="s">
        <v>73</v>
      </c>
      <c r="G489" s="110">
        <v>60000</v>
      </c>
      <c r="H489" s="110">
        <v>60000</v>
      </c>
    </row>
    <row r="490" spans="1:8" hidden="1" x14ac:dyDescent="0.35">
      <c r="A490" t="s">
        <v>115</v>
      </c>
      <c r="B490" s="29" t="s">
        <v>26</v>
      </c>
      <c r="C490" s="29">
        <v>2</v>
      </c>
      <c r="D490" s="261">
        <v>42</v>
      </c>
      <c r="E490" s="79" t="s">
        <v>249</v>
      </c>
      <c r="F490" s="84" t="s">
        <v>279</v>
      </c>
      <c r="G490" s="110">
        <v>115000</v>
      </c>
      <c r="H490" s="110">
        <v>115000</v>
      </c>
    </row>
    <row r="491" spans="1:8" hidden="1" x14ac:dyDescent="0.35">
      <c r="A491" t="s">
        <v>115</v>
      </c>
      <c r="B491" s="29" t="s">
        <v>26</v>
      </c>
      <c r="C491" s="29">
        <v>2</v>
      </c>
      <c r="D491" s="261">
        <v>43</v>
      </c>
      <c r="E491" s="79" t="s">
        <v>250</v>
      </c>
      <c r="F491" s="84" t="s">
        <v>280</v>
      </c>
      <c r="G491" s="110">
        <v>260000</v>
      </c>
      <c r="H491" s="110">
        <v>260000</v>
      </c>
    </row>
    <row r="492" spans="1:8" hidden="1" x14ac:dyDescent="0.35">
      <c r="A492" t="s">
        <v>115</v>
      </c>
      <c r="B492" s="29" t="s">
        <v>26</v>
      </c>
      <c r="C492" s="29">
        <v>2</v>
      </c>
      <c r="D492" s="261">
        <v>44</v>
      </c>
      <c r="E492" s="79" t="s">
        <v>250</v>
      </c>
      <c r="F492" s="79" t="s">
        <v>281</v>
      </c>
      <c r="G492" s="110">
        <v>10000</v>
      </c>
      <c r="H492" s="110">
        <v>10000</v>
      </c>
    </row>
    <row r="493" spans="1:8" hidden="1" x14ac:dyDescent="0.35">
      <c r="A493" t="s">
        <v>115</v>
      </c>
      <c r="B493" s="29" t="s">
        <v>26</v>
      </c>
      <c r="C493" s="29">
        <v>2</v>
      </c>
      <c r="D493" s="261">
        <v>45</v>
      </c>
      <c r="E493" s="79" t="s">
        <v>250</v>
      </c>
      <c r="F493" s="79" t="s">
        <v>282</v>
      </c>
      <c r="G493" s="110">
        <v>20000</v>
      </c>
      <c r="H493" s="110">
        <v>20000</v>
      </c>
    </row>
    <row r="494" spans="1:8" hidden="1" x14ac:dyDescent="0.35">
      <c r="A494" t="s">
        <v>115</v>
      </c>
      <c r="B494" s="29" t="s">
        <v>26</v>
      </c>
      <c r="C494" s="29">
        <v>2</v>
      </c>
      <c r="D494" s="261">
        <v>46</v>
      </c>
      <c r="E494" s="79" t="s">
        <v>250</v>
      </c>
      <c r="F494" s="79" t="s">
        <v>283</v>
      </c>
      <c r="G494" s="203">
        <v>50000</v>
      </c>
      <c r="H494" s="203">
        <v>50000</v>
      </c>
    </row>
    <row r="495" spans="1:8" hidden="1" x14ac:dyDescent="0.35">
      <c r="A495" t="s">
        <v>115</v>
      </c>
      <c r="B495" s="29" t="s">
        <v>26</v>
      </c>
      <c r="C495" s="29">
        <v>2</v>
      </c>
      <c r="D495" s="261">
        <v>47</v>
      </c>
      <c r="E495" s="79" t="s">
        <v>250</v>
      </c>
      <c r="F495" s="79" t="s">
        <v>56</v>
      </c>
      <c r="G495" s="110">
        <v>4000</v>
      </c>
      <c r="H495" s="110">
        <v>4000</v>
      </c>
    </row>
    <row r="496" spans="1:8" hidden="1" x14ac:dyDescent="0.35">
      <c r="A496" t="s">
        <v>115</v>
      </c>
      <c r="B496" s="29" t="s">
        <v>26</v>
      </c>
      <c r="C496" s="29">
        <v>2</v>
      </c>
      <c r="D496" s="261">
        <v>48</v>
      </c>
      <c r="E496" s="79" t="s">
        <v>250</v>
      </c>
      <c r="F496" s="79" t="s">
        <v>53</v>
      </c>
      <c r="G496" s="110">
        <v>50000</v>
      </c>
      <c r="H496" s="110">
        <v>50000</v>
      </c>
    </row>
    <row r="497" spans="1:8" hidden="1" x14ac:dyDescent="0.35">
      <c r="A497" t="s">
        <v>115</v>
      </c>
      <c r="B497" s="29" t="s">
        <v>26</v>
      </c>
      <c r="C497" s="29">
        <v>2</v>
      </c>
      <c r="D497" s="261">
        <v>49</v>
      </c>
      <c r="E497" s="79" t="s">
        <v>250</v>
      </c>
      <c r="F497" s="79" t="s">
        <v>55</v>
      </c>
      <c r="G497" s="110">
        <v>15000</v>
      </c>
      <c r="H497" s="110">
        <v>15000</v>
      </c>
    </row>
    <row r="498" spans="1:8" hidden="1" x14ac:dyDescent="0.35">
      <c r="A498" t="s">
        <v>115</v>
      </c>
      <c r="B498" s="29" t="s">
        <v>26</v>
      </c>
      <c r="C498" s="29">
        <v>2</v>
      </c>
      <c r="D498" s="261">
        <v>50</v>
      </c>
      <c r="E498" s="79" t="s">
        <v>250</v>
      </c>
      <c r="F498" s="79" t="s">
        <v>54</v>
      </c>
      <c r="G498" s="110">
        <v>4000</v>
      </c>
      <c r="H498" s="110">
        <v>4000</v>
      </c>
    </row>
    <row r="499" spans="1:8" hidden="1" x14ac:dyDescent="0.35">
      <c r="A499" t="s">
        <v>115</v>
      </c>
      <c r="B499" s="29" t="s">
        <v>26</v>
      </c>
      <c r="C499" s="29">
        <v>2</v>
      </c>
      <c r="D499" s="261">
        <v>51</v>
      </c>
      <c r="E499" s="79" t="s">
        <v>250</v>
      </c>
      <c r="F499" s="74" t="s">
        <v>284</v>
      </c>
      <c r="G499" s="1157">
        <v>150000</v>
      </c>
      <c r="H499" s="1157">
        <v>150000</v>
      </c>
    </row>
    <row r="500" spans="1:8" hidden="1" x14ac:dyDescent="0.35">
      <c r="A500" t="s">
        <v>115</v>
      </c>
      <c r="B500" s="29" t="s">
        <v>26</v>
      </c>
      <c r="C500" s="29">
        <v>2</v>
      </c>
      <c r="D500" s="261">
        <v>52</v>
      </c>
      <c r="E500" s="79" t="s">
        <v>252</v>
      </c>
      <c r="F500" s="84" t="s">
        <v>285</v>
      </c>
      <c r="G500" s="110">
        <v>250000</v>
      </c>
      <c r="H500" s="110">
        <v>250000</v>
      </c>
    </row>
    <row r="501" spans="1:8" hidden="1" x14ac:dyDescent="0.35">
      <c r="A501" t="s">
        <v>115</v>
      </c>
      <c r="B501" s="29" t="s">
        <v>26</v>
      </c>
      <c r="C501" s="29">
        <v>2</v>
      </c>
      <c r="D501" s="261">
        <v>53</v>
      </c>
      <c r="E501" s="79" t="s">
        <v>252</v>
      </c>
      <c r="F501" s="84" t="s">
        <v>46</v>
      </c>
      <c r="G501" s="110"/>
      <c r="H501" s="110"/>
    </row>
    <row r="502" spans="1:8" hidden="1" x14ac:dyDescent="0.35">
      <c r="A502" t="s">
        <v>115</v>
      </c>
      <c r="B502" s="29" t="s">
        <v>26</v>
      </c>
      <c r="C502" s="29">
        <v>2</v>
      </c>
      <c r="D502" s="261">
        <v>54</v>
      </c>
      <c r="E502" s="79" t="s">
        <v>252</v>
      </c>
      <c r="F502" s="79" t="s">
        <v>78</v>
      </c>
      <c r="G502" s="110">
        <v>80000</v>
      </c>
      <c r="H502" s="110">
        <v>80000</v>
      </c>
    </row>
    <row r="503" spans="1:8" hidden="1" x14ac:dyDescent="0.35">
      <c r="A503" t="s">
        <v>115</v>
      </c>
      <c r="B503" s="29" t="s">
        <v>26</v>
      </c>
      <c r="C503" s="29">
        <v>2</v>
      </c>
      <c r="D503" s="261">
        <v>55</v>
      </c>
      <c r="E503" s="79" t="s">
        <v>252</v>
      </c>
      <c r="F503" s="74" t="s">
        <v>286</v>
      </c>
      <c r="G503" s="1157">
        <v>40000</v>
      </c>
      <c r="H503" s="1157">
        <v>40000</v>
      </c>
    </row>
    <row r="504" spans="1:8" hidden="1" x14ac:dyDescent="0.35">
      <c r="A504" t="s">
        <v>115</v>
      </c>
      <c r="B504" s="29" t="s">
        <v>26</v>
      </c>
      <c r="C504" s="29">
        <v>2</v>
      </c>
      <c r="D504" s="261">
        <v>56</v>
      </c>
      <c r="E504" s="79" t="s">
        <v>253</v>
      </c>
      <c r="F504" s="74" t="s">
        <v>79</v>
      </c>
      <c r="G504" s="1157">
        <v>50000</v>
      </c>
      <c r="H504" s="1157">
        <v>50000</v>
      </c>
    </row>
    <row r="505" spans="1:8" hidden="1" x14ac:dyDescent="0.35">
      <c r="A505" t="s">
        <v>115</v>
      </c>
      <c r="B505" s="29" t="s">
        <v>26</v>
      </c>
      <c r="C505" s="29">
        <v>2</v>
      </c>
      <c r="D505" s="261">
        <v>57</v>
      </c>
      <c r="E505" s="79" t="s">
        <v>253</v>
      </c>
      <c r="F505" s="74" t="s">
        <v>80</v>
      </c>
      <c r="G505" s="1157">
        <v>20000</v>
      </c>
      <c r="H505" s="1157">
        <v>20000</v>
      </c>
    </row>
    <row r="506" spans="1:8" hidden="1" x14ac:dyDescent="0.35">
      <c r="A506" t="s">
        <v>115</v>
      </c>
      <c r="B506" s="29" t="s">
        <v>26</v>
      </c>
      <c r="C506" s="29">
        <v>2</v>
      </c>
      <c r="D506" s="261">
        <v>58</v>
      </c>
      <c r="E506" s="79" t="s">
        <v>253</v>
      </c>
      <c r="F506" s="74" t="s">
        <v>81</v>
      </c>
      <c r="G506" s="1157">
        <v>10000</v>
      </c>
      <c r="H506" s="1157">
        <v>10000</v>
      </c>
    </row>
    <row r="507" spans="1:8" hidden="1" x14ac:dyDescent="0.35">
      <c r="A507" t="s">
        <v>115</v>
      </c>
      <c r="B507" s="29" t="s">
        <v>26</v>
      </c>
      <c r="C507" s="29">
        <v>2</v>
      </c>
      <c r="D507" s="261">
        <v>59</v>
      </c>
      <c r="E507" s="79" t="s">
        <v>252</v>
      </c>
      <c r="F507" s="79" t="s">
        <v>42</v>
      </c>
      <c r="G507" s="110"/>
      <c r="H507" s="110"/>
    </row>
    <row r="508" spans="1:8" hidden="1" x14ac:dyDescent="0.35">
      <c r="A508" t="s">
        <v>115</v>
      </c>
      <c r="B508" s="29" t="s">
        <v>26</v>
      </c>
      <c r="C508" s="29">
        <v>2</v>
      </c>
      <c r="D508" s="261">
        <v>60</v>
      </c>
      <c r="E508" s="79" t="s">
        <v>252</v>
      </c>
      <c r="F508" s="79" t="s">
        <v>41</v>
      </c>
      <c r="G508" s="110">
        <v>20000</v>
      </c>
      <c r="H508" s="110">
        <v>20000</v>
      </c>
    </row>
    <row r="509" spans="1:8" hidden="1" x14ac:dyDescent="0.35">
      <c r="A509" t="s">
        <v>115</v>
      </c>
      <c r="B509" s="29" t="s">
        <v>26</v>
      </c>
      <c r="C509" s="29">
        <v>2</v>
      </c>
      <c r="D509" s="261">
        <v>61</v>
      </c>
      <c r="E509" s="79" t="s">
        <v>252</v>
      </c>
      <c r="F509" s="79" t="s">
        <v>85</v>
      </c>
      <c r="G509" s="110"/>
      <c r="H509" s="110"/>
    </row>
    <row r="510" spans="1:8" hidden="1" x14ac:dyDescent="0.35">
      <c r="A510" t="s">
        <v>115</v>
      </c>
      <c r="B510" s="29" t="s">
        <v>26</v>
      </c>
      <c r="C510" s="29">
        <v>2</v>
      </c>
      <c r="D510" s="261">
        <v>62</v>
      </c>
      <c r="E510" s="79" t="s">
        <v>254</v>
      </c>
      <c r="F510" s="79" t="s">
        <v>66</v>
      </c>
      <c r="G510" s="110">
        <v>40000</v>
      </c>
      <c r="H510" s="110">
        <v>40000</v>
      </c>
    </row>
    <row r="511" spans="1:8" hidden="1" x14ac:dyDescent="0.35">
      <c r="A511" t="s">
        <v>115</v>
      </c>
      <c r="B511" s="29" t="s">
        <v>26</v>
      </c>
      <c r="C511" s="29">
        <v>2</v>
      </c>
      <c r="D511" s="261">
        <v>63</v>
      </c>
      <c r="E511" s="79" t="s">
        <v>254</v>
      </c>
      <c r="F511" s="75" t="s">
        <v>68</v>
      </c>
      <c r="G511" s="110">
        <v>20000</v>
      </c>
      <c r="H511" s="110">
        <v>20000</v>
      </c>
    </row>
    <row r="512" spans="1:8" hidden="1" x14ac:dyDescent="0.35">
      <c r="A512" t="s">
        <v>115</v>
      </c>
      <c r="B512" s="29" t="s">
        <v>26</v>
      </c>
      <c r="C512" s="29">
        <v>2</v>
      </c>
      <c r="D512" s="261">
        <v>64</v>
      </c>
      <c r="E512" s="79" t="s">
        <v>254</v>
      </c>
      <c r="F512" s="79" t="s">
        <v>71</v>
      </c>
      <c r="G512" s="110"/>
      <c r="H512" s="110"/>
    </row>
    <row r="513" spans="1:8" hidden="1" x14ac:dyDescent="0.35">
      <c r="A513" t="s">
        <v>115</v>
      </c>
      <c r="B513" s="29" t="s">
        <v>26</v>
      </c>
      <c r="C513" s="29">
        <v>2</v>
      </c>
      <c r="D513" s="261">
        <v>65</v>
      </c>
      <c r="E513" s="79" t="s">
        <v>255</v>
      </c>
      <c r="F513" s="79" t="s">
        <v>70</v>
      </c>
      <c r="G513" s="110"/>
      <c r="H513" s="110"/>
    </row>
    <row r="514" spans="1:8" hidden="1" x14ac:dyDescent="0.35">
      <c r="A514" t="s">
        <v>115</v>
      </c>
      <c r="B514" s="29" t="s">
        <v>26</v>
      </c>
      <c r="C514" s="29">
        <v>2</v>
      </c>
      <c r="D514" s="261">
        <v>66</v>
      </c>
      <c r="E514" s="79" t="s">
        <v>248</v>
      </c>
      <c r="F514" s="74" t="s">
        <v>72</v>
      </c>
      <c r="G514" s="1157"/>
      <c r="H514" s="1157"/>
    </row>
    <row r="515" spans="1:8" hidden="1" x14ac:dyDescent="0.35">
      <c r="A515" t="s">
        <v>115</v>
      </c>
      <c r="B515" s="29" t="s">
        <v>26</v>
      </c>
      <c r="C515" s="29">
        <v>2</v>
      </c>
      <c r="D515" s="261">
        <v>67</v>
      </c>
      <c r="E515" s="79" t="s">
        <v>255</v>
      </c>
      <c r="F515" s="75" t="s">
        <v>30</v>
      </c>
      <c r="G515" s="110">
        <v>10000</v>
      </c>
      <c r="H515" s="110">
        <v>10000</v>
      </c>
    </row>
    <row r="516" spans="1:8" hidden="1" x14ac:dyDescent="0.35">
      <c r="A516" t="s">
        <v>115</v>
      </c>
      <c r="B516" s="29" t="s">
        <v>26</v>
      </c>
      <c r="C516" s="29">
        <v>2</v>
      </c>
      <c r="D516" s="261">
        <v>68</v>
      </c>
      <c r="E516" s="79" t="s">
        <v>248</v>
      </c>
      <c r="F516" s="75" t="s">
        <v>40</v>
      </c>
      <c r="G516" s="110">
        <v>20000</v>
      </c>
      <c r="H516" s="110">
        <v>20000</v>
      </c>
    </row>
    <row r="517" spans="1:8" hidden="1" x14ac:dyDescent="0.35">
      <c r="A517" t="s">
        <v>115</v>
      </c>
      <c r="B517" s="29" t="s">
        <v>26</v>
      </c>
      <c r="C517" s="29">
        <v>2</v>
      </c>
      <c r="D517" s="261">
        <v>69</v>
      </c>
      <c r="E517" s="79" t="s">
        <v>256</v>
      </c>
      <c r="F517" s="79" t="s">
        <v>69</v>
      </c>
      <c r="G517" s="110"/>
      <c r="H517" s="110"/>
    </row>
    <row r="518" spans="1:8" hidden="1" x14ac:dyDescent="0.35">
      <c r="A518" t="s">
        <v>115</v>
      </c>
      <c r="B518" s="29" t="s">
        <v>26</v>
      </c>
      <c r="C518" s="29">
        <v>2</v>
      </c>
      <c r="D518" s="261">
        <v>70</v>
      </c>
      <c r="E518" s="79" t="s">
        <v>257</v>
      </c>
      <c r="F518" s="79" t="s">
        <v>44</v>
      </c>
      <c r="G518" s="110">
        <v>150000</v>
      </c>
      <c r="H518" s="110">
        <v>150000</v>
      </c>
    </row>
    <row r="519" spans="1:8" hidden="1" x14ac:dyDescent="0.35">
      <c r="A519" t="s">
        <v>115</v>
      </c>
      <c r="B519" s="29" t="s">
        <v>26</v>
      </c>
      <c r="C519" s="29">
        <v>2</v>
      </c>
      <c r="D519" s="261">
        <v>71</v>
      </c>
      <c r="E519" s="79" t="s">
        <v>257</v>
      </c>
      <c r="F519" s="79" t="s">
        <v>67</v>
      </c>
      <c r="G519" s="110">
        <v>25000</v>
      </c>
      <c r="H519" s="110">
        <v>25000</v>
      </c>
    </row>
    <row r="520" spans="1:8" hidden="1" x14ac:dyDescent="0.35">
      <c r="A520" t="s">
        <v>287</v>
      </c>
      <c r="B520" s="29" t="s">
        <v>5</v>
      </c>
      <c r="C520" s="29">
        <v>1</v>
      </c>
      <c r="D520" s="29">
        <v>1</v>
      </c>
      <c r="E520" t="s">
        <v>7</v>
      </c>
      <c r="F520" t="s">
        <v>7</v>
      </c>
      <c r="G520" s="88">
        <v>200000</v>
      </c>
      <c r="H520" s="88">
        <v>200000</v>
      </c>
    </row>
    <row r="521" spans="1:8" hidden="1" x14ac:dyDescent="0.35">
      <c r="A521" t="s">
        <v>287</v>
      </c>
      <c r="B521" s="29" t="s">
        <v>5</v>
      </c>
      <c r="C521" s="29">
        <v>1</v>
      </c>
      <c r="D521" s="29">
        <v>2</v>
      </c>
      <c r="E521" t="s">
        <v>288</v>
      </c>
      <c r="F521" t="s">
        <v>289</v>
      </c>
      <c r="G521" s="88">
        <v>1700000</v>
      </c>
      <c r="H521" s="88">
        <v>1700000</v>
      </c>
    </row>
    <row r="522" spans="1:8" hidden="1" x14ac:dyDescent="0.35">
      <c r="A522" t="s">
        <v>287</v>
      </c>
      <c r="B522" s="29" t="s">
        <v>5</v>
      </c>
      <c r="C522" s="29">
        <v>1</v>
      </c>
      <c r="D522" s="29">
        <v>3</v>
      </c>
      <c r="E522" t="s">
        <v>288</v>
      </c>
      <c r="F522" t="s">
        <v>290</v>
      </c>
      <c r="G522" s="88">
        <v>0</v>
      </c>
      <c r="H522" s="245">
        <v>150000</v>
      </c>
    </row>
    <row r="523" spans="1:8" hidden="1" x14ac:dyDescent="0.35">
      <c r="A523" t="s">
        <v>287</v>
      </c>
      <c r="B523" s="29" t="s">
        <v>5</v>
      </c>
      <c r="C523" s="29">
        <v>1</v>
      </c>
      <c r="D523" s="29">
        <v>4</v>
      </c>
      <c r="E523" t="s">
        <v>288</v>
      </c>
      <c r="F523" t="s">
        <v>291</v>
      </c>
      <c r="G523" s="88">
        <v>100000</v>
      </c>
      <c r="H523" s="245">
        <v>300000</v>
      </c>
    </row>
    <row r="524" spans="1:8" hidden="1" x14ac:dyDescent="0.35">
      <c r="A524" t="s">
        <v>287</v>
      </c>
      <c r="B524" s="29" t="s">
        <v>5</v>
      </c>
      <c r="C524" s="29">
        <v>1</v>
      </c>
      <c r="D524" s="29">
        <v>5</v>
      </c>
      <c r="E524" t="s">
        <v>288</v>
      </c>
      <c r="F524" t="s">
        <v>292</v>
      </c>
      <c r="G524" s="88">
        <v>750000</v>
      </c>
      <c r="H524" s="245">
        <v>820880</v>
      </c>
    </row>
    <row r="525" spans="1:8" hidden="1" x14ac:dyDescent="0.35">
      <c r="A525" t="s">
        <v>287</v>
      </c>
      <c r="B525" s="29" t="s">
        <v>5</v>
      </c>
      <c r="C525" s="29">
        <v>1</v>
      </c>
      <c r="D525" s="29">
        <v>6</v>
      </c>
      <c r="E525" t="s">
        <v>288</v>
      </c>
      <c r="F525" t="s">
        <v>293</v>
      </c>
      <c r="G525" s="88">
        <v>2500000</v>
      </c>
      <c r="H525" s="245">
        <v>2633230</v>
      </c>
    </row>
    <row r="526" spans="1:8" hidden="1" x14ac:dyDescent="0.35">
      <c r="A526" t="s">
        <v>287</v>
      </c>
      <c r="B526" s="29" t="s">
        <v>5</v>
      </c>
      <c r="C526" s="29">
        <v>1</v>
      </c>
      <c r="D526" s="29">
        <v>7</v>
      </c>
      <c r="E526" t="s">
        <v>288</v>
      </c>
      <c r="F526" t="s">
        <v>294</v>
      </c>
      <c r="G526" s="88">
        <v>300000</v>
      </c>
      <c r="H526" s="245">
        <v>400000</v>
      </c>
    </row>
    <row r="527" spans="1:8" hidden="1" x14ac:dyDescent="0.35">
      <c r="A527" t="s">
        <v>287</v>
      </c>
      <c r="B527" s="29" t="s">
        <v>5</v>
      </c>
      <c r="C527" s="29">
        <v>1</v>
      </c>
      <c r="D527" s="29">
        <v>8</v>
      </c>
      <c r="E527" t="s">
        <v>288</v>
      </c>
      <c r="F527" s="2" t="s">
        <v>295</v>
      </c>
      <c r="G527" s="88"/>
      <c r="H527" s="245"/>
    </row>
    <row r="528" spans="1:8" hidden="1" x14ac:dyDescent="0.35">
      <c r="A528" t="s">
        <v>287</v>
      </c>
      <c r="B528" s="29" t="s">
        <v>5</v>
      </c>
      <c r="C528" s="29">
        <v>1</v>
      </c>
      <c r="D528" s="29">
        <v>9</v>
      </c>
      <c r="E528" t="s">
        <v>288</v>
      </c>
      <c r="F528" s="2" t="s">
        <v>295</v>
      </c>
      <c r="G528" s="88"/>
      <c r="H528" s="245"/>
    </row>
    <row r="529" spans="1:8" hidden="1" x14ac:dyDescent="0.35">
      <c r="A529" t="s">
        <v>287</v>
      </c>
      <c r="B529" s="29" t="s">
        <v>5</v>
      </c>
      <c r="C529" s="29">
        <v>1</v>
      </c>
      <c r="D529" s="29">
        <v>10</v>
      </c>
      <c r="E529" t="s">
        <v>288</v>
      </c>
      <c r="F529" s="2" t="s">
        <v>295</v>
      </c>
      <c r="G529" s="88"/>
      <c r="H529" s="245"/>
    </row>
    <row r="530" spans="1:8" hidden="1" x14ac:dyDescent="0.35">
      <c r="A530" t="s">
        <v>287</v>
      </c>
      <c r="B530" s="29" t="s">
        <v>5</v>
      </c>
      <c r="C530" s="29">
        <v>1</v>
      </c>
      <c r="D530" s="29">
        <v>11</v>
      </c>
      <c r="E530" t="s">
        <v>288</v>
      </c>
      <c r="F530" s="2" t="s">
        <v>295</v>
      </c>
      <c r="G530" s="88"/>
      <c r="H530" s="245"/>
    </row>
    <row r="531" spans="1:8" hidden="1" x14ac:dyDescent="0.35">
      <c r="A531" t="s">
        <v>287</v>
      </c>
      <c r="B531" s="29" t="s">
        <v>5</v>
      </c>
      <c r="C531" s="29">
        <v>1</v>
      </c>
      <c r="D531" s="29">
        <v>12</v>
      </c>
      <c r="E531" t="s">
        <v>296</v>
      </c>
      <c r="F531" t="s">
        <v>297</v>
      </c>
      <c r="G531" s="88">
        <v>500000</v>
      </c>
      <c r="H531" s="245">
        <v>1150000</v>
      </c>
    </row>
    <row r="532" spans="1:8" hidden="1" x14ac:dyDescent="0.35">
      <c r="A532" t="s">
        <v>287</v>
      </c>
      <c r="B532" s="29" t="s">
        <v>5</v>
      </c>
      <c r="C532" s="29">
        <v>1</v>
      </c>
      <c r="D532" s="29">
        <v>13</v>
      </c>
      <c r="E532" t="s">
        <v>296</v>
      </c>
      <c r="F532" s="2" t="s">
        <v>298</v>
      </c>
      <c r="G532" s="88">
        <v>200000</v>
      </c>
      <c r="H532" s="88">
        <v>200000</v>
      </c>
    </row>
    <row r="533" spans="1:8" hidden="1" x14ac:dyDescent="0.35">
      <c r="A533" t="s">
        <v>287</v>
      </c>
      <c r="B533" s="29" t="s">
        <v>5</v>
      </c>
      <c r="C533" s="29">
        <v>1</v>
      </c>
      <c r="D533" s="29">
        <v>14</v>
      </c>
      <c r="E533" t="s">
        <v>102</v>
      </c>
      <c r="F533" t="s">
        <v>121</v>
      </c>
      <c r="G533" s="117"/>
      <c r="H533" s="117"/>
    </row>
    <row r="534" spans="1:8" hidden="1" x14ac:dyDescent="0.35">
      <c r="A534" t="s">
        <v>287</v>
      </c>
      <c r="B534" s="29" t="s">
        <v>26</v>
      </c>
      <c r="C534" s="29">
        <v>2</v>
      </c>
      <c r="D534" s="29">
        <v>1</v>
      </c>
      <c r="E534" t="s">
        <v>122</v>
      </c>
      <c r="F534" t="s">
        <v>299</v>
      </c>
      <c r="G534" s="1">
        <v>2154550</v>
      </c>
      <c r="H534" s="247" t="e">
        <f>#REF!</f>
        <v>#REF!</v>
      </c>
    </row>
    <row r="535" spans="1:8" hidden="1" x14ac:dyDescent="0.35">
      <c r="A535" t="s">
        <v>287</v>
      </c>
      <c r="B535" s="29" t="s">
        <v>26</v>
      </c>
      <c r="C535" s="29">
        <v>2</v>
      </c>
      <c r="D535" s="29">
        <v>2</v>
      </c>
      <c r="E535" t="s">
        <v>122</v>
      </c>
      <c r="F535" t="s">
        <v>300</v>
      </c>
      <c r="G535" s="1">
        <v>120000</v>
      </c>
      <c r="H535" s="247" t="e">
        <f>#REF!</f>
        <v>#REF!</v>
      </c>
    </row>
    <row r="536" spans="1:8" hidden="1" x14ac:dyDescent="0.35">
      <c r="A536" t="s">
        <v>287</v>
      </c>
      <c r="B536" s="29" t="s">
        <v>26</v>
      </c>
      <c r="C536" s="29">
        <v>2</v>
      </c>
      <c r="D536" s="29">
        <v>3</v>
      </c>
      <c r="E536" t="s">
        <v>155</v>
      </c>
      <c r="F536" t="s">
        <v>301</v>
      </c>
      <c r="G536" s="1"/>
      <c r="H536" s="247" t="e">
        <f>H534*0.0145</f>
        <v>#REF!</v>
      </c>
    </row>
    <row r="537" spans="1:8" hidden="1" x14ac:dyDescent="0.35">
      <c r="A537" t="s">
        <v>287</v>
      </c>
      <c r="B537" s="29" t="s">
        <v>26</v>
      </c>
      <c r="C537" s="29">
        <v>2</v>
      </c>
      <c r="D537" s="29">
        <v>4</v>
      </c>
      <c r="E537" t="s">
        <v>124</v>
      </c>
      <c r="F537" t="s">
        <v>302</v>
      </c>
      <c r="G537" s="1">
        <v>2000</v>
      </c>
      <c r="H537" s="247" t="e">
        <f>H534*0.0126</f>
        <v>#REF!</v>
      </c>
    </row>
    <row r="538" spans="1:8" hidden="1" x14ac:dyDescent="0.35">
      <c r="A538" t="s">
        <v>287</v>
      </c>
      <c r="B538" s="29" t="s">
        <v>26</v>
      </c>
      <c r="C538" s="29">
        <v>2</v>
      </c>
      <c r="D538" s="29">
        <v>5</v>
      </c>
      <c r="E538" t="s">
        <v>124</v>
      </c>
      <c r="F538" t="s">
        <v>303</v>
      </c>
      <c r="G538" s="1">
        <v>2000</v>
      </c>
      <c r="H538" s="247" t="e">
        <f>H534*0.017</f>
        <v>#REF!</v>
      </c>
    </row>
    <row r="539" spans="1:8" hidden="1" x14ac:dyDescent="0.35">
      <c r="A539" t="s">
        <v>287</v>
      </c>
      <c r="B539" s="29" t="s">
        <v>26</v>
      </c>
      <c r="C539" s="29">
        <v>2</v>
      </c>
      <c r="D539" s="29">
        <v>6</v>
      </c>
      <c r="E539" t="s">
        <v>155</v>
      </c>
      <c r="F539" t="s">
        <v>304</v>
      </c>
      <c r="G539" s="1">
        <f>G534*0.214</f>
        <v>461073.7</v>
      </c>
      <c r="H539" s="247" t="e">
        <f>H534*0.214</f>
        <v>#REF!</v>
      </c>
    </row>
    <row r="540" spans="1:8" hidden="1" x14ac:dyDescent="0.35">
      <c r="A540" t="s">
        <v>287</v>
      </c>
      <c r="B540" s="29" t="s">
        <v>26</v>
      </c>
      <c r="C540" s="29">
        <v>2</v>
      </c>
      <c r="D540" s="29">
        <v>7</v>
      </c>
      <c r="E540" t="s">
        <v>155</v>
      </c>
      <c r="F540" t="s">
        <v>305</v>
      </c>
      <c r="G540" s="1">
        <f>(17*0.8)*6300</f>
        <v>85680.000000000015</v>
      </c>
      <c r="H540" s="247" t="e">
        <f>#REF!</f>
        <v>#REF!</v>
      </c>
    </row>
    <row r="541" spans="1:8" hidden="1" x14ac:dyDescent="0.35">
      <c r="A541" t="s">
        <v>287</v>
      </c>
      <c r="B541" s="29" t="s">
        <v>26</v>
      </c>
      <c r="C541" s="29">
        <v>2</v>
      </c>
      <c r="D541" s="29">
        <v>8</v>
      </c>
      <c r="E541" t="s">
        <v>155</v>
      </c>
      <c r="F541" t="s">
        <v>306</v>
      </c>
      <c r="G541" s="1"/>
      <c r="H541" s="247" t="e">
        <f>#REF!</f>
        <v>#REF!</v>
      </c>
    </row>
    <row r="542" spans="1:8" hidden="1" x14ac:dyDescent="0.35">
      <c r="A542" t="s">
        <v>287</v>
      </c>
      <c r="B542" s="29" t="s">
        <v>26</v>
      </c>
      <c r="C542" s="29">
        <v>2</v>
      </c>
      <c r="D542" s="29">
        <v>9</v>
      </c>
      <c r="E542" t="s">
        <v>155</v>
      </c>
      <c r="F542" t="s">
        <v>307</v>
      </c>
      <c r="G542" s="1">
        <v>9000</v>
      </c>
      <c r="H542" s="1">
        <v>9000</v>
      </c>
    </row>
    <row r="543" spans="1:8" hidden="1" x14ac:dyDescent="0.35">
      <c r="A543" t="s">
        <v>287</v>
      </c>
      <c r="B543" s="29" t="s">
        <v>26</v>
      </c>
      <c r="C543" s="29">
        <v>2</v>
      </c>
      <c r="D543" s="29">
        <v>10</v>
      </c>
      <c r="E543" t="s">
        <v>122</v>
      </c>
      <c r="F543" t="s">
        <v>308</v>
      </c>
      <c r="G543" s="1">
        <v>1350000</v>
      </c>
      <c r="H543" s="1">
        <v>1350000</v>
      </c>
    </row>
    <row r="544" spans="1:8" hidden="1" x14ac:dyDescent="0.35">
      <c r="A544" t="s">
        <v>287</v>
      </c>
      <c r="B544" s="29" t="s">
        <v>26</v>
      </c>
      <c r="C544" s="29">
        <v>2</v>
      </c>
      <c r="D544" s="29">
        <v>11</v>
      </c>
      <c r="E544" t="s">
        <v>155</v>
      </c>
      <c r="F544" t="s">
        <v>309</v>
      </c>
      <c r="G544" s="1">
        <f>G543*0.214</f>
        <v>288900</v>
      </c>
      <c r="H544" s="1">
        <f>H543*0.214</f>
        <v>288900</v>
      </c>
    </row>
    <row r="545" spans="1:8" hidden="1" x14ac:dyDescent="0.35">
      <c r="A545" t="s">
        <v>287</v>
      </c>
      <c r="B545" s="29" t="s">
        <v>26</v>
      </c>
      <c r="C545" s="29">
        <v>2</v>
      </c>
      <c r="D545" s="29">
        <v>12</v>
      </c>
      <c r="E545" t="s">
        <v>155</v>
      </c>
      <c r="F545" t="s">
        <v>310</v>
      </c>
      <c r="G545" s="1">
        <f>(18*0.8)*6300</f>
        <v>90720</v>
      </c>
      <c r="H545" s="247">
        <f>(18*0.8)*6334.56</f>
        <v>91217.664000000004</v>
      </c>
    </row>
    <row r="546" spans="1:8" hidden="1" x14ac:dyDescent="0.35">
      <c r="A546" t="s">
        <v>287</v>
      </c>
      <c r="B546" s="29" t="s">
        <v>26</v>
      </c>
      <c r="C546" s="29">
        <v>2</v>
      </c>
      <c r="D546" s="29">
        <v>13</v>
      </c>
      <c r="E546" t="s">
        <v>122</v>
      </c>
      <c r="F546" t="s">
        <v>311</v>
      </c>
      <c r="G546" s="1">
        <f>4*65000</f>
        <v>260000</v>
      </c>
      <c r="H546" s="247">
        <v>287000</v>
      </c>
    </row>
    <row r="547" spans="1:8" hidden="1" x14ac:dyDescent="0.35">
      <c r="A547" t="s">
        <v>287</v>
      </c>
      <c r="B547" s="29" t="s">
        <v>26</v>
      </c>
      <c r="C547" s="29">
        <v>2</v>
      </c>
      <c r="D547" s="29">
        <v>14</v>
      </c>
      <c r="E547" t="s">
        <v>155</v>
      </c>
      <c r="F547" t="s">
        <v>312</v>
      </c>
      <c r="G547" s="1">
        <f>G546*0.214</f>
        <v>55640</v>
      </c>
      <c r="H547" s="247">
        <f>H546*0.214</f>
        <v>61418</v>
      </c>
    </row>
    <row r="548" spans="1:8" hidden="1" x14ac:dyDescent="0.35">
      <c r="A548" t="s">
        <v>287</v>
      </c>
      <c r="B548" s="29" t="s">
        <v>26</v>
      </c>
      <c r="C548" s="29">
        <v>2</v>
      </c>
      <c r="D548" s="29">
        <v>15</v>
      </c>
      <c r="E548" t="s">
        <v>155</v>
      </c>
      <c r="F548" t="s">
        <v>313</v>
      </c>
      <c r="G548" s="1">
        <f>4*6300</f>
        <v>25200</v>
      </c>
      <c r="H548" s="247">
        <f>4*6334.56</f>
        <v>25338.240000000002</v>
      </c>
    </row>
    <row r="549" spans="1:8" hidden="1" x14ac:dyDescent="0.35">
      <c r="A549" t="s">
        <v>287</v>
      </c>
      <c r="B549" s="29" t="s">
        <v>26</v>
      </c>
      <c r="C549" s="29">
        <v>2</v>
      </c>
      <c r="D549" s="29">
        <v>16</v>
      </c>
      <c r="E549" t="s">
        <v>155</v>
      </c>
      <c r="F549" t="s">
        <v>121</v>
      </c>
      <c r="G549" s="1"/>
      <c r="H549" s="247"/>
    </row>
    <row r="550" spans="1:8" hidden="1" x14ac:dyDescent="0.35">
      <c r="A550" t="s">
        <v>287</v>
      </c>
      <c r="B550" s="29" t="s">
        <v>26</v>
      </c>
      <c r="C550" s="29">
        <v>2</v>
      </c>
      <c r="D550" s="29">
        <v>17</v>
      </c>
      <c r="E550" t="s">
        <v>169</v>
      </c>
      <c r="F550" t="s">
        <v>314</v>
      </c>
      <c r="G550" s="1">
        <v>4000</v>
      </c>
      <c r="H550" s="1">
        <v>4000</v>
      </c>
    </row>
    <row r="551" spans="1:8" hidden="1" x14ac:dyDescent="0.35">
      <c r="A551" t="s">
        <v>287</v>
      </c>
      <c r="B551" s="29" t="s">
        <v>26</v>
      </c>
      <c r="C551" s="29">
        <v>2</v>
      </c>
      <c r="D551" s="29">
        <v>18</v>
      </c>
      <c r="E551" t="s">
        <v>315</v>
      </c>
      <c r="F551" t="s">
        <v>316</v>
      </c>
      <c r="G551" s="1">
        <v>100000</v>
      </c>
      <c r="H551" s="1">
        <v>100000</v>
      </c>
    </row>
    <row r="552" spans="1:8" hidden="1" x14ac:dyDescent="0.35">
      <c r="A552" t="s">
        <v>287</v>
      </c>
      <c r="B552" s="29" t="s">
        <v>26</v>
      </c>
      <c r="C552" s="29">
        <v>2</v>
      </c>
      <c r="D552" s="29">
        <v>19</v>
      </c>
      <c r="E552" s="2" t="s">
        <v>181</v>
      </c>
      <c r="F552" s="2" t="s">
        <v>317</v>
      </c>
      <c r="G552" s="1">
        <v>200000</v>
      </c>
      <c r="H552" s="1">
        <v>200000</v>
      </c>
    </row>
    <row r="553" spans="1:8" hidden="1" x14ac:dyDescent="0.35">
      <c r="A553" t="s">
        <v>287</v>
      </c>
      <c r="B553" s="29" t="s">
        <v>26</v>
      </c>
      <c r="C553" s="29">
        <v>2</v>
      </c>
      <c r="D553" s="29">
        <v>20</v>
      </c>
      <c r="E553" t="s">
        <v>124</v>
      </c>
      <c r="F553" t="s">
        <v>318</v>
      </c>
      <c r="G553" s="1">
        <v>85000</v>
      </c>
      <c r="H553" s="1">
        <v>85000</v>
      </c>
    </row>
    <row r="554" spans="1:8" hidden="1" x14ac:dyDescent="0.35">
      <c r="A554" t="s">
        <v>287</v>
      </c>
      <c r="B554" s="29" t="s">
        <v>26</v>
      </c>
      <c r="C554" s="29">
        <v>2</v>
      </c>
      <c r="D554" s="29">
        <v>21</v>
      </c>
      <c r="E554" t="s">
        <v>319</v>
      </c>
      <c r="F554" t="s">
        <v>320</v>
      </c>
      <c r="G554" s="1">
        <v>100000</v>
      </c>
      <c r="H554" s="1">
        <v>100000</v>
      </c>
    </row>
    <row r="555" spans="1:8" hidden="1" x14ac:dyDescent="0.35">
      <c r="A555" t="s">
        <v>287</v>
      </c>
      <c r="B555" s="29" t="s">
        <v>26</v>
      </c>
      <c r="C555" s="29">
        <v>2</v>
      </c>
      <c r="D555" s="29">
        <v>22</v>
      </c>
      <c r="E555" t="s">
        <v>319</v>
      </c>
      <c r="F555" t="s">
        <v>321</v>
      </c>
      <c r="G555" s="1">
        <v>100000</v>
      </c>
      <c r="H555" s="1">
        <v>100000</v>
      </c>
    </row>
    <row r="556" spans="1:8" hidden="1" x14ac:dyDescent="0.35">
      <c r="A556" t="s">
        <v>287</v>
      </c>
      <c r="B556" s="29" t="s">
        <v>26</v>
      </c>
      <c r="C556" s="29">
        <v>2</v>
      </c>
      <c r="D556" s="29">
        <v>23</v>
      </c>
      <c r="E556" t="s">
        <v>181</v>
      </c>
      <c r="F556" t="s">
        <v>322</v>
      </c>
      <c r="G556" s="1">
        <v>50000</v>
      </c>
      <c r="H556" s="1">
        <v>50000</v>
      </c>
    </row>
    <row r="557" spans="1:8" hidden="1" x14ac:dyDescent="0.35">
      <c r="A557" t="s">
        <v>287</v>
      </c>
      <c r="B557" s="29" t="s">
        <v>26</v>
      </c>
      <c r="C557" s="29">
        <v>2</v>
      </c>
      <c r="D557" s="29">
        <v>24</v>
      </c>
      <c r="E557" t="s">
        <v>181</v>
      </c>
      <c r="F557" t="s">
        <v>323</v>
      </c>
      <c r="G557" s="265">
        <v>10000</v>
      </c>
      <c r="H557" s="265">
        <v>10000</v>
      </c>
    </row>
    <row r="558" spans="1:8" hidden="1" x14ac:dyDescent="0.35">
      <c r="A558" t="s">
        <v>287</v>
      </c>
      <c r="B558" s="29" t="s">
        <v>26</v>
      </c>
      <c r="C558" s="29">
        <v>2</v>
      </c>
      <c r="D558" s="29">
        <v>25</v>
      </c>
      <c r="E558" t="s">
        <v>324</v>
      </c>
      <c r="F558" t="s">
        <v>325</v>
      </c>
      <c r="G558" s="1">
        <v>30000</v>
      </c>
      <c r="H558" s="1">
        <v>30000</v>
      </c>
    </row>
    <row r="559" spans="1:8" hidden="1" x14ac:dyDescent="0.35">
      <c r="A559" t="s">
        <v>287</v>
      </c>
      <c r="B559" s="29" t="s">
        <v>26</v>
      </c>
      <c r="C559" s="29">
        <v>2</v>
      </c>
      <c r="D559" s="29">
        <v>26</v>
      </c>
      <c r="E559" t="s">
        <v>199</v>
      </c>
      <c r="F559" t="s">
        <v>326</v>
      </c>
      <c r="G559" s="1">
        <v>5000</v>
      </c>
      <c r="H559" s="1">
        <v>5000</v>
      </c>
    </row>
    <row r="560" spans="1:8" hidden="1" x14ac:dyDescent="0.35">
      <c r="A560" t="s">
        <v>287</v>
      </c>
      <c r="B560" s="29" t="s">
        <v>26</v>
      </c>
      <c r="C560" s="29">
        <v>2</v>
      </c>
      <c r="D560" s="29">
        <v>27</v>
      </c>
      <c r="E560" t="s">
        <v>199</v>
      </c>
      <c r="F560" t="s">
        <v>327</v>
      </c>
      <c r="G560" s="1">
        <v>5000</v>
      </c>
      <c r="H560" s="1">
        <v>5000</v>
      </c>
    </row>
    <row r="561" spans="1:8" hidden="1" x14ac:dyDescent="0.35">
      <c r="A561" t="s">
        <v>287</v>
      </c>
      <c r="B561" s="29" t="s">
        <v>26</v>
      </c>
      <c r="C561" s="29">
        <v>2</v>
      </c>
      <c r="D561" s="29">
        <v>28</v>
      </c>
      <c r="E561" t="s">
        <v>199</v>
      </c>
      <c r="F561" t="s">
        <v>328</v>
      </c>
      <c r="G561" s="1">
        <v>20000</v>
      </c>
      <c r="H561" s="1">
        <v>20000</v>
      </c>
    </row>
    <row r="562" spans="1:8" hidden="1" x14ac:dyDescent="0.35">
      <c r="A562" t="s">
        <v>287</v>
      </c>
      <c r="B562" s="29" t="s">
        <v>26</v>
      </c>
      <c r="C562" s="29">
        <v>2</v>
      </c>
      <c r="D562" s="29">
        <v>29</v>
      </c>
      <c r="E562" t="s">
        <v>329</v>
      </c>
      <c r="F562" t="s">
        <v>330</v>
      </c>
      <c r="G562" s="1">
        <v>150000</v>
      </c>
      <c r="H562" s="1">
        <v>150000</v>
      </c>
    </row>
    <row r="563" spans="1:8" hidden="1" x14ac:dyDescent="0.35">
      <c r="A563" t="s">
        <v>287</v>
      </c>
      <c r="B563" s="29" t="s">
        <v>26</v>
      </c>
      <c r="C563" s="29">
        <v>2</v>
      </c>
      <c r="D563" s="29">
        <v>30</v>
      </c>
      <c r="E563" t="s">
        <v>124</v>
      </c>
      <c r="F563" t="s">
        <v>331</v>
      </c>
      <c r="G563" s="1">
        <v>5000</v>
      </c>
      <c r="H563" s="1">
        <v>5000</v>
      </c>
    </row>
    <row r="564" spans="1:8" hidden="1" x14ac:dyDescent="0.35">
      <c r="A564" t="s">
        <v>287</v>
      </c>
      <c r="B564" s="29" t="s">
        <v>26</v>
      </c>
      <c r="C564" s="29">
        <v>2</v>
      </c>
      <c r="D564" s="29">
        <v>31</v>
      </c>
      <c r="E564" t="s">
        <v>124</v>
      </c>
      <c r="F564" t="s">
        <v>332</v>
      </c>
      <c r="G564" s="1">
        <v>2000</v>
      </c>
      <c r="H564" s="1">
        <v>2000</v>
      </c>
    </row>
    <row r="565" spans="1:8" hidden="1" x14ac:dyDescent="0.35">
      <c r="A565" t="s">
        <v>287</v>
      </c>
      <c r="B565" s="29" t="s">
        <v>26</v>
      </c>
      <c r="C565" s="29">
        <v>2</v>
      </c>
      <c r="D565" s="29">
        <v>32</v>
      </c>
      <c r="E565" t="s">
        <v>124</v>
      </c>
      <c r="F565" t="s">
        <v>333</v>
      </c>
      <c r="G565" s="1">
        <v>20000</v>
      </c>
      <c r="H565" s="1">
        <v>20000</v>
      </c>
    </row>
    <row r="566" spans="1:8" hidden="1" x14ac:dyDescent="0.35">
      <c r="A566" t="s">
        <v>287</v>
      </c>
      <c r="B566" s="29" t="s">
        <v>26</v>
      </c>
      <c r="C566" s="29">
        <v>2</v>
      </c>
      <c r="D566" s="29">
        <v>33</v>
      </c>
      <c r="E566" t="s">
        <v>124</v>
      </c>
      <c r="F566" t="s">
        <v>334</v>
      </c>
      <c r="G566" s="1">
        <v>10000</v>
      </c>
      <c r="H566" s="1">
        <v>10000</v>
      </c>
    </row>
    <row r="567" spans="1:8" hidden="1" x14ac:dyDescent="0.35">
      <c r="A567" t="s">
        <v>287</v>
      </c>
      <c r="B567" s="29" t="s">
        <v>26</v>
      </c>
      <c r="C567" s="29">
        <v>2</v>
      </c>
      <c r="D567" s="29">
        <v>34</v>
      </c>
      <c r="E567" t="s">
        <v>137</v>
      </c>
      <c r="F567" t="s">
        <v>335</v>
      </c>
      <c r="G567" s="1">
        <v>5000</v>
      </c>
      <c r="H567" s="1">
        <v>5000</v>
      </c>
    </row>
    <row r="568" spans="1:8" hidden="1" x14ac:dyDescent="0.35">
      <c r="A568" t="s">
        <v>216</v>
      </c>
      <c r="B568" s="29" t="s">
        <v>5</v>
      </c>
      <c r="C568" s="29">
        <v>1</v>
      </c>
      <c r="D568" s="29">
        <v>1</v>
      </c>
      <c r="E568" s="2" t="s">
        <v>7</v>
      </c>
      <c r="F568" s="16" t="s">
        <v>7</v>
      </c>
      <c r="G568" s="127">
        <v>441727</v>
      </c>
      <c r="H568" s="127">
        <v>441727</v>
      </c>
    </row>
    <row r="569" spans="1:8" hidden="1" x14ac:dyDescent="0.35">
      <c r="A569" t="s">
        <v>216</v>
      </c>
      <c r="B569" s="29" t="s">
        <v>5</v>
      </c>
      <c r="C569" s="29">
        <v>1</v>
      </c>
      <c r="D569" s="29">
        <v>2</v>
      </c>
      <c r="E569" s="2" t="s">
        <v>102</v>
      </c>
      <c r="F569" s="16" t="s">
        <v>258</v>
      </c>
      <c r="G569" s="127">
        <v>3881481</v>
      </c>
      <c r="H569" s="188">
        <v>3881481</v>
      </c>
    </row>
    <row r="570" spans="1:8" hidden="1" x14ac:dyDescent="0.35">
      <c r="A570" t="s">
        <v>216</v>
      </c>
      <c r="B570" s="29" t="s">
        <v>5</v>
      </c>
      <c r="C570" s="29">
        <v>1</v>
      </c>
      <c r="D570" s="29">
        <v>3</v>
      </c>
      <c r="E570" s="2" t="s">
        <v>102</v>
      </c>
      <c r="F570" s="16" t="s">
        <v>6</v>
      </c>
      <c r="G570" s="127">
        <v>833942</v>
      </c>
      <c r="H570" s="188">
        <v>833942</v>
      </c>
    </row>
    <row r="571" spans="1:8" hidden="1" x14ac:dyDescent="0.35">
      <c r="A571" t="s">
        <v>216</v>
      </c>
      <c r="B571" s="29" t="s">
        <v>5</v>
      </c>
      <c r="C571" s="29">
        <v>1</v>
      </c>
      <c r="D571" s="29">
        <v>4</v>
      </c>
      <c r="E571" s="2" t="s">
        <v>102</v>
      </c>
      <c r="F571" s="16" t="s">
        <v>20</v>
      </c>
      <c r="G571" s="127">
        <v>60000</v>
      </c>
      <c r="H571" s="127">
        <v>60000</v>
      </c>
    </row>
    <row r="572" spans="1:8" x14ac:dyDescent="0.35">
      <c r="A572" t="s">
        <v>1</v>
      </c>
      <c r="B572" s="29" t="s">
        <v>5</v>
      </c>
      <c r="C572" s="29">
        <v>1</v>
      </c>
      <c r="D572" s="29">
        <v>9</v>
      </c>
      <c r="E572" s="2" t="s">
        <v>110</v>
      </c>
      <c r="F572" s="16" t="s">
        <v>24</v>
      </c>
      <c r="G572" s="95">
        <v>21468</v>
      </c>
      <c r="H572" s="95">
        <v>21468</v>
      </c>
    </row>
    <row r="573" spans="1:8" x14ac:dyDescent="0.35">
      <c r="A573" t="s">
        <v>97</v>
      </c>
      <c r="B573" s="29" t="s">
        <v>5</v>
      </c>
      <c r="C573" s="29">
        <v>1</v>
      </c>
      <c r="D573" s="29">
        <v>18</v>
      </c>
      <c r="E573" t="s">
        <v>110</v>
      </c>
      <c r="F573" t="s">
        <v>336</v>
      </c>
      <c r="G573" s="119">
        <v>22770</v>
      </c>
      <c r="H573" s="119">
        <v>22770</v>
      </c>
    </row>
    <row r="574" spans="1:8" x14ac:dyDescent="0.35">
      <c r="A574" t="s">
        <v>215</v>
      </c>
      <c r="B574" s="29" t="s">
        <v>5</v>
      </c>
      <c r="C574" s="29">
        <v>1</v>
      </c>
      <c r="D574" s="29">
        <v>18</v>
      </c>
      <c r="E574" t="s">
        <v>110</v>
      </c>
      <c r="F574" t="s">
        <v>336</v>
      </c>
      <c r="G574" s="119"/>
      <c r="H574" s="119"/>
    </row>
    <row r="575" spans="1:8" x14ac:dyDescent="0.35">
      <c r="A575" t="s">
        <v>113</v>
      </c>
      <c r="B575" s="29" t="s">
        <v>5</v>
      </c>
      <c r="C575" s="29">
        <v>1</v>
      </c>
      <c r="D575" s="29">
        <v>18</v>
      </c>
      <c r="E575" t="s">
        <v>110</v>
      </c>
      <c r="F575" t="s">
        <v>336</v>
      </c>
      <c r="G575" s="119"/>
      <c r="H575" s="119"/>
    </row>
    <row r="576" spans="1:8" hidden="1" x14ac:dyDescent="0.35">
      <c r="A576" t="s">
        <v>216</v>
      </c>
      <c r="B576" s="29" t="s">
        <v>5</v>
      </c>
      <c r="C576" s="29">
        <v>1</v>
      </c>
      <c r="D576" s="29">
        <v>9</v>
      </c>
      <c r="E576" s="2" t="s">
        <v>110</v>
      </c>
      <c r="F576" t="s">
        <v>12</v>
      </c>
      <c r="G576" s="127"/>
      <c r="H576" s="127"/>
    </row>
    <row r="577" spans="1:8" hidden="1" x14ac:dyDescent="0.35">
      <c r="A577" t="s">
        <v>216</v>
      </c>
      <c r="B577" s="29" t="s">
        <v>5</v>
      </c>
      <c r="C577" s="29">
        <v>1</v>
      </c>
      <c r="D577" s="29">
        <v>10</v>
      </c>
      <c r="E577" s="2" t="s">
        <v>102</v>
      </c>
      <c r="F577" s="16" t="s">
        <v>14</v>
      </c>
      <c r="G577" s="262">
        <v>27250</v>
      </c>
      <c r="H577" s="262">
        <v>27250</v>
      </c>
    </row>
    <row r="578" spans="1:8" hidden="1" x14ac:dyDescent="0.35">
      <c r="A578" t="s">
        <v>216</v>
      </c>
      <c r="B578" s="29" t="s">
        <v>5</v>
      </c>
      <c r="C578" s="29">
        <v>1</v>
      </c>
      <c r="D578" s="29">
        <v>11</v>
      </c>
      <c r="E578" s="2" t="s">
        <v>98</v>
      </c>
      <c r="F578" s="16" t="s">
        <v>13</v>
      </c>
      <c r="G578" s="127">
        <v>0</v>
      </c>
      <c r="H578" s="127">
        <v>0</v>
      </c>
    </row>
    <row r="579" spans="1:8" hidden="1" x14ac:dyDescent="0.35">
      <c r="A579" t="s">
        <v>216</v>
      </c>
      <c r="B579" s="29" t="s">
        <v>5</v>
      </c>
      <c r="C579" s="29">
        <v>1</v>
      </c>
      <c r="D579" s="29">
        <v>12</v>
      </c>
      <c r="E579" s="2" t="s">
        <v>110</v>
      </c>
      <c r="F579" s="2" t="s">
        <v>8</v>
      </c>
      <c r="G579" s="127">
        <v>357331</v>
      </c>
      <c r="H579" s="127">
        <v>357331</v>
      </c>
    </row>
    <row r="580" spans="1:8" hidden="1" x14ac:dyDescent="0.35">
      <c r="A580" t="s">
        <v>216</v>
      </c>
      <c r="B580" s="29" t="s">
        <v>5</v>
      </c>
      <c r="C580" s="29">
        <v>1</v>
      </c>
      <c r="D580" s="29">
        <v>13</v>
      </c>
      <c r="E580" s="2" t="s">
        <v>110</v>
      </c>
      <c r="F580" s="2" t="s">
        <v>9</v>
      </c>
      <c r="G580" s="127">
        <v>120000</v>
      </c>
      <c r="H580" s="127">
        <v>120000</v>
      </c>
    </row>
    <row r="581" spans="1:8" hidden="1" x14ac:dyDescent="0.35">
      <c r="A581" t="s">
        <v>216</v>
      </c>
      <c r="B581" s="29" t="s">
        <v>5</v>
      </c>
      <c r="C581" s="29">
        <v>1</v>
      </c>
      <c r="D581" s="29">
        <v>14</v>
      </c>
      <c r="E581" s="2" t="s">
        <v>102</v>
      </c>
      <c r="F581" s="16" t="s">
        <v>262</v>
      </c>
      <c r="G581" s="127">
        <v>0</v>
      </c>
      <c r="H581" s="127">
        <v>0</v>
      </c>
    </row>
    <row r="582" spans="1:8" hidden="1" x14ac:dyDescent="0.35">
      <c r="A582" t="s">
        <v>216</v>
      </c>
      <c r="B582" s="29" t="s">
        <v>5</v>
      </c>
      <c r="C582" s="29">
        <v>1</v>
      </c>
      <c r="D582" s="29">
        <v>15</v>
      </c>
      <c r="E582" s="2" t="s">
        <v>102</v>
      </c>
      <c r="F582" s="16" t="s">
        <v>263</v>
      </c>
      <c r="G582" s="127">
        <v>0</v>
      </c>
      <c r="H582" s="127">
        <v>0</v>
      </c>
    </row>
    <row r="583" spans="1:8" hidden="1" x14ac:dyDescent="0.35">
      <c r="A583" t="s">
        <v>216</v>
      </c>
      <c r="B583" s="29" t="s">
        <v>5</v>
      </c>
      <c r="C583" s="29">
        <v>1</v>
      </c>
      <c r="D583" s="29">
        <v>16</v>
      </c>
      <c r="E583" t="s">
        <v>102</v>
      </c>
      <c r="F583" t="s">
        <v>25</v>
      </c>
      <c r="G583" s="119"/>
      <c r="H583" s="119"/>
    </row>
    <row r="584" spans="1:8" hidden="1" x14ac:dyDescent="0.35">
      <c r="A584" t="s">
        <v>216</v>
      </c>
      <c r="B584" s="29" t="s">
        <v>5</v>
      </c>
      <c r="C584" s="29">
        <v>1</v>
      </c>
      <c r="D584" s="29">
        <v>17</v>
      </c>
      <c r="E584" s="2" t="s">
        <v>100</v>
      </c>
      <c r="F584" t="s">
        <v>264</v>
      </c>
      <c r="G584" s="127"/>
      <c r="H584" s="127"/>
    </row>
    <row r="585" spans="1:8" hidden="1" x14ac:dyDescent="0.35">
      <c r="A585" t="s">
        <v>216</v>
      </c>
      <c r="B585" s="29" t="s">
        <v>5</v>
      </c>
      <c r="C585" s="29">
        <v>1</v>
      </c>
      <c r="D585" s="29">
        <v>18</v>
      </c>
      <c r="E585" s="2" t="s">
        <v>100</v>
      </c>
      <c r="F585" s="16" t="s">
        <v>16</v>
      </c>
      <c r="G585" s="127">
        <v>100000</v>
      </c>
      <c r="H585" s="127">
        <v>100000</v>
      </c>
    </row>
    <row r="586" spans="1:8" hidden="1" x14ac:dyDescent="0.35">
      <c r="A586" t="s">
        <v>216</v>
      </c>
      <c r="B586" s="29" t="s">
        <v>5</v>
      </c>
      <c r="C586" s="29">
        <v>1</v>
      </c>
      <c r="D586" s="29">
        <v>19</v>
      </c>
      <c r="E586" s="2" t="s">
        <v>98</v>
      </c>
      <c r="F586" s="16" t="s">
        <v>17</v>
      </c>
      <c r="G586" s="127">
        <v>0</v>
      </c>
      <c r="H586" s="127">
        <v>0</v>
      </c>
    </row>
    <row r="587" spans="1:8" hidden="1" x14ac:dyDescent="0.35">
      <c r="A587" t="s">
        <v>216</v>
      </c>
      <c r="B587" s="29" t="s">
        <v>26</v>
      </c>
      <c r="C587" s="29">
        <v>2</v>
      </c>
      <c r="D587" s="29">
        <v>1</v>
      </c>
      <c r="E587" s="2" t="s">
        <v>236</v>
      </c>
      <c r="F587" s="22" t="s">
        <v>337</v>
      </c>
      <c r="G587" s="119">
        <v>2421000</v>
      </c>
      <c r="H587" s="190" t="e">
        <f>#REF!</f>
        <v>#REF!</v>
      </c>
    </row>
    <row r="588" spans="1:8" hidden="1" x14ac:dyDescent="0.35">
      <c r="A588" t="s">
        <v>216</v>
      </c>
      <c r="B588" s="29" t="s">
        <v>26</v>
      </c>
      <c r="C588" s="29">
        <v>2</v>
      </c>
      <c r="D588" s="29">
        <v>2</v>
      </c>
      <c r="E588" s="2" t="s">
        <v>237</v>
      </c>
      <c r="F588" s="22" t="s">
        <v>62</v>
      </c>
      <c r="G588" s="119">
        <v>0</v>
      </c>
      <c r="H588" s="119">
        <v>0</v>
      </c>
    </row>
    <row r="589" spans="1:8" hidden="1" x14ac:dyDescent="0.35">
      <c r="A589" t="s">
        <v>216</v>
      </c>
      <c r="B589" s="29" t="s">
        <v>26</v>
      </c>
      <c r="C589" s="29">
        <v>2</v>
      </c>
      <c r="D589" s="29">
        <v>3</v>
      </c>
      <c r="E589" s="2" t="s">
        <v>238</v>
      </c>
      <c r="F589" s="22" t="s">
        <v>58</v>
      </c>
      <c r="G589" s="119">
        <f>1948000*0.04</f>
        <v>77920</v>
      </c>
      <c r="H589" s="190" t="e">
        <f>H587*0.04</f>
        <v>#REF!</v>
      </c>
    </row>
    <row r="590" spans="1:8" hidden="1" x14ac:dyDescent="0.35">
      <c r="A590" t="s">
        <v>216</v>
      </c>
      <c r="B590" s="29" t="s">
        <v>26</v>
      </c>
      <c r="C590" s="29">
        <v>2</v>
      </c>
      <c r="D590" s="29">
        <v>4</v>
      </c>
      <c r="E590" s="2" t="s">
        <v>239</v>
      </c>
      <c r="F590" s="22" t="s">
        <v>60</v>
      </c>
      <c r="G590" s="117">
        <f>G587*0.0145</f>
        <v>35104.5</v>
      </c>
      <c r="H590" s="190" t="e">
        <f>H587*0.0145</f>
        <v>#REF!</v>
      </c>
    </row>
    <row r="591" spans="1:8" hidden="1" x14ac:dyDescent="0.35">
      <c r="A591" t="s">
        <v>216</v>
      </c>
      <c r="B591" s="29" t="s">
        <v>26</v>
      </c>
      <c r="C591" s="29">
        <v>2</v>
      </c>
      <c r="D591" s="29">
        <v>5</v>
      </c>
      <c r="E591" s="2" t="s">
        <v>239</v>
      </c>
      <c r="F591" s="22" t="s">
        <v>338</v>
      </c>
      <c r="G591" s="117">
        <v>888</v>
      </c>
      <c r="H591" s="190" t="e">
        <f>8.4*#REF!</f>
        <v>#REF!</v>
      </c>
    </row>
    <row r="592" spans="1:8" hidden="1" x14ac:dyDescent="0.35">
      <c r="A592" t="s">
        <v>216</v>
      </c>
      <c r="B592" s="29" t="s">
        <v>26</v>
      </c>
      <c r="C592" s="29">
        <v>2</v>
      </c>
      <c r="D592" s="29">
        <v>6</v>
      </c>
      <c r="E592" s="2" t="s">
        <v>239</v>
      </c>
      <c r="F592" s="22" t="s">
        <v>57</v>
      </c>
      <c r="G592" s="117">
        <f>(44*0.8)*6300</f>
        <v>221760.00000000003</v>
      </c>
      <c r="H592" s="190" t="e">
        <f>(#REF!*0.8)*6334.56</f>
        <v>#REF!</v>
      </c>
    </row>
    <row r="593" spans="1:8" hidden="1" x14ac:dyDescent="0.35">
      <c r="A593" t="s">
        <v>216</v>
      </c>
      <c r="B593" s="29" t="s">
        <v>26</v>
      </c>
      <c r="C593" s="29">
        <v>2</v>
      </c>
      <c r="D593" s="29">
        <v>7</v>
      </c>
      <c r="E593" s="2" t="s">
        <v>239</v>
      </c>
      <c r="F593" s="22" t="s">
        <v>65</v>
      </c>
      <c r="G593" s="117">
        <f>G587*0.0126</f>
        <v>30504.6</v>
      </c>
      <c r="H593" s="190" t="e">
        <f>H587*0.0126</f>
        <v>#REF!</v>
      </c>
    </row>
    <row r="594" spans="1:8" hidden="1" x14ac:dyDescent="0.35">
      <c r="A594" t="s">
        <v>216</v>
      </c>
      <c r="B594" s="29" t="s">
        <v>26</v>
      </c>
      <c r="C594" s="29">
        <v>2</v>
      </c>
      <c r="D594" s="29">
        <v>8</v>
      </c>
      <c r="E594" s="2" t="s">
        <v>239</v>
      </c>
      <c r="F594" s="22" t="s">
        <v>63</v>
      </c>
      <c r="G594" s="117">
        <f>G587*0.018</f>
        <v>43578</v>
      </c>
      <c r="H594" s="190" t="e">
        <f>H587*0.018</f>
        <v>#REF!</v>
      </c>
    </row>
    <row r="595" spans="1:8" hidden="1" x14ac:dyDescent="0.35">
      <c r="A595" t="s">
        <v>216</v>
      </c>
      <c r="B595" s="29" t="s">
        <v>26</v>
      </c>
      <c r="C595" s="29">
        <v>2</v>
      </c>
      <c r="D595" s="29">
        <v>9</v>
      </c>
      <c r="E595" s="2" t="s">
        <v>239</v>
      </c>
      <c r="F595" s="22" t="s">
        <v>64</v>
      </c>
      <c r="G595" s="117">
        <f>G587*0.008</f>
        <v>19368</v>
      </c>
      <c r="H595" s="190" t="e">
        <f>H587*0.008</f>
        <v>#REF!</v>
      </c>
    </row>
    <row r="596" spans="1:8" hidden="1" x14ac:dyDescent="0.35">
      <c r="A596" t="s">
        <v>216</v>
      </c>
      <c r="B596" s="29" t="s">
        <v>26</v>
      </c>
      <c r="C596" s="29">
        <v>2</v>
      </c>
      <c r="D596" s="29">
        <v>10</v>
      </c>
      <c r="E596" s="2" t="s">
        <v>236</v>
      </c>
      <c r="F596" s="22" t="s">
        <v>77</v>
      </c>
      <c r="G596" s="117">
        <v>144000</v>
      </c>
      <c r="H596" s="117" t="e">
        <f>#REF!</f>
        <v>#REF!</v>
      </c>
    </row>
    <row r="597" spans="1:8" hidden="1" x14ac:dyDescent="0.35">
      <c r="A597" t="s">
        <v>216</v>
      </c>
      <c r="B597" s="29" t="s">
        <v>26</v>
      </c>
      <c r="C597" s="29">
        <v>2</v>
      </c>
      <c r="D597" s="29">
        <v>11</v>
      </c>
      <c r="E597" s="2" t="s">
        <v>239</v>
      </c>
      <c r="F597" t="s">
        <v>74</v>
      </c>
      <c r="G597" s="117">
        <f>G596*0.0145</f>
        <v>2088</v>
      </c>
      <c r="H597" s="117" t="e">
        <f>H596*0.0145</f>
        <v>#REF!</v>
      </c>
    </row>
    <row r="598" spans="1:8" hidden="1" x14ac:dyDescent="0.35">
      <c r="A598" t="s">
        <v>216</v>
      </c>
      <c r="B598" s="29" t="s">
        <v>26</v>
      </c>
      <c r="C598" s="29">
        <v>2</v>
      </c>
      <c r="D598" s="29">
        <v>12</v>
      </c>
      <c r="E598" s="2" t="s">
        <v>239</v>
      </c>
      <c r="F598" s="22" t="s">
        <v>76</v>
      </c>
      <c r="G598" s="117"/>
      <c r="H598" s="190" t="e">
        <f>(#REF!*6334.56)</f>
        <v>#REF!</v>
      </c>
    </row>
    <row r="599" spans="1:8" hidden="1" x14ac:dyDescent="0.35">
      <c r="A599" t="s">
        <v>216</v>
      </c>
      <c r="B599" s="29" t="s">
        <v>26</v>
      </c>
      <c r="C599" s="29">
        <v>2</v>
      </c>
      <c r="D599" s="29">
        <v>13</v>
      </c>
      <c r="E599" s="2" t="s">
        <v>239</v>
      </c>
      <c r="F599" s="22" t="s">
        <v>75</v>
      </c>
      <c r="G599" s="117">
        <f>G596*0.0126</f>
        <v>1814.4</v>
      </c>
      <c r="H599" s="117" t="e">
        <f>H596*0.0126</f>
        <v>#REF!</v>
      </c>
    </row>
    <row r="600" spans="1:8" hidden="1" x14ac:dyDescent="0.35">
      <c r="A600" t="s">
        <v>216</v>
      </c>
      <c r="B600" s="29" t="s">
        <v>26</v>
      </c>
      <c r="C600" s="29">
        <v>2</v>
      </c>
      <c r="D600" s="29">
        <v>14</v>
      </c>
      <c r="E600" s="2" t="s">
        <v>239</v>
      </c>
      <c r="F600" s="22" t="s">
        <v>87</v>
      </c>
      <c r="G600" s="117">
        <f>G596*0.018</f>
        <v>2592</v>
      </c>
      <c r="H600" s="117" t="e">
        <f>H596*0.018</f>
        <v>#REF!</v>
      </c>
    </row>
    <row r="601" spans="1:8" hidden="1" x14ac:dyDescent="0.35">
      <c r="A601" t="s">
        <v>216</v>
      </c>
      <c r="B601" s="29" t="s">
        <v>26</v>
      </c>
      <c r="C601" s="29">
        <v>2</v>
      </c>
      <c r="D601" s="29">
        <v>15</v>
      </c>
      <c r="E601" s="2" t="s">
        <v>239</v>
      </c>
      <c r="F601" s="22" t="s">
        <v>88</v>
      </c>
      <c r="G601" s="117">
        <f>G596*0.008</f>
        <v>1152</v>
      </c>
      <c r="H601" s="117" t="e">
        <f>H596*0.008</f>
        <v>#REF!</v>
      </c>
    </row>
    <row r="602" spans="1:8" hidden="1" x14ac:dyDescent="0.35">
      <c r="A602" t="s">
        <v>216</v>
      </c>
      <c r="B602" s="29" t="s">
        <v>26</v>
      </c>
      <c r="C602" s="29">
        <v>2</v>
      </c>
      <c r="D602" s="29">
        <v>16</v>
      </c>
      <c r="E602" s="2" t="s">
        <v>237</v>
      </c>
      <c r="F602" s="16" t="s">
        <v>83</v>
      </c>
      <c r="G602" s="101">
        <v>0</v>
      </c>
      <c r="H602" s="101">
        <v>0</v>
      </c>
    </row>
    <row r="603" spans="1:8" hidden="1" x14ac:dyDescent="0.35">
      <c r="A603" t="s">
        <v>216</v>
      </c>
      <c r="B603" s="29" t="s">
        <v>26</v>
      </c>
      <c r="C603" s="29">
        <v>2</v>
      </c>
      <c r="D603" s="29">
        <v>17</v>
      </c>
      <c r="E603" s="2" t="s">
        <v>241</v>
      </c>
      <c r="F603" s="22" t="s">
        <v>29</v>
      </c>
      <c r="G603" s="117">
        <v>484500</v>
      </c>
      <c r="H603" s="190" t="e">
        <f>#REF!</f>
        <v>#REF!</v>
      </c>
    </row>
    <row r="604" spans="1:8" hidden="1" x14ac:dyDescent="0.35">
      <c r="A604" t="s">
        <v>216</v>
      </c>
      <c r="B604" s="29" t="s">
        <v>26</v>
      </c>
      <c r="C604" s="29">
        <v>2</v>
      </c>
      <c r="D604" s="29">
        <v>18</v>
      </c>
      <c r="E604" s="2" t="s">
        <v>241</v>
      </c>
      <c r="F604" t="s">
        <v>28</v>
      </c>
      <c r="G604" s="117"/>
      <c r="H604" s="117"/>
    </row>
    <row r="605" spans="1:8" hidden="1" x14ac:dyDescent="0.35">
      <c r="A605" t="s">
        <v>216</v>
      </c>
      <c r="B605" s="29" t="s">
        <v>26</v>
      </c>
      <c r="C605" s="29">
        <v>2</v>
      </c>
      <c r="D605" s="29">
        <v>19</v>
      </c>
      <c r="E605" s="2" t="s">
        <v>242</v>
      </c>
      <c r="F605" s="22" t="s">
        <v>33</v>
      </c>
      <c r="G605" s="117">
        <f>G603*0.0145</f>
        <v>7025.25</v>
      </c>
      <c r="H605" s="190" t="e">
        <f>H603*0.0145</f>
        <v>#REF!</v>
      </c>
    </row>
    <row r="606" spans="1:8" hidden="1" x14ac:dyDescent="0.35">
      <c r="A606" t="s">
        <v>216</v>
      </c>
      <c r="B606" s="29" t="s">
        <v>26</v>
      </c>
      <c r="C606" s="29">
        <v>2</v>
      </c>
      <c r="D606" s="29">
        <v>20</v>
      </c>
      <c r="E606" s="2" t="s">
        <v>242</v>
      </c>
      <c r="F606" s="22" t="s">
        <v>32</v>
      </c>
      <c r="G606" s="117">
        <v>120</v>
      </c>
      <c r="H606" s="190" t="e">
        <f>#REF!*8.4</f>
        <v>#REF!</v>
      </c>
    </row>
    <row r="607" spans="1:8" hidden="1" x14ac:dyDescent="0.35">
      <c r="A607" t="s">
        <v>216</v>
      </c>
      <c r="B607" s="29" t="s">
        <v>26</v>
      </c>
      <c r="C607" s="29">
        <v>2</v>
      </c>
      <c r="D607" s="29">
        <v>21</v>
      </c>
      <c r="E607" s="2" t="s">
        <v>242</v>
      </c>
      <c r="F607" s="22" t="s">
        <v>31</v>
      </c>
      <c r="G607" s="117"/>
      <c r="H607" s="190" t="e">
        <f>(#REF!*0.8)*6334.56</f>
        <v>#REF!</v>
      </c>
    </row>
    <row r="608" spans="1:8" hidden="1" x14ac:dyDescent="0.35">
      <c r="A608" t="s">
        <v>216</v>
      </c>
      <c r="B608" s="29" t="s">
        <v>26</v>
      </c>
      <c r="C608" s="29">
        <v>2</v>
      </c>
      <c r="D608" s="29">
        <v>22</v>
      </c>
      <c r="E608" s="2" t="s">
        <v>242</v>
      </c>
      <c r="F608" s="22" t="s">
        <v>39</v>
      </c>
      <c r="G608" s="117">
        <f>G603*0.0126</f>
        <v>6104.7</v>
      </c>
      <c r="H608" s="190" t="e">
        <f>H603*0.0126</f>
        <v>#REF!</v>
      </c>
    </row>
    <row r="609" spans="1:8" hidden="1" x14ac:dyDescent="0.35">
      <c r="A609" t="s">
        <v>216</v>
      </c>
      <c r="B609" s="29" t="s">
        <v>26</v>
      </c>
      <c r="C609" s="29">
        <v>2</v>
      </c>
      <c r="D609" s="29">
        <v>23</v>
      </c>
      <c r="E609" s="2" t="s">
        <v>242</v>
      </c>
      <c r="F609" s="22" t="s">
        <v>37</v>
      </c>
      <c r="G609" s="117">
        <f>G603*0.018</f>
        <v>8721</v>
      </c>
      <c r="H609" s="190" t="e">
        <f>H603*0.018</f>
        <v>#REF!</v>
      </c>
    </row>
    <row r="610" spans="1:8" hidden="1" x14ac:dyDescent="0.35">
      <c r="A610" t="s">
        <v>216</v>
      </c>
      <c r="B610" s="29" t="s">
        <v>26</v>
      </c>
      <c r="C610" s="29">
        <v>2</v>
      </c>
      <c r="D610" s="29">
        <v>24</v>
      </c>
      <c r="E610" s="2" t="s">
        <v>242</v>
      </c>
      <c r="F610" s="22" t="s">
        <v>38</v>
      </c>
      <c r="G610" s="117">
        <f>G603*0.008</f>
        <v>3876</v>
      </c>
      <c r="H610" s="190" t="e">
        <f>H603*0.008</f>
        <v>#REF!</v>
      </c>
    </row>
    <row r="611" spans="1:8" hidden="1" x14ac:dyDescent="0.35">
      <c r="A611" t="s">
        <v>216</v>
      </c>
      <c r="B611" s="29" t="s">
        <v>26</v>
      </c>
      <c r="C611" s="29">
        <v>2</v>
      </c>
      <c r="D611" s="29">
        <v>25</v>
      </c>
      <c r="E611" t="s">
        <v>243</v>
      </c>
      <c r="F611" t="s">
        <v>25</v>
      </c>
      <c r="G611" s="101"/>
      <c r="H611" s="182"/>
    </row>
    <row r="612" spans="1:8" hidden="1" x14ac:dyDescent="0.35">
      <c r="A612" t="s">
        <v>216</v>
      </c>
      <c r="B612" s="29" t="s">
        <v>26</v>
      </c>
      <c r="C612" s="29">
        <v>2</v>
      </c>
      <c r="D612" s="29">
        <v>26</v>
      </c>
      <c r="E612" t="s">
        <v>244</v>
      </c>
      <c r="F612" s="16" t="s">
        <v>43</v>
      </c>
      <c r="G612" s="117"/>
      <c r="H612" s="117"/>
    </row>
    <row r="613" spans="1:8" hidden="1" x14ac:dyDescent="0.35">
      <c r="A613" t="s">
        <v>216</v>
      </c>
      <c r="B613" s="29" t="s">
        <v>26</v>
      </c>
      <c r="C613" s="29">
        <v>2</v>
      </c>
      <c r="D613" s="29">
        <v>27</v>
      </c>
      <c r="E613" s="2" t="s">
        <v>245</v>
      </c>
      <c r="F613" s="22" t="s">
        <v>339</v>
      </c>
      <c r="G613" s="117">
        <v>200000</v>
      </c>
      <c r="H613" s="117">
        <v>200000</v>
      </c>
    </row>
    <row r="614" spans="1:8" hidden="1" x14ac:dyDescent="0.35">
      <c r="A614" t="s">
        <v>216</v>
      </c>
      <c r="B614" s="29" t="s">
        <v>26</v>
      </c>
      <c r="C614" s="29">
        <v>2</v>
      </c>
      <c r="D614" s="29">
        <v>28</v>
      </c>
      <c r="E614" s="2" t="s">
        <v>247</v>
      </c>
      <c r="F614" s="16" t="s">
        <v>82</v>
      </c>
      <c r="G614" s="117">
        <v>20000</v>
      </c>
      <c r="H614" s="117">
        <v>20000</v>
      </c>
    </row>
    <row r="615" spans="1:8" hidden="1" x14ac:dyDescent="0.35">
      <c r="A615" t="s">
        <v>216</v>
      </c>
      <c r="B615" s="29" t="s">
        <v>26</v>
      </c>
      <c r="C615" s="29">
        <v>2</v>
      </c>
      <c r="D615" s="29">
        <v>29</v>
      </c>
      <c r="E615" s="2" t="s">
        <v>248</v>
      </c>
      <c r="F615" s="16" t="s">
        <v>340</v>
      </c>
      <c r="G615" s="117">
        <v>40000</v>
      </c>
      <c r="H615" s="117">
        <v>40000</v>
      </c>
    </row>
    <row r="616" spans="1:8" hidden="1" x14ac:dyDescent="0.35">
      <c r="A616" t="s">
        <v>216</v>
      </c>
      <c r="B616" s="29" t="s">
        <v>26</v>
      </c>
      <c r="C616" s="29">
        <v>2</v>
      </c>
      <c r="D616" s="29">
        <v>30</v>
      </c>
      <c r="E616" s="2" t="s">
        <v>248</v>
      </c>
      <c r="F616" s="16" t="s">
        <v>341</v>
      </c>
      <c r="G616" s="117">
        <v>265000</v>
      </c>
      <c r="H616" s="117">
        <v>265000</v>
      </c>
    </row>
    <row r="617" spans="1:8" hidden="1" x14ac:dyDescent="0.35">
      <c r="A617" t="s">
        <v>216</v>
      </c>
      <c r="B617" s="29" t="s">
        <v>26</v>
      </c>
      <c r="C617" s="29">
        <v>2</v>
      </c>
      <c r="D617" s="29">
        <v>31</v>
      </c>
      <c r="E617" s="2" t="s">
        <v>248</v>
      </c>
      <c r="F617" s="16" t="s">
        <v>36</v>
      </c>
      <c r="G617" s="119">
        <v>750000</v>
      </c>
      <c r="H617" s="190">
        <v>821000</v>
      </c>
    </row>
    <row r="618" spans="1:8" hidden="1" x14ac:dyDescent="0.35">
      <c r="A618" t="s">
        <v>216</v>
      </c>
      <c r="B618" s="29" t="s">
        <v>26</v>
      </c>
      <c r="C618" s="29">
        <v>2</v>
      </c>
      <c r="D618" s="29">
        <v>32</v>
      </c>
      <c r="E618" t="s">
        <v>49</v>
      </c>
      <c r="F618" s="16" t="s">
        <v>49</v>
      </c>
      <c r="G618" s="117"/>
      <c r="H618" s="190">
        <v>20000</v>
      </c>
    </row>
    <row r="619" spans="1:8" hidden="1" x14ac:dyDescent="0.35">
      <c r="A619" t="s">
        <v>216</v>
      </c>
      <c r="B619" s="29" t="s">
        <v>26</v>
      </c>
      <c r="C619" s="29">
        <v>2</v>
      </c>
      <c r="D619" s="29">
        <v>33</v>
      </c>
      <c r="E619" s="2" t="s">
        <v>249</v>
      </c>
      <c r="F619" s="23" t="s">
        <v>73</v>
      </c>
      <c r="G619" s="117">
        <v>60000</v>
      </c>
      <c r="H619" s="117">
        <v>60000</v>
      </c>
    </row>
    <row r="620" spans="1:8" hidden="1" x14ac:dyDescent="0.35">
      <c r="A620" t="s">
        <v>216</v>
      </c>
      <c r="B620" s="29" t="s">
        <v>26</v>
      </c>
      <c r="C620" s="29">
        <v>2</v>
      </c>
      <c r="D620" s="29">
        <v>34</v>
      </c>
      <c r="E620" s="2" t="s">
        <v>249</v>
      </c>
      <c r="F620" s="23" t="s">
        <v>50</v>
      </c>
      <c r="G620" s="117"/>
      <c r="H620" s="117"/>
    </row>
    <row r="621" spans="1:8" hidden="1" x14ac:dyDescent="0.35">
      <c r="A621" t="s">
        <v>216</v>
      </c>
      <c r="B621" s="29" t="s">
        <v>26</v>
      </c>
      <c r="C621" s="29">
        <v>2</v>
      </c>
      <c r="D621" s="29">
        <v>35</v>
      </c>
      <c r="E621" s="2" t="s">
        <v>250</v>
      </c>
      <c r="F621" s="23" t="s">
        <v>342</v>
      </c>
      <c r="G621" s="117">
        <v>0</v>
      </c>
      <c r="H621" s="117">
        <v>0</v>
      </c>
    </row>
    <row r="622" spans="1:8" hidden="1" x14ac:dyDescent="0.35">
      <c r="A622" t="s">
        <v>216</v>
      </c>
      <c r="B622" s="29" t="s">
        <v>26</v>
      </c>
      <c r="C622" s="29">
        <v>2</v>
      </c>
      <c r="D622" s="29">
        <v>36</v>
      </c>
      <c r="E622" s="2" t="s">
        <v>250</v>
      </c>
      <c r="F622" s="2" t="s">
        <v>281</v>
      </c>
      <c r="G622" s="117"/>
      <c r="H622" s="117"/>
    </row>
    <row r="623" spans="1:8" hidden="1" x14ac:dyDescent="0.35">
      <c r="A623" t="s">
        <v>216</v>
      </c>
      <c r="B623" s="29" t="s">
        <v>26</v>
      </c>
      <c r="C623" s="29">
        <v>2</v>
      </c>
      <c r="D623" s="29">
        <v>37</v>
      </c>
      <c r="E623" s="2" t="s">
        <v>250</v>
      </c>
      <c r="F623" s="2" t="s">
        <v>282</v>
      </c>
      <c r="G623" s="117">
        <v>6125</v>
      </c>
      <c r="H623" s="117">
        <v>6125</v>
      </c>
    </row>
    <row r="624" spans="1:8" hidden="1" x14ac:dyDescent="0.35">
      <c r="A624" t="s">
        <v>216</v>
      </c>
      <c r="B624" s="29" t="s">
        <v>26</v>
      </c>
      <c r="C624" s="29">
        <v>2</v>
      </c>
      <c r="D624" s="29">
        <v>38</v>
      </c>
      <c r="E624" s="2" t="s">
        <v>250</v>
      </c>
      <c r="F624" s="2" t="s">
        <v>251</v>
      </c>
      <c r="G624" s="117">
        <v>44550</v>
      </c>
      <c r="H624" s="117">
        <v>44550</v>
      </c>
    </row>
    <row r="625" spans="1:8" hidden="1" x14ac:dyDescent="0.35">
      <c r="A625" t="s">
        <v>216</v>
      </c>
      <c r="B625" s="29" t="s">
        <v>26</v>
      </c>
      <c r="C625" s="29">
        <v>2</v>
      </c>
      <c r="D625" s="29">
        <v>39</v>
      </c>
      <c r="E625" s="2" t="s">
        <v>250</v>
      </c>
      <c r="F625" s="2" t="s">
        <v>56</v>
      </c>
      <c r="G625" s="117">
        <v>6200</v>
      </c>
      <c r="H625" s="117">
        <v>6200</v>
      </c>
    </row>
    <row r="626" spans="1:8" hidden="1" x14ac:dyDescent="0.35">
      <c r="A626" t="s">
        <v>216</v>
      </c>
      <c r="B626" s="29" t="s">
        <v>26</v>
      </c>
      <c r="C626" s="29">
        <v>2</v>
      </c>
      <c r="D626" s="29">
        <v>40</v>
      </c>
      <c r="E626" s="2" t="s">
        <v>250</v>
      </c>
      <c r="F626" s="2" t="s">
        <v>53</v>
      </c>
      <c r="G626" s="117">
        <v>50000</v>
      </c>
      <c r="H626" s="117">
        <v>50000</v>
      </c>
    </row>
    <row r="627" spans="1:8" hidden="1" x14ac:dyDescent="0.35">
      <c r="A627" t="s">
        <v>216</v>
      </c>
      <c r="B627" s="29" t="s">
        <v>26</v>
      </c>
      <c r="C627" s="29">
        <v>2</v>
      </c>
      <c r="D627" s="29">
        <v>41</v>
      </c>
      <c r="E627" s="2" t="s">
        <v>250</v>
      </c>
      <c r="F627" s="2" t="s">
        <v>55</v>
      </c>
      <c r="G627" s="117">
        <v>20000</v>
      </c>
      <c r="H627" s="117">
        <v>20000</v>
      </c>
    </row>
    <row r="628" spans="1:8" hidden="1" x14ac:dyDescent="0.35">
      <c r="A628" t="s">
        <v>216</v>
      </c>
      <c r="B628" s="29" t="s">
        <v>26</v>
      </c>
      <c r="C628" s="29">
        <v>2</v>
      </c>
      <c r="D628" s="29">
        <v>42</v>
      </c>
      <c r="E628" s="2" t="s">
        <v>250</v>
      </c>
      <c r="F628" s="2" t="s">
        <v>54</v>
      </c>
      <c r="G628" s="117">
        <v>5450</v>
      </c>
      <c r="H628" s="117">
        <v>5450</v>
      </c>
    </row>
    <row r="629" spans="1:8" hidden="1" x14ac:dyDescent="0.35">
      <c r="A629" t="s">
        <v>216</v>
      </c>
      <c r="B629" s="29" t="s">
        <v>26</v>
      </c>
      <c r="C629" s="29">
        <v>2</v>
      </c>
      <c r="D629" s="29">
        <v>43</v>
      </c>
      <c r="E629" s="2" t="s">
        <v>250</v>
      </c>
      <c r="F629" t="s">
        <v>47</v>
      </c>
      <c r="G629" s="117">
        <v>10000</v>
      </c>
      <c r="H629" s="117">
        <v>10000</v>
      </c>
    </row>
    <row r="630" spans="1:8" hidden="1" x14ac:dyDescent="0.35">
      <c r="A630" t="s">
        <v>216</v>
      </c>
      <c r="B630" s="29" t="s">
        <v>26</v>
      </c>
      <c r="C630" s="29">
        <v>2</v>
      </c>
      <c r="D630" s="29">
        <v>44</v>
      </c>
      <c r="E630" s="2" t="s">
        <v>252</v>
      </c>
      <c r="F630" s="23" t="s">
        <v>45</v>
      </c>
      <c r="G630" s="119">
        <v>130000</v>
      </c>
      <c r="H630" s="119">
        <v>130000</v>
      </c>
    </row>
    <row r="631" spans="1:8" hidden="1" x14ac:dyDescent="0.35">
      <c r="A631" t="s">
        <v>216</v>
      </c>
      <c r="B631" s="29" t="s">
        <v>26</v>
      </c>
      <c r="C631" s="29">
        <v>2</v>
      </c>
      <c r="D631" s="29">
        <v>45</v>
      </c>
      <c r="E631" s="2" t="s">
        <v>252</v>
      </c>
      <c r="F631" s="23" t="s">
        <v>46</v>
      </c>
      <c r="G631" s="119">
        <v>60000</v>
      </c>
      <c r="H631" s="119">
        <v>60000</v>
      </c>
    </row>
    <row r="632" spans="1:8" hidden="1" x14ac:dyDescent="0.35">
      <c r="A632" t="s">
        <v>216</v>
      </c>
      <c r="B632" s="29" t="s">
        <v>26</v>
      </c>
      <c r="C632" s="29">
        <v>2</v>
      </c>
      <c r="D632" s="29">
        <v>46</v>
      </c>
      <c r="E632" s="2" t="s">
        <v>252</v>
      </c>
      <c r="F632" s="2" t="s">
        <v>78</v>
      </c>
      <c r="G632" s="119">
        <v>60000</v>
      </c>
      <c r="H632" s="119">
        <v>60000</v>
      </c>
    </row>
    <row r="633" spans="1:8" hidden="1" x14ac:dyDescent="0.35">
      <c r="A633" t="s">
        <v>216</v>
      </c>
      <c r="B633" s="29" t="s">
        <v>26</v>
      </c>
      <c r="C633" s="29">
        <v>2</v>
      </c>
      <c r="D633" s="29">
        <v>47</v>
      </c>
      <c r="E633" s="2" t="s">
        <v>252</v>
      </c>
      <c r="F633" t="s">
        <v>48</v>
      </c>
      <c r="G633" s="119">
        <v>12000</v>
      </c>
      <c r="H633" s="119">
        <v>12000</v>
      </c>
    </row>
    <row r="634" spans="1:8" hidden="1" x14ac:dyDescent="0.35">
      <c r="A634" t="s">
        <v>216</v>
      </c>
      <c r="B634" s="29" t="s">
        <v>26</v>
      </c>
      <c r="C634" s="29">
        <v>2</v>
      </c>
      <c r="D634" s="29">
        <v>48</v>
      </c>
      <c r="E634" s="2" t="s">
        <v>253</v>
      </c>
      <c r="F634" t="s">
        <v>79</v>
      </c>
      <c r="G634" s="117"/>
      <c r="H634" s="117"/>
    </row>
    <row r="635" spans="1:8" hidden="1" x14ac:dyDescent="0.35">
      <c r="A635" t="s">
        <v>216</v>
      </c>
      <c r="B635" s="29" t="s">
        <v>26</v>
      </c>
      <c r="C635" s="29">
        <v>2</v>
      </c>
      <c r="D635" s="29">
        <v>49</v>
      </c>
      <c r="E635" s="2" t="s">
        <v>253</v>
      </c>
      <c r="F635" t="s">
        <v>80</v>
      </c>
      <c r="G635" s="117"/>
      <c r="H635" s="117"/>
    </row>
    <row r="636" spans="1:8" hidden="1" x14ac:dyDescent="0.35">
      <c r="A636" t="s">
        <v>216</v>
      </c>
      <c r="B636" s="29" t="s">
        <v>26</v>
      </c>
      <c r="C636" s="29">
        <v>2</v>
      </c>
      <c r="D636" s="29">
        <v>50</v>
      </c>
      <c r="E636" s="2" t="s">
        <v>253</v>
      </c>
      <c r="F636" t="s">
        <v>81</v>
      </c>
      <c r="G636" s="117"/>
      <c r="H636" s="117"/>
    </row>
    <row r="637" spans="1:8" hidden="1" x14ac:dyDescent="0.35">
      <c r="A637" t="s">
        <v>216</v>
      </c>
      <c r="B637" s="29" t="s">
        <v>26</v>
      </c>
      <c r="C637" s="29">
        <v>2</v>
      </c>
      <c r="D637" s="29">
        <v>51</v>
      </c>
      <c r="E637" s="2" t="s">
        <v>252</v>
      </c>
      <c r="F637" s="2" t="s">
        <v>42</v>
      </c>
      <c r="G637" s="117">
        <v>300</v>
      </c>
      <c r="H637" s="117">
        <v>300</v>
      </c>
    </row>
    <row r="638" spans="1:8" hidden="1" x14ac:dyDescent="0.35">
      <c r="A638" t="s">
        <v>216</v>
      </c>
      <c r="B638" s="29" t="s">
        <v>26</v>
      </c>
      <c r="C638" s="29">
        <v>2</v>
      </c>
      <c r="D638" s="29">
        <v>52</v>
      </c>
      <c r="E638" s="2" t="s">
        <v>252</v>
      </c>
      <c r="F638" s="2" t="s">
        <v>41</v>
      </c>
      <c r="G638" s="117">
        <v>15000</v>
      </c>
      <c r="H638" s="117">
        <v>15000</v>
      </c>
    </row>
    <row r="639" spans="1:8" hidden="1" x14ac:dyDescent="0.35">
      <c r="A639" t="s">
        <v>216</v>
      </c>
      <c r="B639" s="29" t="s">
        <v>26</v>
      </c>
      <c r="C639" s="29">
        <v>2</v>
      </c>
      <c r="D639" s="29">
        <v>53</v>
      </c>
      <c r="E639" s="2" t="s">
        <v>252</v>
      </c>
      <c r="F639" s="2" t="s">
        <v>85</v>
      </c>
      <c r="G639" s="117">
        <v>2620.7472000000002</v>
      </c>
      <c r="H639" s="117">
        <v>2620.7472000000002</v>
      </c>
    </row>
    <row r="640" spans="1:8" hidden="1" x14ac:dyDescent="0.35">
      <c r="A640" t="s">
        <v>216</v>
      </c>
      <c r="B640" s="29" t="s">
        <v>26</v>
      </c>
      <c r="C640" s="29">
        <v>2</v>
      </c>
      <c r="D640" s="29">
        <v>54</v>
      </c>
      <c r="E640" s="2" t="s">
        <v>254</v>
      </c>
      <c r="F640" s="2" t="s">
        <v>66</v>
      </c>
      <c r="G640" s="117">
        <v>10000</v>
      </c>
      <c r="H640" s="117">
        <v>10000</v>
      </c>
    </row>
    <row r="641" spans="1:8" hidden="1" x14ac:dyDescent="0.35">
      <c r="A641" t="s">
        <v>216</v>
      </c>
      <c r="B641" s="29" t="s">
        <v>26</v>
      </c>
      <c r="C641" s="29">
        <v>2</v>
      </c>
      <c r="D641" s="29">
        <v>55</v>
      </c>
      <c r="E641" s="2" t="s">
        <v>254</v>
      </c>
      <c r="F641" s="16" t="s">
        <v>68</v>
      </c>
      <c r="G641" s="117">
        <v>5500</v>
      </c>
      <c r="H641" s="117">
        <v>5500</v>
      </c>
    </row>
    <row r="642" spans="1:8" hidden="1" x14ac:dyDescent="0.35">
      <c r="A642" t="s">
        <v>216</v>
      </c>
      <c r="B642" s="29" t="s">
        <v>26</v>
      </c>
      <c r="C642" s="29">
        <v>2</v>
      </c>
      <c r="D642" s="29">
        <v>56</v>
      </c>
      <c r="E642" s="2" t="s">
        <v>254</v>
      </c>
      <c r="F642" s="2" t="s">
        <v>71</v>
      </c>
      <c r="G642" s="117">
        <v>5000</v>
      </c>
      <c r="H642" s="117">
        <v>5000</v>
      </c>
    </row>
    <row r="643" spans="1:8" hidden="1" x14ac:dyDescent="0.35">
      <c r="A643" t="s">
        <v>216</v>
      </c>
      <c r="B643" s="29" t="s">
        <v>26</v>
      </c>
      <c r="C643" s="29">
        <v>2</v>
      </c>
      <c r="D643" s="29">
        <v>57</v>
      </c>
      <c r="E643" s="2" t="s">
        <v>255</v>
      </c>
      <c r="F643" s="2" t="s">
        <v>70</v>
      </c>
      <c r="G643" s="117">
        <v>2000</v>
      </c>
      <c r="H643" s="117">
        <v>2000</v>
      </c>
    </row>
    <row r="644" spans="1:8" hidden="1" x14ac:dyDescent="0.35">
      <c r="A644" t="s">
        <v>216</v>
      </c>
      <c r="B644" s="29" t="s">
        <v>26</v>
      </c>
      <c r="C644" s="29">
        <v>2</v>
      </c>
      <c r="D644" s="29">
        <v>58</v>
      </c>
      <c r="E644" s="2" t="s">
        <v>248</v>
      </c>
      <c r="F644" t="s">
        <v>72</v>
      </c>
      <c r="G644" s="117"/>
      <c r="H644" s="117"/>
    </row>
    <row r="645" spans="1:8" hidden="1" x14ac:dyDescent="0.35">
      <c r="A645" t="s">
        <v>216</v>
      </c>
      <c r="B645" s="29" t="s">
        <v>26</v>
      </c>
      <c r="C645" s="29">
        <v>2</v>
      </c>
      <c r="D645" s="29">
        <v>59</v>
      </c>
      <c r="E645" s="2" t="s">
        <v>255</v>
      </c>
      <c r="F645" s="16" t="s">
        <v>30</v>
      </c>
      <c r="G645" s="117"/>
      <c r="H645" s="117"/>
    </row>
    <row r="646" spans="1:8" hidden="1" x14ac:dyDescent="0.35">
      <c r="A646" t="s">
        <v>216</v>
      </c>
      <c r="B646" s="29" t="s">
        <v>26</v>
      </c>
      <c r="C646" s="29">
        <v>2</v>
      </c>
      <c r="D646" s="29">
        <v>60</v>
      </c>
      <c r="E646" s="2" t="s">
        <v>248</v>
      </c>
      <c r="F646" s="16" t="s">
        <v>40</v>
      </c>
      <c r="G646" s="117"/>
      <c r="H646" s="117"/>
    </row>
    <row r="647" spans="1:8" hidden="1" x14ac:dyDescent="0.35">
      <c r="A647" t="s">
        <v>216</v>
      </c>
      <c r="B647" s="29" t="s">
        <v>26</v>
      </c>
      <c r="C647" s="29">
        <v>2</v>
      </c>
      <c r="D647" s="29">
        <v>61</v>
      </c>
      <c r="E647" s="2" t="s">
        <v>256</v>
      </c>
      <c r="F647" s="2" t="s">
        <v>69</v>
      </c>
      <c r="G647" s="117">
        <v>20000</v>
      </c>
      <c r="H647" s="117">
        <v>20000</v>
      </c>
    </row>
    <row r="648" spans="1:8" hidden="1" x14ac:dyDescent="0.35">
      <c r="A648" t="s">
        <v>216</v>
      </c>
      <c r="B648" s="29" t="s">
        <v>26</v>
      </c>
      <c r="C648" s="29">
        <v>2</v>
      </c>
      <c r="D648" s="29">
        <v>62</v>
      </c>
      <c r="E648" s="2" t="s">
        <v>257</v>
      </c>
      <c r="F648" s="2" t="s">
        <v>44</v>
      </c>
      <c r="G648" s="117"/>
      <c r="H648" s="117"/>
    </row>
    <row r="649" spans="1:8" hidden="1" x14ac:dyDescent="0.35">
      <c r="A649" t="s">
        <v>216</v>
      </c>
      <c r="B649" s="29" t="s">
        <v>26</v>
      </c>
      <c r="C649" s="29">
        <v>2</v>
      </c>
      <c r="D649" s="29">
        <v>63</v>
      </c>
      <c r="E649" s="2" t="s">
        <v>257</v>
      </c>
      <c r="F649" s="2" t="s">
        <v>67</v>
      </c>
      <c r="G649" s="192">
        <v>10000</v>
      </c>
      <c r="H649" s="192">
        <v>10000</v>
      </c>
    </row>
  </sheetData>
  <protectedRanges>
    <protectedRange algorithmName="SHA-512" hashValue="sib5Nlt62x8Cjehj5QpvQOfZQRWFyVXdW4ymlOfnLMMNdxZw1XVdONARla6+9R164l5kN77+d8cnUihMlL+w0A==" saltValue="TiYlffcKhraV9z9Br0ykmA==" spinCount="100000" sqref="G15 G50:G73" name="Range1"/>
    <protectedRange algorithmName="SHA-512" hashValue="sib5Nlt62x8Cjehj5QpvQOfZQRWFyVXdW4ymlOfnLMMNdxZw1XVdONARla6+9R164l5kN77+d8cnUihMlL+w0A==" saltValue="TiYlffcKhraV9z9Br0ykmA==" spinCount="100000" sqref="G74:G163" name="Range1_1"/>
    <protectedRange algorithmName="SHA-512" hashValue="sib5Nlt62x8Cjehj5QpvQOfZQRWFyVXdW4ymlOfnLMMNdxZw1XVdONARla6+9R164l5kN77+d8cnUihMlL+w0A==" saltValue="TiYlffcKhraV9z9Br0ykmA==" spinCount="100000" sqref="G198" name="Range1_2"/>
    <protectedRange algorithmName="SHA-512" hashValue="sib5Nlt62x8Cjehj5QpvQOfZQRWFyVXdW4ymlOfnLMMNdxZw1XVdONARla6+9R164l5kN77+d8cnUihMlL+w0A==" saltValue="TiYlffcKhraV9z9Br0ykmA==" spinCount="100000" sqref="G314" name="Range1_3"/>
  </protectedRanges>
  <autoFilter ref="A1:H649" xr:uid="{621EDBC7-BB2F-42C0-A9ED-7C27B90C0876}">
    <filterColumn colId="5">
      <filters>
        <filter val="Title I"/>
        <filter val="Title I - Parent Activities"/>
        <filter val="Title I Grant Funding"/>
        <filter val="Title I Homeless"/>
        <filter val="Title IA"/>
        <filter val="Title IA - Parent Activities"/>
        <filter val="Title II"/>
        <filter val="Title II Revenue"/>
        <filter val="Title IIA"/>
        <filter val="Title III"/>
        <filter val="Title III ELLA"/>
        <filter val="Title IIIA ELLA"/>
        <filter val="Title IV"/>
        <filter val="Title IV Revenue"/>
      </filters>
    </filterColumn>
    <sortState xmlns:xlrd2="http://schemas.microsoft.com/office/spreadsheetml/2017/richdata2" ref="A14:H575">
      <sortCondition ref="F1:F649"/>
    </sortState>
  </autoFilter>
  <phoneticPr fontId="18" type="noConversion"/>
  <dataValidations count="1">
    <dataValidation type="list" allowBlank="1" showInputMessage="1" showErrorMessage="1" sqref="E91 E164:E182 E199:E268 E305 E300 E323 E185:E197" xr:uid="{CA8D7080-6979-4F30-B0B2-D29BF2E441A2}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6FA7-33A2-4B0C-9569-D81042F18C45}">
  <sheetPr>
    <tabColor theme="7" tint="0.79998168889431442"/>
  </sheetPr>
  <dimension ref="A1:N93"/>
  <sheetViews>
    <sheetView topLeftCell="C45" zoomScaleNormal="100" workbookViewId="0">
      <selection activeCell="C90" sqref="C90:J93"/>
    </sheetView>
  </sheetViews>
  <sheetFormatPr defaultRowHeight="14.5" x14ac:dyDescent="0.35"/>
  <cols>
    <col min="1" max="1" width="0" hidden="1" customWidth="1"/>
    <col min="2" max="2" width="29.453125" customWidth="1"/>
    <col min="3" max="3" width="56.81640625" customWidth="1"/>
    <col min="4" max="5" width="15.54296875" customWidth="1"/>
    <col min="6" max="6" width="12.7265625" hidden="1" customWidth="1"/>
    <col min="7" max="7" width="15.26953125" hidden="1" customWidth="1"/>
    <col min="8" max="8" width="12" hidden="1" customWidth="1"/>
    <col min="9" max="9" width="13.1796875" hidden="1" customWidth="1"/>
    <col min="11" max="11" width="25.1796875" customWidth="1"/>
    <col min="14" max="14" width="12" bestFit="1" customWidth="1"/>
  </cols>
  <sheetData>
    <row r="1" spans="1:14" ht="18" customHeight="1" x14ac:dyDescent="0.35">
      <c r="B1" s="1272" t="s">
        <v>723</v>
      </c>
      <c r="C1" s="1272"/>
      <c r="D1" s="1272"/>
      <c r="E1" s="1272"/>
      <c r="F1" s="1272"/>
      <c r="G1" s="1272"/>
      <c r="H1" s="1272"/>
      <c r="I1" s="1272"/>
    </row>
    <row r="2" spans="1:14" s="74" customFormat="1" ht="15.65" customHeight="1" x14ac:dyDescent="0.35">
      <c r="B2" s="136" t="s">
        <v>596</v>
      </c>
      <c r="C2" s="136"/>
      <c r="D2" s="136"/>
      <c r="E2" s="296" t="s">
        <v>535</v>
      </c>
      <c r="F2" s="136"/>
      <c r="G2" s="136"/>
      <c r="H2" s="136"/>
      <c r="I2" s="136"/>
    </row>
    <row r="3" spans="1:14" x14ac:dyDescent="0.35">
      <c r="C3" s="16"/>
      <c r="D3" s="16"/>
      <c r="E3" s="129" t="s">
        <v>536</v>
      </c>
    </row>
    <row r="4" spans="1:14" x14ac:dyDescent="0.35">
      <c r="A4" t="s">
        <v>537</v>
      </c>
      <c r="B4" s="17" t="s">
        <v>93</v>
      </c>
      <c r="C4" s="18" t="s">
        <v>94</v>
      </c>
      <c r="D4" s="50" t="s">
        <v>598</v>
      </c>
      <c r="E4" s="50" t="s">
        <v>96</v>
      </c>
      <c r="F4" s="50" t="s">
        <v>538</v>
      </c>
      <c r="G4" s="50" t="s">
        <v>539</v>
      </c>
      <c r="H4" s="50" t="s">
        <v>540</v>
      </c>
      <c r="I4" s="50" t="s">
        <v>541</v>
      </c>
    </row>
    <row r="5" spans="1:14" x14ac:dyDescent="0.35">
      <c r="B5" s="2"/>
      <c r="C5" s="92" t="s">
        <v>599</v>
      </c>
      <c r="D5" s="112">
        <v>0.94</v>
      </c>
      <c r="E5" s="112">
        <v>0.94</v>
      </c>
    </row>
    <row r="6" spans="1:14" x14ac:dyDescent="0.35">
      <c r="B6" s="2"/>
      <c r="C6" s="19" t="s">
        <v>348</v>
      </c>
      <c r="D6" s="57">
        <v>475</v>
      </c>
      <c r="E6" s="57">
        <v>476</v>
      </c>
      <c r="F6" s="57">
        <v>500</v>
      </c>
      <c r="G6" s="57">
        <v>525</v>
      </c>
      <c r="H6" s="57">
        <v>525</v>
      </c>
      <c r="I6" s="57">
        <v>525</v>
      </c>
    </row>
    <row r="7" spans="1:14" x14ac:dyDescent="0.35">
      <c r="B7" s="2"/>
      <c r="C7" s="19" t="s">
        <v>349</v>
      </c>
      <c r="D7" s="72">
        <f>D6*D5</f>
        <v>446.5</v>
      </c>
      <c r="E7" s="72">
        <f>E6*E5</f>
        <v>447.44</v>
      </c>
      <c r="F7" s="46">
        <f>F6*0.95</f>
        <v>475</v>
      </c>
      <c r="G7" s="46">
        <f>G6*0.95</f>
        <v>498.75</v>
      </c>
      <c r="H7" s="46">
        <f>H6*0.95</f>
        <v>498.75</v>
      </c>
      <c r="I7" s="46">
        <f>I6*0.95</f>
        <v>498.75</v>
      </c>
    </row>
    <row r="8" spans="1:14" x14ac:dyDescent="0.35">
      <c r="B8" s="2"/>
      <c r="C8" s="19" t="s">
        <v>724</v>
      </c>
      <c r="D8" s="107">
        <f>(D12+D13)/D7</f>
        <v>10560.85778275476</v>
      </c>
      <c r="E8" s="107">
        <f>(E12+E13)/E7</f>
        <v>10538.671106740569</v>
      </c>
      <c r="F8" s="70">
        <f>D8+(D8*0.03)</f>
        <v>10877.683516237403</v>
      </c>
      <c r="G8" s="70">
        <f>F8+(F8*0.03)</f>
        <v>11204.014021724524</v>
      </c>
      <c r="H8" s="70">
        <f>G8+(G8*0.03)</f>
        <v>11540.13444237626</v>
      </c>
      <c r="I8" s="70">
        <f>H8+(H8*0.03)</f>
        <v>11886.338475647548</v>
      </c>
    </row>
    <row r="9" spans="1:14" x14ac:dyDescent="0.35">
      <c r="B9" s="2"/>
      <c r="C9" s="19" t="s">
        <v>725</v>
      </c>
      <c r="D9" s="107">
        <f>(D12+D13)/D6</f>
        <v>9927.2063157894736</v>
      </c>
      <c r="E9" s="107">
        <f>(E12+E13)/E6</f>
        <v>9906.3508403361338</v>
      </c>
      <c r="F9" s="70"/>
      <c r="G9" s="70"/>
      <c r="H9" s="70"/>
      <c r="I9" s="70"/>
    </row>
    <row r="10" spans="1:14" ht="14.25" customHeight="1" x14ac:dyDescent="0.35">
      <c r="D10" s="126"/>
      <c r="E10" s="126"/>
    </row>
    <row r="11" spans="1:14" x14ac:dyDescent="0.35">
      <c r="A11">
        <v>1</v>
      </c>
      <c r="B11" s="288" t="s">
        <v>7</v>
      </c>
      <c r="C11" s="289" t="s">
        <v>7</v>
      </c>
      <c r="D11" s="290">
        <v>441727</v>
      </c>
      <c r="E11" s="290">
        <v>441727</v>
      </c>
      <c r="F11" s="34">
        <f>D86</f>
        <v>150672.2527999999</v>
      </c>
      <c r="G11" s="34">
        <f>F86</f>
        <v>3594734.9505967665</v>
      </c>
      <c r="H11" s="34">
        <f>G86</f>
        <v>4092972.3321306263</v>
      </c>
      <c r="I11" s="34">
        <f>H86</f>
        <v>4237061.5020945445</v>
      </c>
    </row>
    <row r="12" spans="1:14" x14ac:dyDescent="0.35">
      <c r="A12">
        <v>2</v>
      </c>
      <c r="B12" s="2" t="s">
        <v>102</v>
      </c>
      <c r="C12" s="16" t="s">
        <v>258</v>
      </c>
      <c r="D12" s="127">
        <v>3881481</v>
      </c>
      <c r="E12" s="188">
        <v>3881481</v>
      </c>
      <c r="F12" s="64">
        <f>F7*F8</f>
        <v>5166899.6702127662</v>
      </c>
      <c r="G12" s="64">
        <f>G7*G8</f>
        <v>5588001.9933351064</v>
      </c>
      <c r="H12" s="64">
        <f>H7*H8</f>
        <v>5755642.0531351594</v>
      </c>
      <c r="I12" s="64">
        <f>I7*I8</f>
        <v>5928311.3147292146</v>
      </c>
      <c r="N12" s="125"/>
    </row>
    <row r="13" spans="1:14" x14ac:dyDescent="0.35">
      <c r="A13">
        <v>3</v>
      </c>
      <c r="B13" s="2" t="s">
        <v>102</v>
      </c>
      <c r="C13" s="16" t="s">
        <v>6</v>
      </c>
      <c r="D13" s="180">
        <v>833942</v>
      </c>
      <c r="E13" s="189">
        <v>833942</v>
      </c>
      <c r="F13" s="34"/>
      <c r="G13" s="34"/>
      <c r="H13" s="34"/>
      <c r="I13" s="34"/>
      <c r="K13" s="125"/>
    </row>
    <row r="14" spans="1:14" x14ac:dyDescent="0.35">
      <c r="A14">
        <v>4</v>
      </c>
      <c r="B14" s="2" t="s">
        <v>102</v>
      </c>
      <c r="C14" s="16" t="s">
        <v>20</v>
      </c>
      <c r="D14" s="180">
        <v>60000</v>
      </c>
      <c r="E14" s="180">
        <v>60000</v>
      </c>
      <c r="F14" s="65">
        <v>60000</v>
      </c>
      <c r="G14" s="65">
        <v>60000</v>
      </c>
      <c r="H14" s="65">
        <v>60000</v>
      </c>
      <c r="I14" s="65">
        <v>60000</v>
      </c>
    </row>
    <row r="15" spans="1:14" x14ac:dyDescent="0.35">
      <c r="A15">
        <v>5</v>
      </c>
      <c r="B15" s="2" t="s">
        <v>110</v>
      </c>
      <c r="C15" s="16" t="s">
        <v>218</v>
      </c>
      <c r="D15" s="127">
        <v>79530</v>
      </c>
      <c r="E15" s="127">
        <v>79530</v>
      </c>
      <c r="F15" s="34">
        <f t="shared" ref="F15:F20" si="0">D15+(D15*0.03)</f>
        <v>81915.899999999994</v>
      </c>
      <c r="G15" s="34">
        <f>F15+(F15*0.03)</f>
        <v>84373.376999999993</v>
      </c>
      <c r="H15" s="34">
        <f>G15+(G15*0.03)</f>
        <v>86904.578309999997</v>
      </c>
      <c r="I15" s="34">
        <f>H15+(H15*0.03)</f>
        <v>89511.715659299996</v>
      </c>
    </row>
    <row r="16" spans="1:14" x14ac:dyDescent="0.35">
      <c r="A16">
        <v>6</v>
      </c>
      <c r="B16" s="2" t="s">
        <v>110</v>
      </c>
      <c r="C16" s="16" t="s">
        <v>230</v>
      </c>
      <c r="D16" s="127">
        <v>9000</v>
      </c>
      <c r="E16" s="127">
        <v>9000</v>
      </c>
      <c r="F16" s="34">
        <f t="shared" si="0"/>
        <v>9270</v>
      </c>
      <c r="G16" s="34">
        <f t="shared" ref="G16:I20" si="1">F16+(F16*0.03)</f>
        <v>9548.1</v>
      </c>
      <c r="H16" s="34">
        <f t="shared" si="1"/>
        <v>9834.5429999999997</v>
      </c>
      <c r="I16" s="34">
        <f t="shared" si="1"/>
        <v>10129.57929</v>
      </c>
    </row>
    <row r="17" spans="1:9" x14ac:dyDescent="0.35">
      <c r="A17">
        <v>7</v>
      </c>
      <c r="B17" s="2" t="s">
        <v>110</v>
      </c>
      <c r="C17" s="16" t="s">
        <v>726</v>
      </c>
      <c r="D17" s="127"/>
      <c r="E17" s="127"/>
      <c r="F17" s="34">
        <f t="shared" si="0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</row>
    <row r="18" spans="1:9" x14ac:dyDescent="0.35">
      <c r="A18">
        <v>8</v>
      </c>
      <c r="B18" s="2" t="s">
        <v>110</v>
      </c>
      <c r="C18" s="16" t="s">
        <v>260</v>
      </c>
      <c r="D18" s="127">
        <v>4000</v>
      </c>
      <c r="E18" s="127">
        <v>4000</v>
      </c>
      <c r="F18" s="34">
        <f t="shared" si="0"/>
        <v>4120</v>
      </c>
      <c r="G18" s="34">
        <f t="shared" si="1"/>
        <v>4243.6000000000004</v>
      </c>
      <c r="H18" s="34">
        <f t="shared" si="1"/>
        <v>4370.9080000000004</v>
      </c>
      <c r="I18" s="34">
        <f t="shared" si="1"/>
        <v>4502.0352400000002</v>
      </c>
    </row>
    <row r="19" spans="1:9" x14ac:dyDescent="0.35">
      <c r="A19">
        <v>9</v>
      </c>
      <c r="B19" s="2" t="s">
        <v>110</v>
      </c>
      <c r="C19" s="16" t="s">
        <v>727</v>
      </c>
      <c r="D19" s="127"/>
      <c r="E19" s="127"/>
      <c r="F19" s="34">
        <f t="shared" si="0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</row>
    <row r="20" spans="1:9" x14ac:dyDescent="0.35">
      <c r="A20">
        <v>10</v>
      </c>
      <c r="B20" s="2" t="s">
        <v>102</v>
      </c>
      <c r="C20" s="16" t="s">
        <v>14</v>
      </c>
      <c r="D20" s="127">
        <v>27250</v>
      </c>
      <c r="E20" s="127">
        <v>27250</v>
      </c>
      <c r="F20" s="34">
        <f t="shared" si="0"/>
        <v>28067.5</v>
      </c>
      <c r="G20" s="34">
        <f t="shared" si="1"/>
        <v>28909.525000000001</v>
      </c>
      <c r="H20" s="34">
        <f t="shared" si="1"/>
        <v>29776.810750000001</v>
      </c>
      <c r="I20" s="34">
        <f t="shared" si="1"/>
        <v>30670.115072500001</v>
      </c>
    </row>
    <row r="21" spans="1:9" x14ac:dyDescent="0.35">
      <c r="A21">
        <v>11</v>
      </c>
      <c r="B21" s="2" t="s">
        <v>98</v>
      </c>
      <c r="C21" s="16" t="s">
        <v>13</v>
      </c>
      <c r="D21" s="127">
        <v>0</v>
      </c>
      <c r="E21" s="127">
        <v>0</v>
      </c>
      <c r="F21" s="34">
        <v>30000</v>
      </c>
      <c r="G21" s="34">
        <v>30000</v>
      </c>
      <c r="H21" s="34">
        <v>30000</v>
      </c>
      <c r="I21" s="34">
        <v>30000</v>
      </c>
    </row>
    <row r="22" spans="1:9" x14ac:dyDescent="0.35">
      <c r="A22">
        <v>12</v>
      </c>
      <c r="B22" s="2" t="s">
        <v>110</v>
      </c>
      <c r="C22" s="2" t="s">
        <v>8</v>
      </c>
      <c r="D22" s="127">
        <v>357331</v>
      </c>
      <c r="E22" s="127">
        <v>357331</v>
      </c>
      <c r="F22" s="34"/>
      <c r="G22" s="34"/>
      <c r="H22" s="34"/>
      <c r="I22" s="34"/>
    </row>
    <row r="23" spans="1:9" x14ac:dyDescent="0.35">
      <c r="A23">
        <v>13</v>
      </c>
      <c r="B23" s="2" t="s">
        <v>110</v>
      </c>
      <c r="C23" s="2" t="s">
        <v>9</v>
      </c>
      <c r="D23" s="127">
        <v>120000</v>
      </c>
      <c r="E23" s="127">
        <v>120000</v>
      </c>
      <c r="F23" s="34"/>
      <c r="G23" s="34"/>
      <c r="H23" s="34"/>
      <c r="I23" s="34"/>
    </row>
    <row r="24" spans="1:9" x14ac:dyDescent="0.35">
      <c r="A24">
        <v>14</v>
      </c>
      <c r="B24" s="2" t="s">
        <v>102</v>
      </c>
      <c r="C24" s="16" t="s">
        <v>262</v>
      </c>
      <c r="D24" s="127">
        <v>0</v>
      </c>
      <c r="E24" s="127">
        <v>0</v>
      </c>
      <c r="F24" s="34"/>
      <c r="G24" s="34"/>
      <c r="H24" s="34"/>
      <c r="I24" s="34"/>
    </row>
    <row r="25" spans="1:9" x14ac:dyDescent="0.35">
      <c r="A25">
        <v>15</v>
      </c>
      <c r="B25" s="2" t="s">
        <v>102</v>
      </c>
      <c r="C25" s="16" t="s">
        <v>263</v>
      </c>
      <c r="D25" s="127">
        <v>0</v>
      </c>
      <c r="E25" s="127">
        <v>0</v>
      </c>
      <c r="F25" s="34"/>
      <c r="G25" s="34"/>
      <c r="H25" s="34"/>
      <c r="I25" s="34"/>
    </row>
    <row r="26" spans="1:9" x14ac:dyDescent="0.35">
      <c r="A26">
        <v>16</v>
      </c>
      <c r="B26" s="2" t="s">
        <v>100</v>
      </c>
      <c r="C26" t="s">
        <v>264</v>
      </c>
      <c r="D26" s="127"/>
      <c r="E26" s="127"/>
      <c r="F26" s="34"/>
      <c r="G26" s="34"/>
      <c r="H26" s="34"/>
      <c r="I26" s="34"/>
    </row>
    <row r="27" spans="1:9" x14ac:dyDescent="0.35">
      <c r="B27" s="2" t="s">
        <v>100</v>
      </c>
      <c r="C27" t="s">
        <v>101</v>
      </c>
      <c r="D27" s="127"/>
      <c r="E27" s="302">
        <v>200000</v>
      </c>
      <c r="F27" s="34"/>
      <c r="G27" s="34"/>
      <c r="H27" s="34"/>
      <c r="I27" s="34"/>
    </row>
    <row r="28" spans="1:9" x14ac:dyDescent="0.35">
      <c r="A28">
        <v>17</v>
      </c>
      <c r="B28" s="2" t="s">
        <v>100</v>
      </c>
      <c r="C28" s="16" t="s">
        <v>16</v>
      </c>
      <c r="D28" s="127">
        <v>100000</v>
      </c>
      <c r="E28" s="127">
        <v>100000</v>
      </c>
      <c r="F28" s="64"/>
      <c r="G28" s="64"/>
      <c r="H28" s="64"/>
      <c r="I28" s="64"/>
    </row>
    <row r="29" spans="1:9" x14ac:dyDescent="0.35">
      <c r="B29" s="2"/>
      <c r="C29" s="16" t="s">
        <v>728</v>
      </c>
      <c r="D29" s="127"/>
      <c r="E29" s="127" t="e">
        <f>E43</f>
        <v>#REF!</v>
      </c>
      <c r="F29" s="64"/>
      <c r="G29" s="64"/>
      <c r="H29" s="64"/>
      <c r="I29" s="64"/>
    </row>
    <row r="30" spans="1:9" x14ac:dyDescent="0.35">
      <c r="A30">
        <v>18</v>
      </c>
      <c r="B30" s="2" t="s">
        <v>98</v>
      </c>
      <c r="C30" s="16" t="s">
        <v>17</v>
      </c>
      <c r="D30" s="127">
        <v>0</v>
      </c>
      <c r="E30" s="127">
        <v>0</v>
      </c>
      <c r="F30" s="34"/>
      <c r="G30" s="34"/>
      <c r="H30" s="34"/>
      <c r="I30" s="34"/>
    </row>
    <row r="31" spans="1:9" ht="16" thickBot="1" x14ac:dyDescent="0.4">
      <c r="B31" s="21"/>
      <c r="C31" s="21"/>
      <c r="D31" s="181">
        <f t="shared" ref="D31:I31" si="2">SUM(D12:D30)</f>
        <v>5472534</v>
      </c>
      <c r="E31" s="181" t="e">
        <f t="shared" si="2"/>
        <v>#REF!</v>
      </c>
      <c r="F31" s="66">
        <f t="shared" si="2"/>
        <v>5380273.0702127665</v>
      </c>
      <c r="G31" s="66">
        <f t="shared" si="2"/>
        <v>5805076.5953351064</v>
      </c>
      <c r="H31" s="66">
        <f t="shared" si="2"/>
        <v>5976528.8931951588</v>
      </c>
      <c r="I31" s="66">
        <f t="shared" si="2"/>
        <v>6153124.7599910144</v>
      </c>
    </row>
    <row r="32" spans="1:9" ht="15" thickBot="1" x14ac:dyDescent="0.4">
      <c r="D32" s="121"/>
      <c r="E32" s="121"/>
      <c r="F32" s="49"/>
      <c r="G32" s="49"/>
      <c r="H32" s="49"/>
      <c r="I32" s="49"/>
    </row>
    <row r="33" spans="1:13" x14ac:dyDescent="0.35">
      <c r="A33">
        <v>1</v>
      </c>
      <c r="B33" s="494" t="s">
        <v>122</v>
      </c>
      <c r="C33" s="495" t="s">
        <v>123</v>
      </c>
      <c r="D33" s="496">
        <v>2421000</v>
      </c>
      <c r="E33" s="497" t="e">
        <f>#REF!</f>
        <v>#REF!</v>
      </c>
      <c r="F33" s="492">
        <f>D33+(D33*0.03)</f>
        <v>2493630</v>
      </c>
      <c r="G33" s="35">
        <f>F33+(F33*0.04)</f>
        <v>2593375.2000000002</v>
      </c>
      <c r="H33" s="52">
        <f>G33+(G33*0.04)+220000</f>
        <v>2917110.2080000001</v>
      </c>
      <c r="I33" s="34">
        <f>H33+(H33*0.04)</f>
        <v>3033794.61632</v>
      </c>
    </row>
    <row r="34" spans="1:13" x14ac:dyDescent="0.35">
      <c r="A34">
        <v>2</v>
      </c>
      <c r="B34" s="453" t="s">
        <v>122</v>
      </c>
      <c r="C34" t="s">
        <v>153</v>
      </c>
      <c r="D34" s="117">
        <v>0</v>
      </c>
      <c r="E34" s="498">
        <v>0</v>
      </c>
      <c r="F34" s="492">
        <f>D34+(D34*0.03)</f>
        <v>0</v>
      </c>
      <c r="G34" s="34">
        <f t="shared" ref="G34:I41" si="3">F34+(F34*0.03)</f>
        <v>0</v>
      </c>
      <c r="H34" s="34">
        <f t="shared" si="3"/>
        <v>0</v>
      </c>
      <c r="I34" s="34">
        <f t="shared" si="3"/>
        <v>0</v>
      </c>
    </row>
    <row r="35" spans="1:13" x14ac:dyDescent="0.35">
      <c r="A35">
        <v>3</v>
      </c>
      <c r="B35" s="453" t="s">
        <v>122</v>
      </c>
      <c r="C35" s="2" t="s">
        <v>154</v>
      </c>
      <c r="D35" s="119">
        <v>77920</v>
      </c>
      <c r="E35" s="499" t="e">
        <f>E33*0.04</f>
        <v>#REF!</v>
      </c>
      <c r="F35" s="492">
        <f>D35+(D35*0.03)</f>
        <v>80257.600000000006</v>
      </c>
      <c r="G35" s="34">
        <f t="shared" si="3"/>
        <v>82665.328000000009</v>
      </c>
      <c r="H35" s="34">
        <f t="shared" si="3"/>
        <v>85145.287840000005</v>
      </c>
      <c r="I35" s="34">
        <f t="shared" si="3"/>
        <v>87699.646475200003</v>
      </c>
    </row>
    <row r="36" spans="1:13" x14ac:dyDescent="0.35">
      <c r="A36">
        <v>4</v>
      </c>
      <c r="B36" s="453" t="s">
        <v>155</v>
      </c>
      <c r="C36" t="s">
        <v>606</v>
      </c>
      <c r="D36" s="119">
        <v>351203</v>
      </c>
      <c r="E36" s="500" t="e">
        <f>#REF!</f>
        <v>#REF!</v>
      </c>
      <c r="F36" s="492">
        <v>0</v>
      </c>
      <c r="G36" s="34">
        <v>0</v>
      </c>
      <c r="H36" s="34">
        <v>0</v>
      </c>
      <c r="I36" s="34">
        <v>0</v>
      </c>
      <c r="M36" s="125"/>
    </row>
    <row r="37" spans="1:13" x14ac:dyDescent="0.35">
      <c r="A37">
        <v>10</v>
      </c>
      <c r="B37" s="453" t="s">
        <v>122</v>
      </c>
      <c r="C37" t="s">
        <v>378</v>
      </c>
      <c r="D37" s="119">
        <v>144000</v>
      </c>
      <c r="E37" s="501" t="e">
        <f>#REF!</f>
        <v>#REF!</v>
      </c>
      <c r="F37" s="492">
        <f>D37+(D37*0.03)</f>
        <v>148320</v>
      </c>
      <c r="G37" s="34">
        <f t="shared" si="3"/>
        <v>152769.60000000001</v>
      </c>
      <c r="H37" s="34">
        <f t="shared" si="3"/>
        <v>157352.68799999999</v>
      </c>
      <c r="I37" s="34">
        <f t="shared" si="3"/>
        <v>162073.26863999999</v>
      </c>
    </row>
    <row r="38" spans="1:13" x14ac:dyDescent="0.35">
      <c r="A38">
        <v>11</v>
      </c>
      <c r="B38" s="453" t="s">
        <v>155</v>
      </c>
      <c r="C38" t="s">
        <v>607</v>
      </c>
      <c r="D38" s="117">
        <v>7646</v>
      </c>
      <c r="E38" s="501" t="e">
        <f>#REF!</f>
        <v>#REF!</v>
      </c>
      <c r="F38" s="492">
        <v>0</v>
      </c>
      <c r="G38" s="34">
        <v>0</v>
      </c>
      <c r="H38" s="34">
        <v>0</v>
      </c>
      <c r="I38" s="34">
        <v>0</v>
      </c>
    </row>
    <row r="39" spans="1:13" x14ac:dyDescent="0.35">
      <c r="A39">
        <v>13</v>
      </c>
      <c r="B39" s="453" t="s">
        <v>122</v>
      </c>
      <c r="C39" t="s">
        <v>164</v>
      </c>
      <c r="D39" s="117">
        <v>484500</v>
      </c>
      <c r="E39" s="499" t="e">
        <f>#REF!</f>
        <v>#REF!</v>
      </c>
      <c r="F39" s="492">
        <f>D39+(D39*0.03)</f>
        <v>499035</v>
      </c>
      <c r="G39" s="34">
        <f t="shared" si="3"/>
        <v>514006.05</v>
      </c>
      <c r="H39" s="34">
        <f t="shared" si="3"/>
        <v>529426.23149999999</v>
      </c>
      <c r="I39" s="34">
        <f t="shared" si="3"/>
        <v>545309.01844500005</v>
      </c>
    </row>
    <row r="40" spans="1:13" x14ac:dyDescent="0.35">
      <c r="A40">
        <v>14</v>
      </c>
      <c r="B40" s="453" t="s">
        <v>122</v>
      </c>
      <c r="C40" t="s">
        <v>165</v>
      </c>
      <c r="D40" s="117">
        <v>0</v>
      </c>
      <c r="E40" s="498">
        <v>0</v>
      </c>
      <c r="F40" s="492">
        <v>0</v>
      </c>
      <c r="G40" s="34">
        <v>0</v>
      </c>
      <c r="H40" s="34">
        <v>0</v>
      </c>
      <c r="I40" s="34">
        <v>0</v>
      </c>
    </row>
    <row r="41" spans="1:13" x14ac:dyDescent="0.35">
      <c r="A41">
        <v>15</v>
      </c>
      <c r="B41" s="453" t="s">
        <v>122</v>
      </c>
      <c r="C41" t="s">
        <v>166</v>
      </c>
      <c r="D41" s="117">
        <v>0</v>
      </c>
      <c r="E41" s="506">
        <v>0</v>
      </c>
      <c r="F41" s="492">
        <f>D41+(D41*0.03)</f>
        <v>0</v>
      </c>
      <c r="G41" s="34">
        <f t="shared" si="3"/>
        <v>0</v>
      </c>
      <c r="H41" s="34">
        <f t="shared" si="3"/>
        <v>0</v>
      </c>
      <c r="I41" s="34">
        <f t="shared" si="3"/>
        <v>0</v>
      </c>
    </row>
    <row r="42" spans="1:13" x14ac:dyDescent="0.35">
      <c r="B42" s="453" t="s">
        <v>155</v>
      </c>
      <c r="C42" t="s">
        <v>608</v>
      </c>
      <c r="D42" s="117">
        <v>25847</v>
      </c>
      <c r="E42" s="506" t="e">
        <f>#REF!</f>
        <v>#REF!</v>
      </c>
      <c r="F42" s="492"/>
      <c r="G42" s="34"/>
      <c r="H42" s="34"/>
      <c r="I42" s="34"/>
      <c r="L42" s="125"/>
    </row>
    <row r="43" spans="1:13" ht="15" thickBot="1" x14ac:dyDescent="0.4">
      <c r="A43">
        <v>18</v>
      </c>
      <c r="B43" s="502" t="s">
        <v>155</v>
      </c>
      <c r="C43" s="503" t="s">
        <v>728</v>
      </c>
      <c r="D43" s="504">
        <v>0</v>
      </c>
      <c r="E43" s="507" t="e">
        <f>0.0775*(E33+E37+E39)</f>
        <v>#REF!</v>
      </c>
      <c r="F43" s="492"/>
      <c r="G43" s="34"/>
      <c r="H43" s="34"/>
      <c r="I43" s="34"/>
    </row>
    <row r="44" spans="1:13" x14ac:dyDescent="0.35">
      <c r="A44">
        <v>25</v>
      </c>
      <c r="B44" t="s">
        <v>244</v>
      </c>
      <c r="C44" s="16" t="s">
        <v>43</v>
      </c>
      <c r="D44" s="117"/>
      <c r="E44" s="117"/>
      <c r="F44" s="34"/>
      <c r="G44" s="34"/>
      <c r="H44" s="34"/>
      <c r="I44" s="34"/>
    </row>
    <row r="45" spans="1:13" x14ac:dyDescent="0.35">
      <c r="A45">
        <v>26</v>
      </c>
      <c r="B45" s="2" t="s">
        <v>245</v>
      </c>
      <c r="C45" s="22" t="s">
        <v>339</v>
      </c>
      <c r="D45" s="117">
        <v>200000</v>
      </c>
      <c r="E45" s="117">
        <v>200000</v>
      </c>
      <c r="F45" s="51">
        <v>200000</v>
      </c>
      <c r="G45" s="51">
        <v>200000</v>
      </c>
      <c r="H45" s="51">
        <v>200000</v>
      </c>
      <c r="I45" s="34">
        <v>200000</v>
      </c>
    </row>
    <row r="46" spans="1:13" x14ac:dyDescent="0.35">
      <c r="A46">
        <v>27</v>
      </c>
      <c r="B46" s="2" t="s">
        <v>247</v>
      </c>
      <c r="C46" s="16" t="s">
        <v>82</v>
      </c>
      <c r="D46" s="117">
        <v>20000</v>
      </c>
      <c r="E46" s="117">
        <v>20000</v>
      </c>
      <c r="F46" s="34">
        <f>D46+(D46*0.03)</f>
        <v>20600</v>
      </c>
      <c r="G46" s="34">
        <f>F46+(F46*0.03)</f>
        <v>21218</v>
      </c>
      <c r="H46" s="34">
        <f>G46+(G46*0.03)</f>
        <v>21854.54</v>
      </c>
      <c r="I46" s="34">
        <f>H46+(H46*0.03)</f>
        <v>22510.176200000002</v>
      </c>
    </row>
    <row r="47" spans="1:13" x14ac:dyDescent="0.35">
      <c r="A47">
        <v>28</v>
      </c>
      <c r="B47" s="2" t="s">
        <v>248</v>
      </c>
      <c r="C47" s="16" t="s">
        <v>340</v>
      </c>
      <c r="D47" s="117">
        <v>40000</v>
      </c>
      <c r="E47" s="190">
        <v>48000</v>
      </c>
      <c r="F47" s="34">
        <f>D47+(D47*0.03)</f>
        <v>41200</v>
      </c>
      <c r="G47" s="34">
        <f t="shared" ref="G47:I48" si="4">F47+(F47*0.03)</f>
        <v>42436</v>
      </c>
      <c r="H47" s="34">
        <f t="shared" si="4"/>
        <v>43709.08</v>
      </c>
      <c r="I47" s="34">
        <f t="shared" si="4"/>
        <v>45020.352400000003</v>
      </c>
    </row>
    <row r="48" spans="1:13" x14ac:dyDescent="0.35">
      <c r="A48">
        <v>29</v>
      </c>
      <c r="B48" s="2" t="s">
        <v>248</v>
      </c>
      <c r="C48" s="16" t="s">
        <v>341</v>
      </c>
      <c r="D48" s="117">
        <v>265000</v>
      </c>
      <c r="E48" s="190">
        <v>251372</v>
      </c>
      <c r="F48" s="34">
        <f>D48+(D48*0.03)</f>
        <v>272950</v>
      </c>
      <c r="G48" s="34">
        <f t="shared" si="4"/>
        <v>281138.5</v>
      </c>
      <c r="H48" s="34">
        <f t="shared" si="4"/>
        <v>289572.65500000003</v>
      </c>
      <c r="I48" s="34">
        <f t="shared" si="4"/>
        <v>298259.83465000003</v>
      </c>
      <c r="K48" t="s">
        <v>729</v>
      </c>
    </row>
    <row r="49" spans="1:10" x14ac:dyDescent="0.35">
      <c r="A49">
        <v>30</v>
      </c>
      <c r="B49" s="312" t="s">
        <v>248</v>
      </c>
      <c r="C49" s="313" t="s">
        <v>36</v>
      </c>
      <c r="D49" s="119">
        <v>750000</v>
      </c>
      <c r="E49" s="302">
        <f>J49*(E12+E13)</f>
        <v>707313.45</v>
      </c>
      <c r="F49" s="34">
        <v>700000</v>
      </c>
      <c r="G49" s="34">
        <v>600000</v>
      </c>
      <c r="H49" s="34">
        <v>600000</v>
      </c>
      <c r="I49" s="34">
        <v>600000</v>
      </c>
      <c r="J49">
        <f>0.15</f>
        <v>0.15</v>
      </c>
    </row>
    <row r="50" spans="1:10" x14ac:dyDescent="0.35">
      <c r="A50">
        <v>31</v>
      </c>
      <c r="B50" t="s">
        <v>49</v>
      </c>
      <c r="C50" s="16" t="s">
        <v>49</v>
      </c>
      <c r="D50" s="117"/>
      <c r="E50" s="302">
        <v>20000</v>
      </c>
      <c r="F50" s="34"/>
      <c r="G50" s="34"/>
      <c r="H50" s="34"/>
      <c r="I50" s="34"/>
    </row>
    <row r="51" spans="1:10" x14ac:dyDescent="0.35">
      <c r="A51">
        <v>32</v>
      </c>
      <c r="B51" s="2" t="s">
        <v>249</v>
      </c>
      <c r="C51" s="23" t="s">
        <v>73</v>
      </c>
      <c r="D51" s="117">
        <v>60000</v>
      </c>
      <c r="E51" s="117">
        <v>60000</v>
      </c>
      <c r="F51" s="34">
        <f>D51+(D51*0.03)</f>
        <v>61800</v>
      </c>
      <c r="G51" s="34">
        <f>F51+(F51*0.03)</f>
        <v>63654</v>
      </c>
      <c r="H51" s="34">
        <f>G51+(G51*0.03)</f>
        <v>65563.62</v>
      </c>
      <c r="I51" s="34">
        <f>H51+(H51*0.03)</f>
        <v>67530.528599999991</v>
      </c>
    </row>
    <row r="52" spans="1:10" x14ac:dyDescent="0.35">
      <c r="A52">
        <v>33</v>
      </c>
      <c r="B52" s="2" t="s">
        <v>249</v>
      </c>
      <c r="C52" s="23" t="s">
        <v>50</v>
      </c>
      <c r="D52" s="117"/>
      <c r="E52" s="117"/>
      <c r="F52" s="34"/>
      <c r="G52" s="34"/>
      <c r="H52" s="34"/>
      <c r="I52" s="34"/>
    </row>
    <row r="53" spans="1:10" x14ac:dyDescent="0.35">
      <c r="A53">
        <v>34</v>
      </c>
      <c r="B53" s="2" t="s">
        <v>250</v>
      </c>
      <c r="C53" s="23" t="s">
        <v>342</v>
      </c>
      <c r="D53" s="117">
        <v>0</v>
      </c>
      <c r="E53" s="117">
        <v>0</v>
      </c>
      <c r="F53" s="34"/>
      <c r="G53" s="34"/>
      <c r="H53" s="34"/>
      <c r="I53" s="34"/>
    </row>
    <row r="54" spans="1:10" x14ac:dyDescent="0.35">
      <c r="A54">
        <v>35</v>
      </c>
      <c r="B54" s="2" t="s">
        <v>250</v>
      </c>
      <c r="C54" s="2" t="s">
        <v>281</v>
      </c>
      <c r="D54" s="117"/>
      <c r="E54" s="117"/>
      <c r="F54" s="34"/>
      <c r="G54" s="34"/>
      <c r="H54" s="34"/>
      <c r="I54" s="34"/>
    </row>
    <row r="55" spans="1:10" x14ac:dyDescent="0.35">
      <c r="A55">
        <v>36</v>
      </c>
      <c r="B55" s="2" t="s">
        <v>250</v>
      </c>
      <c r="C55" s="2" t="s">
        <v>282</v>
      </c>
      <c r="D55" s="117">
        <v>6125</v>
      </c>
      <c r="E55" s="117">
        <v>6125</v>
      </c>
      <c r="F55" s="34">
        <f t="shared" ref="F55:F65" si="5">D55+(D55*0.03)</f>
        <v>6308.75</v>
      </c>
      <c r="G55" s="34">
        <f>F55+(F55*0.03)</f>
        <v>6498.0124999999998</v>
      </c>
      <c r="H55" s="34">
        <f>G55+(G55*0.03)</f>
        <v>6692.9528749999999</v>
      </c>
      <c r="I55" s="34">
        <f>H55+(H55*0.03)</f>
        <v>6893.7414612499997</v>
      </c>
    </row>
    <row r="56" spans="1:10" x14ac:dyDescent="0.35">
      <c r="A56">
        <v>37</v>
      </c>
      <c r="B56" s="2" t="s">
        <v>250</v>
      </c>
      <c r="C56" s="2" t="s">
        <v>251</v>
      </c>
      <c r="D56" s="117">
        <v>44550</v>
      </c>
      <c r="E56" s="117">
        <v>44550</v>
      </c>
      <c r="F56" s="34">
        <f t="shared" si="5"/>
        <v>45886.5</v>
      </c>
      <c r="G56" s="34">
        <f t="shared" ref="G56:I65" si="6">F56+(F56*0.03)</f>
        <v>47263.095000000001</v>
      </c>
      <c r="H56" s="34">
        <f t="shared" si="6"/>
        <v>48680.987849999998</v>
      </c>
      <c r="I56" s="34">
        <f t="shared" si="6"/>
        <v>50141.417485499995</v>
      </c>
    </row>
    <row r="57" spans="1:10" x14ac:dyDescent="0.35">
      <c r="A57">
        <v>38</v>
      </c>
      <c r="B57" s="2" t="s">
        <v>250</v>
      </c>
      <c r="C57" s="2" t="s">
        <v>56</v>
      </c>
      <c r="D57" s="117">
        <v>6200</v>
      </c>
      <c r="E57" s="117">
        <v>6200</v>
      </c>
      <c r="F57" s="34">
        <f t="shared" si="5"/>
        <v>6386</v>
      </c>
      <c r="G57" s="34">
        <f t="shared" si="6"/>
        <v>6577.58</v>
      </c>
      <c r="H57" s="34">
        <f t="shared" si="6"/>
        <v>6774.9074000000001</v>
      </c>
      <c r="I57" s="34">
        <f t="shared" si="6"/>
        <v>6978.154622</v>
      </c>
    </row>
    <row r="58" spans="1:10" x14ac:dyDescent="0.35">
      <c r="A58">
        <v>39</v>
      </c>
      <c r="B58" s="2" t="s">
        <v>250</v>
      </c>
      <c r="C58" s="2" t="s">
        <v>53</v>
      </c>
      <c r="D58" s="117">
        <v>50000</v>
      </c>
      <c r="E58" s="117">
        <v>50000</v>
      </c>
      <c r="F58" s="34">
        <f t="shared" si="5"/>
        <v>51500</v>
      </c>
      <c r="G58" s="34">
        <f t="shared" si="6"/>
        <v>53045</v>
      </c>
      <c r="H58" s="34">
        <f t="shared" si="6"/>
        <v>54636.35</v>
      </c>
      <c r="I58" s="34">
        <f t="shared" si="6"/>
        <v>56275.440499999997</v>
      </c>
    </row>
    <row r="59" spans="1:10" s="14" customFormat="1" x14ac:dyDescent="0.35">
      <c r="A59">
        <v>40</v>
      </c>
      <c r="B59" s="2" t="s">
        <v>250</v>
      </c>
      <c r="C59" s="2" t="s">
        <v>55</v>
      </c>
      <c r="D59" s="117">
        <v>20000</v>
      </c>
      <c r="E59" s="117">
        <v>20000</v>
      </c>
      <c r="F59" s="34">
        <f t="shared" si="5"/>
        <v>20600</v>
      </c>
      <c r="G59" s="34">
        <f t="shared" si="6"/>
        <v>21218</v>
      </c>
      <c r="H59" s="34">
        <f t="shared" si="6"/>
        <v>21854.54</v>
      </c>
      <c r="I59" s="34">
        <f t="shared" si="6"/>
        <v>22510.176200000002</v>
      </c>
    </row>
    <row r="60" spans="1:10" s="14" customFormat="1" x14ac:dyDescent="0.35">
      <c r="A60">
        <v>41</v>
      </c>
      <c r="B60" s="2" t="s">
        <v>250</v>
      </c>
      <c r="C60" s="2" t="s">
        <v>54</v>
      </c>
      <c r="D60" s="117">
        <v>5450</v>
      </c>
      <c r="E60" s="117">
        <v>5450</v>
      </c>
      <c r="F60" s="34">
        <f t="shared" si="5"/>
        <v>5613.5</v>
      </c>
      <c r="G60" s="34">
        <f t="shared" si="6"/>
        <v>5781.9049999999997</v>
      </c>
      <c r="H60" s="34">
        <f t="shared" si="6"/>
        <v>5955.3621499999999</v>
      </c>
      <c r="I60" s="34">
        <f t="shared" si="6"/>
        <v>6134.0230144999996</v>
      </c>
    </row>
    <row r="61" spans="1:10" s="14" customFormat="1" x14ac:dyDescent="0.35">
      <c r="A61">
        <v>42</v>
      </c>
      <c r="B61" s="2" t="s">
        <v>250</v>
      </c>
      <c r="C61" t="s">
        <v>47</v>
      </c>
      <c r="D61" s="117">
        <v>10000</v>
      </c>
      <c r="E61" s="117">
        <v>10000</v>
      </c>
      <c r="F61" s="34">
        <f t="shared" si="5"/>
        <v>10300</v>
      </c>
      <c r="G61" s="34">
        <f t="shared" si="6"/>
        <v>10609</v>
      </c>
      <c r="H61" s="34">
        <f t="shared" si="6"/>
        <v>10927.27</v>
      </c>
      <c r="I61" s="34">
        <f t="shared" si="6"/>
        <v>11255.088100000001</v>
      </c>
    </row>
    <row r="62" spans="1:10" s="14" customFormat="1" x14ac:dyDescent="0.35">
      <c r="A62">
        <v>43</v>
      </c>
      <c r="B62" s="2" t="s">
        <v>252</v>
      </c>
      <c r="C62" s="23" t="s">
        <v>45</v>
      </c>
      <c r="D62" s="119">
        <v>130000</v>
      </c>
      <c r="E62" s="119">
        <v>130000</v>
      </c>
      <c r="F62" s="34">
        <f t="shared" si="5"/>
        <v>133900</v>
      </c>
      <c r="G62" s="34">
        <f t="shared" si="6"/>
        <v>137917</v>
      </c>
      <c r="H62" s="34">
        <f t="shared" si="6"/>
        <v>142054.51</v>
      </c>
      <c r="I62" s="34">
        <f t="shared" si="6"/>
        <v>146316.1453</v>
      </c>
    </row>
    <row r="63" spans="1:10" s="14" customFormat="1" x14ac:dyDescent="0.35">
      <c r="A63">
        <v>44</v>
      </c>
      <c r="B63" s="2" t="s">
        <v>252</v>
      </c>
      <c r="C63" s="23" t="s">
        <v>46</v>
      </c>
      <c r="D63" s="119">
        <v>60000</v>
      </c>
      <c r="E63" s="119">
        <v>60000</v>
      </c>
      <c r="F63" s="34">
        <f t="shared" si="5"/>
        <v>61800</v>
      </c>
      <c r="G63" s="34">
        <f t="shared" si="6"/>
        <v>63654</v>
      </c>
      <c r="H63" s="34">
        <f t="shared" si="6"/>
        <v>65563.62</v>
      </c>
      <c r="I63" s="34">
        <f t="shared" si="6"/>
        <v>67530.528599999991</v>
      </c>
    </row>
    <row r="64" spans="1:10" s="14" customFormat="1" x14ac:dyDescent="0.35">
      <c r="A64">
        <v>45</v>
      </c>
      <c r="B64" s="2" t="s">
        <v>252</v>
      </c>
      <c r="C64" s="2" t="s">
        <v>78</v>
      </c>
      <c r="D64" s="119">
        <v>60000</v>
      </c>
      <c r="E64" s="119">
        <v>60000</v>
      </c>
      <c r="F64" s="34">
        <f t="shared" si="5"/>
        <v>61800</v>
      </c>
      <c r="G64" s="34">
        <f t="shared" si="6"/>
        <v>63654</v>
      </c>
      <c r="H64" s="34">
        <f t="shared" si="6"/>
        <v>65563.62</v>
      </c>
      <c r="I64" s="34">
        <f t="shared" si="6"/>
        <v>67530.528599999991</v>
      </c>
    </row>
    <row r="65" spans="1:9" s="14" customFormat="1" x14ac:dyDescent="0.35">
      <c r="A65">
        <v>46</v>
      </c>
      <c r="B65" s="2" t="s">
        <v>252</v>
      </c>
      <c r="C65" t="s">
        <v>48</v>
      </c>
      <c r="D65" s="119">
        <v>12000</v>
      </c>
      <c r="E65" s="119">
        <v>12000</v>
      </c>
      <c r="F65" s="34">
        <f t="shared" si="5"/>
        <v>12360</v>
      </c>
      <c r="G65" s="34">
        <f t="shared" si="6"/>
        <v>12730.8</v>
      </c>
      <c r="H65" s="34">
        <f t="shared" si="6"/>
        <v>13112.723999999998</v>
      </c>
      <c r="I65" s="34">
        <f t="shared" si="6"/>
        <v>13506.105719999998</v>
      </c>
    </row>
    <row r="66" spans="1:9" s="14" customFormat="1" x14ac:dyDescent="0.35">
      <c r="A66">
        <v>47</v>
      </c>
      <c r="B66" s="2" t="s">
        <v>253</v>
      </c>
      <c r="C66" t="s">
        <v>79</v>
      </c>
      <c r="D66" s="117"/>
      <c r="E66" s="117"/>
      <c r="F66" s="34"/>
      <c r="G66" s="34"/>
      <c r="H66" s="34"/>
      <c r="I66" s="34"/>
    </row>
    <row r="67" spans="1:9" s="14" customFormat="1" x14ac:dyDescent="0.35">
      <c r="A67">
        <v>48</v>
      </c>
      <c r="B67" s="2" t="s">
        <v>253</v>
      </c>
      <c r="C67" t="s">
        <v>80</v>
      </c>
      <c r="D67" s="117"/>
      <c r="E67" s="117"/>
      <c r="F67" s="34"/>
      <c r="G67" s="34"/>
      <c r="H67" s="34"/>
      <c r="I67" s="34"/>
    </row>
    <row r="68" spans="1:9" s="14" customFormat="1" x14ac:dyDescent="0.35">
      <c r="A68">
        <v>49</v>
      </c>
      <c r="B68" s="2" t="s">
        <v>253</v>
      </c>
      <c r="C68" t="s">
        <v>81</v>
      </c>
      <c r="D68" s="117"/>
      <c r="E68" s="117"/>
      <c r="F68" s="34"/>
      <c r="G68" s="34"/>
      <c r="H68" s="34"/>
      <c r="I68" s="34"/>
    </row>
    <row r="69" spans="1:9" s="14" customFormat="1" x14ac:dyDescent="0.35">
      <c r="A69">
        <v>50</v>
      </c>
      <c r="B69" s="2" t="s">
        <v>252</v>
      </c>
      <c r="C69" s="2" t="s">
        <v>42</v>
      </c>
      <c r="D69" s="117">
        <v>300</v>
      </c>
      <c r="E69" s="117">
        <v>300</v>
      </c>
      <c r="F69" s="34">
        <f t="shared" ref="F69:F75" si="7">D69+(D69*0.03)</f>
        <v>309</v>
      </c>
      <c r="G69" s="34">
        <f t="shared" ref="G69:I75" si="8">F69+(F69*0.03)</f>
        <v>318.27</v>
      </c>
      <c r="H69" s="34">
        <f t="shared" si="8"/>
        <v>327.81809999999996</v>
      </c>
      <c r="I69" s="34">
        <f t="shared" si="8"/>
        <v>337.65264299999996</v>
      </c>
    </row>
    <row r="70" spans="1:9" s="14" customFormat="1" x14ac:dyDescent="0.35">
      <c r="A70">
        <v>51</v>
      </c>
      <c r="B70" s="2" t="s">
        <v>252</v>
      </c>
      <c r="C70" s="2" t="s">
        <v>41</v>
      </c>
      <c r="D70" s="117">
        <v>15000</v>
      </c>
      <c r="E70" s="117">
        <v>15000</v>
      </c>
      <c r="F70" s="34">
        <f t="shared" si="7"/>
        <v>15450</v>
      </c>
      <c r="G70" s="34">
        <f t="shared" si="8"/>
        <v>15913.5</v>
      </c>
      <c r="H70" s="34">
        <f t="shared" si="8"/>
        <v>16390.904999999999</v>
      </c>
      <c r="I70" s="34">
        <f t="shared" si="8"/>
        <v>16882.632149999998</v>
      </c>
    </row>
    <row r="71" spans="1:9" s="14" customFormat="1" x14ac:dyDescent="0.35">
      <c r="A71">
        <v>52</v>
      </c>
      <c r="B71" s="2" t="s">
        <v>252</v>
      </c>
      <c r="C71" s="2" t="s">
        <v>85</v>
      </c>
      <c r="D71" s="117">
        <v>2620.7472000000002</v>
      </c>
      <c r="E71" s="117">
        <v>2620.7472000000002</v>
      </c>
      <c r="F71" s="34">
        <f t="shared" si="7"/>
        <v>2699.3696160000004</v>
      </c>
      <c r="G71" s="34">
        <f t="shared" si="8"/>
        <v>2780.3507044800003</v>
      </c>
      <c r="H71" s="34">
        <f t="shared" si="8"/>
        <v>2863.7612256144002</v>
      </c>
      <c r="I71" s="34">
        <f t="shared" si="8"/>
        <v>2949.6740623828323</v>
      </c>
    </row>
    <row r="72" spans="1:9" s="14" customFormat="1" x14ac:dyDescent="0.35">
      <c r="A72">
        <v>53</v>
      </c>
      <c r="B72" s="2" t="s">
        <v>254</v>
      </c>
      <c r="C72" s="2" t="s">
        <v>66</v>
      </c>
      <c r="D72" s="117">
        <v>10000</v>
      </c>
      <c r="E72" s="117">
        <v>10000</v>
      </c>
      <c r="F72" s="34">
        <f t="shared" si="7"/>
        <v>10300</v>
      </c>
      <c r="G72" s="34">
        <f t="shared" si="8"/>
        <v>10609</v>
      </c>
      <c r="H72" s="34">
        <f t="shared" si="8"/>
        <v>10927.27</v>
      </c>
      <c r="I72" s="34">
        <f t="shared" si="8"/>
        <v>11255.088100000001</v>
      </c>
    </row>
    <row r="73" spans="1:9" s="14" customFormat="1" x14ac:dyDescent="0.35">
      <c r="A73">
        <v>54</v>
      </c>
      <c r="B73" s="2" t="s">
        <v>254</v>
      </c>
      <c r="C73" s="16" t="s">
        <v>68</v>
      </c>
      <c r="D73" s="117">
        <v>5500</v>
      </c>
      <c r="E73" s="117">
        <v>5500</v>
      </c>
      <c r="F73" s="34">
        <f t="shared" si="7"/>
        <v>5665</v>
      </c>
      <c r="G73" s="34">
        <f t="shared" si="8"/>
        <v>5834.95</v>
      </c>
      <c r="H73" s="34">
        <f t="shared" si="8"/>
        <v>6009.9984999999997</v>
      </c>
      <c r="I73" s="34">
        <f t="shared" si="8"/>
        <v>6190.2984550000001</v>
      </c>
    </row>
    <row r="74" spans="1:9" s="14" customFormat="1" x14ac:dyDescent="0.35">
      <c r="A74">
        <v>55</v>
      </c>
      <c r="B74" s="2" t="s">
        <v>254</v>
      </c>
      <c r="C74" s="2" t="s">
        <v>71</v>
      </c>
      <c r="D74" s="117">
        <v>5000</v>
      </c>
      <c r="E74" s="117">
        <v>5000</v>
      </c>
      <c r="F74" s="34">
        <f t="shared" si="7"/>
        <v>5150</v>
      </c>
      <c r="G74" s="34">
        <f t="shared" si="8"/>
        <v>5304.5</v>
      </c>
      <c r="H74" s="34">
        <f t="shared" si="8"/>
        <v>5463.6350000000002</v>
      </c>
      <c r="I74" s="34">
        <f t="shared" si="8"/>
        <v>5627.5440500000004</v>
      </c>
    </row>
    <row r="75" spans="1:9" x14ac:dyDescent="0.35">
      <c r="A75">
        <v>56</v>
      </c>
      <c r="B75" s="2" t="s">
        <v>255</v>
      </c>
      <c r="C75" s="2" t="s">
        <v>70</v>
      </c>
      <c r="D75" s="117">
        <v>2000</v>
      </c>
      <c r="E75" s="117">
        <v>2000</v>
      </c>
      <c r="F75" s="34">
        <f t="shared" si="7"/>
        <v>2060</v>
      </c>
      <c r="G75" s="34">
        <f t="shared" si="8"/>
        <v>2121.8000000000002</v>
      </c>
      <c r="H75" s="34">
        <f t="shared" si="8"/>
        <v>2185.4540000000002</v>
      </c>
      <c r="I75" s="34">
        <f t="shared" si="8"/>
        <v>2251.0176200000001</v>
      </c>
    </row>
    <row r="76" spans="1:9" x14ac:dyDescent="0.35">
      <c r="A76">
        <v>57</v>
      </c>
      <c r="B76" s="2" t="s">
        <v>248</v>
      </c>
      <c r="C76" t="s">
        <v>72</v>
      </c>
      <c r="D76" s="117"/>
      <c r="E76" s="117"/>
      <c r="F76" s="34"/>
      <c r="G76" s="34"/>
      <c r="H76" s="34"/>
      <c r="I76" s="34"/>
    </row>
    <row r="77" spans="1:9" x14ac:dyDescent="0.35">
      <c r="A77">
        <v>58</v>
      </c>
      <c r="B77" s="2" t="s">
        <v>255</v>
      </c>
      <c r="C77" s="16" t="s">
        <v>30</v>
      </c>
      <c r="D77" s="117"/>
      <c r="E77" s="117"/>
      <c r="F77" s="34"/>
      <c r="G77" s="34"/>
      <c r="H77" s="34"/>
      <c r="I77" s="34"/>
    </row>
    <row r="78" spans="1:9" x14ac:dyDescent="0.35">
      <c r="A78">
        <v>59</v>
      </c>
      <c r="B78" s="2" t="s">
        <v>248</v>
      </c>
      <c r="C78" s="16" t="s">
        <v>40</v>
      </c>
      <c r="D78" s="117"/>
      <c r="E78" s="117"/>
      <c r="F78" s="34"/>
      <c r="G78" s="34"/>
      <c r="H78" s="34"/>
      <c r="I78" s="34"/>
    </row>
    <row r="79" spans="1:9" x14ac:dyDescent="0.35">
      <c r="A79">
        <v>60</v>
      </c>
      <c r="B79" s="2" t="s">
        <v>256</v>
      </c>
      <c r="C79" s="2" t="s">
        <v>69</v>
      </c>
      <c r="D79" s="117">
        <v>20000</v>
      </c>
      <c r="E79" s="117">
        <v>20000</v>
      </c>
      <c r="F79" s="34">
        <f>D79+(D79*0.03)</f>
        <v>20600</v>
      </c>
      <c r="G79" s="34">
        <f>F79+(F79*0.03)</f>
        <v>21218</v>
      </c>
      <c r="H79" s="34">
        <f>G79+(G79*0.03)</f>
        <v>21854.54</v>
      </c>
      <c r="I79" s="34">
        <f>H79+(H79*0.03)</f>
        <v>22510.176200000002</v>
      </c>
    </row>
    <row r="80" spans="1:9" x14ac:dyDescent="0.35">
      <c r="A80">
        <v>61</v>
      </c>
      <c r="B80" s="2" t="s">
        <v>257</v>
      </c>
      <c r="C80" s="2" t="s">
        <v>44</v>
      </c>
      <c r="D80" s="117"/>
      <c r="E80" s="117"/>
      <c r="F80" s="34"/>
      <c r="G80" s="34"/>
      <c r="H80" s="34"/>
      <c r="I80" s="34"/>
    </row>
    <row r="81" spans="1:10" ht="15" thickBot="1" x14ac:dyDescent="0.4">
      <c r="A81">
        <v>62</v>
      </c>
      <c r="B81" s="2" t="s">
        <v>257</v>
      </c>
      <c r="C81" s="2" t="s">
        <v>67</v>
      </c>
      <c r="D81" s="192">
        <v>10000</v>
      </c>
      <c r="E81" s="192">
        <v>10000</v>
      </c>
      <c r="F81" s="34">
        <f>D81+(D81*0.03)</f>
        <v>10300</v>
      </c>
      <c r="G81" s="34">
        <f>F81+(F81*0.03)</f>
        <v>10609</v>
      </c>
      <c r="H81" s="34">
        <f>G81+(G81*0.03)</f>
        <v>10927.27</v>
      </c>
      <c r="I81" s="34">
        <f>H81+(H81*0.03)</f>
        <v>11255.088100000001</v>
      </c>
    </row>
    <row r="82" spans="1:10" ht="16" thickBot="1" x14ac:dyDescent="0.4">
      <c r="B82" s="193"/>
      <c r="C82" s="194" t="s">
        <v>518</v>
      </c>
      <c r="D82" s="195">
        <f>SUM(D33:D81)</f>
        <v>5321861.7472000001</v>
      </c>
      <c r="E82" s="227" t="e">
        <f>SUM(E33:E81)</f>
        <v>#REF!</v>
      </c>
      <c r="F82" s="191">
        <f>SUM(F44:F81)</f>
        <v>1785538.119616</v>
      </c>
      <c r="G82" s="38">
        <f>SUM(G44:G81)</f>
        <v>1712104.2632044801</v>
      </c>
      <c r="H82" s="38">
        <f>SUM(H44:H81)</f>
        <v>1739467.3911006146</v>
      </c>
      <c r="I82" s="38">
        <f>SUM(I44:I81)</f>
        <v>1767651.4128336334</v>
      </c>
    </row>
    <row r="83" spans="1:10" ht="15" thickBot="1" x14ac:dyDescent="0.4">
      <c r="D83" s="121"/>
      <c r="E83" s="121"/>
      <c r="F83" s="49"/>
      <c r="G83" s="49"/>
      <c r="H83" s="49"/>
      <c r="I83" s="49"/>
    </row>
    <row r="84" spans="1:10" ht="15" thickBot="1" x14ac:dyDescent="0.4">
      <c r="B84" s="197"/>
      <c r="C84" s="198" t="s">
        <v>558</v>
      </c>
      <c r="D84" s="199">
        <f t="shared" ref="D84:I84" si="9">D31-D82</f>
        <v>150672.2527999999</v>
      </c>
      <c r="E84" s="228" t="e">
        <f t="shared" si="9"/>
        <v>#REF!</v>
      </c>
      <c r="F84" s="67">
        <f t="shared" si="9"/>
        <v>3594734.9505967665</v>
      </c>
      <c r="G84" s="67">
        <f t="shared" si="9"/>
        <v>4092972.3321306263</v>
      </c>
      <c r="H84" s="67">
        <f t="shared" si="9"/>
        <v>4237061.5020945445</v>
      </c>
      <c r="I84" s="67">
        <f t="shared" si="9"/>
        <v>4385473.3471573815</v>
      </c>
    </row>
    <row r="85" spans="1:10" ht="15" thickBot="1" x14ac:dyDescent="0.4">
      <c r="C85" s="8"/>
      <c r="D85" s="121"/>
      <c r="E85" s="121"/>
      <c r="F85" s="49"/>
      <c r="G85" s="49"/>
      <c r="H85" s="49"/>
      <c r="I85" s="49"/>
    </row>
    <row r="86" spans="1:10" ht="16" thickBot="1" x14ac:dyDescent="0.4">
      <c r="B86" s="197"/>
      <c r="C86" s="198" t="s">
        <v>559</v>
      </c>
      <c r="D86" s="201">
        <f t="shared" ref="D86:I86" si="10">D84</f>
        <v>150672.2527999999</v>
      </c>
      <c r="E86" s="229" t="e">
        <f t="shared" si="10"/>
        <v>#REF!</v>
      </c>
      <c r="F86" s="200">
        <f t="shared" si="10"/>
        <v>3594734.9505967665</v>
      </c>
      <c r="G86" s="68">
        <f t="shared" si="10"/>
        <v>4092972.3321306263</v>
      </c>
      <c r="H86" s="68">
        <f t="shared" si="10"/>
        <v>4237061.5020945445</v>
      </c>
      <c r="I86" s="68">
        <f t="shared" si="10"/>
        <v>4385473.3471573815</v>
      </c>
    </row>
    <row r="90" spans="1:10" x14ac:dyDescent="0.35">
      <c r="C90" s="253" t="s">
        <v>560</v>
      </c>
      <c r="D90" s="253" t="s">
        <v>561</v>
      </c>
      <c r="E90" s="253" t="s">
        <v>562</v>
      </c>
      <c r="F90" s="253" t="s">
        <v>563</v>
      </c>
      <c r="J90" s="253" t="s">
        <v>730</v>
      </c>
    </row>
    <row r="91" spans="1:10" x14ac:dyDescent="0.35">
      <c r="C91" t="s">
        <v>7</v>
      </c>
      <c r="D91" s="13">
        <f>E11</f>
        <v>441727</v>
      </c>
      <c r="E91" s="480">
        <f>'Master Budgets'!L3</f>
        <v>441727</v>
      </c>
      <c r="F91" t="str">
        <f>IF(D91=E91,"YEA","NOPE")</f>
        <v>YEA</v>
      </c>
      <c r="J91" t="str">
        <f>IF(D91=E91,"YEA","NOPE")</f>
        <v>YEA</v>
      </c>
    </row>
    <row r="92" spans="1:10" x14ac:dyDescent="0.35">
      <c r="C92" t="s">
        <v>564</v>
      </c>
      <c r="D92" s="13" t="e">
        <f>E31</f>
        <v>#REF!</v>
      </c>
      <c r="E92" s="480">
        <f>'Master Budgets'!L42</f>
        <v>5827011</v>
      </c>
      <c r="F92" s="235" t="e">
        <f>IF(D92=E92,"YEA","NOPE")</f>
        <v>#REF!</v>
      </c>
      <c r="J92" s="235" t="e">
        <f>IF(D92=E92,"YEA","NOPE")</f>
        <v>#REF!</v>
      </c>
    </row>
    <row r="93" spans="1:10" x14ac:dyDescent="0.35">
      <c r="C93" t="s">
        <v>565</v>
      </c>
      <c r="D93" s="4" t="e">
        <f>E82</f>
        <v>#REF!</v>
      </c>
      <c r="E93" s="480" t="e">
        <f>'Master Budgets'!L176</f>
        <v>#REF!</v>
      </c>
      <c r="F93" t="e">
        <f>IF(D93=E93,"YEA","NOPE")</f>
        <v>#REF!</v>
      </c>
      <c r="J93" t="e">
        <f>IF(D93=E93,"YEA","NOPE")</f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D33:D43" name="Range1_1"/>
  </protectedRanges>
  <mergeCells count="1">
    <mergeCell ref="B1:I1"/>
  </mergeCells>
  <phoneticPr fontId="18" type="noConversion"/>
  <dataValidations count="1">
    <dataValidation type="list" allowBlank="1" showInputMessage="1" showErrorMessage="1" sqref="B31:B32 B43" xr:uid="{DBD8CDA5-8193-499E-9361-85CB6E778CFA}">
      <formula1>#REF!</formula1>
    </dataValidation>
  </dataValidations>
  <pageMargins left="0.7" right="0.7" top="0.75" bottom="0.75" header="0.3" footer="0.3"/>
  <pageSetup scale="82" orientation="portrait" r:id="rId1"/>
  <rowBreaks count="1" manualBreakCount="1">
    <brk id="5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D72B-AD7B-4F9B-9859-9A0A8205EE09}">
  <dimension ref="A1:F167"/>
  <sheetViews>
    <sheetView workbookViewId="0">
      <selection activeCell="I17" sqref="I17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3" width="15.54296875" style="560" bestFit="1" customWidth="1"/>
    <col min="4" max="4" width="15.26953125" style="560" bestFit="1" customWidth="1"/>
    <col min="5" max="5" width="14.453125" style="560" hidden="1" customWidth="1"/>
    <col min="6" max="6" width="14.81640625" style="560" hidden="1" customWidth="1"/>
    <col min="7" max="16384" width="9.1796875" style="319"/>
  </cols>
  <sheetData>
    <row r="1" spans="1:6" s="559" customFormat="1" ht="19" thickBot="1" x14ac:dyDescent="0.5">
      <c r="B1" s="584" t="s">
        <v>473</v>
      </c>
      <c r="C1" s="1244" t="s">
        <v>1</v>
      </c>
      <c r="D1" s="1245"/>
      <c r="E1" s="1246" t="s">
        <v>115</v>
      </c>
      <c r="F1" s="1247"/>
    </row>
    <row r="2" spans="1:6" s="559" customFormat="1" ht="18" customHeight="1" thickBot="1" x14ac:dyDescent="0.4">
      <c r="A2" s="575" t="s">
        <v>520</v>
      </c>
      <c r="B2" s="585" t="s">
        <v>94</v>
      </c>
      <c r="C2" s="599" t="s">
        <v>475</v>
      </c>
      <c r="D2" s="599" t="s">
        <v>96</v>
      </c>
      <c r="E2" s="600" t="s">
        <v>475</v>
      </c>
      <c r="F2" s="600" t="s">
        <v>96</v>
      </c>
    </row>
    <row r="3" spans="1:6" ht="16" thickBot="1" x14ac:dyDescent="0.4">
      <c r="A3" s="574" t="s">
        <v>521</v>
      </c>
      <c r="B3" s="320" t="s">
        <v>7</v>
      </c>
      <c r="C3" s="590">
        <f>'Ector FY23-FY27 Budget '!D11</f>
        <v>1110185</v>
      </c>
      <c r="D3" s="590">
        <v>1199916</v>
      </c>
      <c r="E3" s="591">
        <f>'Mendez FY23-FY27 Budget'!D11</f>
        <v>0</v>
      </c>
      <c r="F3" s="592">
        <f>'Mendez FY23-FY27 Budget'!E11</f>
        <v>0</v>
      </c>
    </row>
    <row r="4" spans="1:6" ht="16" thickBot="1" x14ac:dyDescent="0.4">
      <c r="A4" s="575" t="s">
        <v>522</v>
      </c>
      <c r="B4" s="663" t="s">
        <v>353</v>
      </c>
      <c r="C4" s="556"/>
      <c r="D4" s="556"/>
      <c r="E4" s="556"/>
      <c r="F4" s="558"/>
    </row>
    <row r="5" spans="1:6" s="560" customFormat="1" x14ac:dyDescent="0.35">
      <c r="A5" s="576">
        <v>1</v>
      </c>
      <c r="B5" s="656" t="s">
        <v>99</v>
      </c>
      <c r="C5" s="661"/>
      <c r="D5" s="661"/>
      <c r="E5" s="662"/>
      <c r="F5" s="662"/>
    </row>
    <row r="6" spans="1:6" s="560" customFormat="1" x14ac:dyDescent="0.35">
      <c r="A6" s="577">
        <v>2</v>
      </c>
      <c r="B6" s="645" t="s">
        <v>477</v>
      </c>
      <c r="C6" s="653"/>
      <c r="D6" s="654"/>
      <c r="E6" s="655"/>
      <c r="F6" s="655"/>
    </row>
    <row r="7" spans="1:6" s="560" customFormat="1" x14ac:dyDescent="0.35">
      <c r="A7" s="577">
        <v>3</v>
      </c>
      <c r="B7" s="645" t="s">
        <v>478</v>
      </c>
      <c r="C7" s="653"/>
      <c r="D7" s="654"/>
      <c r="E7" s="655"/>
      <c r="F7" s="655"/>
    </row>
    <row r="8" spans="1:6" s="560" customFormat="1" x14ac:dyDescent="0.35">
      <c r="A8" s="576">
        <v>4</v>
      </c>
      <c r="B8" s="525" t="s">
        <v>101</v>
      </c>
      <c r="C8" s="605"/>
      <c r="D8" s="605"/>
      <c r="E8" s="606"/>
      <c r="F8" s="618"/>
    </row>
    <row r="9" spans="1:6" s="560" customFormat="1" x14ac:dyDescent="0.35">
      <c r="A9" s="576">
        <v>5</v>
      </c>
      <c r="B9" s="525" t="s">
        <v>356</v>
      </c>
      <c r="C9" s="605"/>
      <c r="D9" s="605"/>
      <c r="E9" s="606"/>
      <c r="F9" s="606"/>
    </row>
    <row r="10" spans="1:6" s="560" customFormat="1" x14ac:dyDescent="0.35">
      <c r="A10" s="577">
        <v>6</v>
      </c>
      <c r="B10" s="614" t="s">
        <v>262</v>
      </c>
      <c r="C10" s="605"/>
      <c r="D10" s="605"/>
      <c r="E10" s="606"/>
      <c r="F10" s="606"/>
    </row>
    <row r="11" spans="1:6" s="560" customFormat="1" x14ac:dyDescent="0.35">
      <c r="A11" s="577">
        <v>7</v>
      </c>
      <c r="B11" s="614" t="s">
        <v>19</v>
      </c>
      <c r="C11" s="605"/>
      <c r="D11" s="605"/>
      <c r="E11" s="606"/>
      <c r="F11" s="606"/>
    </row>
    <row r="12" spans="1:6" s="560" customFormat="1" x14ac:dyDescent="0.35">
      <c r="A12" s="577">
        <v>8</v>
      </c>
      <c r="B12" s="614" t="s">
        <v>18</v>
      </c>
      <c r="C12" s="605"/>
      <c r="D12" s="605"/>
      <c r="E12" s="606"/>
      <c r="F12" s="606"/>
    </row>
    <row r="13" spans="1:6" s="560" customFormat="1" x14ac:dyDescent="0.35">
      <c r="A13" s="578">
        <v>9</v>
      </c>
      <c r="B13" s="525" t="s">
        <v>218</v>
      </c>
      <c r="C13" s="605"/>
      <c r="D13" s="605"/>
      <c r="E13" s="606"/>
      <c r="F13" s="606"/>
    </row>
    <row r="14" spans="1:6" s="560" customFormat="1" x14ac:dyDescent="0.35">
      <c r="A14" s="578">
        <v>10</v>
      </c>
      <c r="B14" s="525" t="s">
        <v>357</v>
      </c>
      <c r="C14" s="605"/>
      <c r="D14" s="605"/>
      <c r="E14" s="606"/>
      <c r="F14" s="606"/>
    </row>
    <row r="15" spans="1:6" s="560" customFormat="1" x14ac:dyDescent="0.35">
      <c r="A15" s="578">
        <v>11</v>
      </c>
      <c r="B15" s="525" t="s">
        <v>219</v>
      </c>
      <c r="C15" s="605"/>
      <c r="D15" s="605"/>
      <c r="E15" s="606"/>
      <c r="F15" s="606"/>
    </row>
    <row r="16" spans="1:6" s="560" customFormat="1" x14ac:dyDescent="0.35">
      <c r="A16" s="578">
        <v>12</v>
      </c>
      <c r="B16" s="525" t="s">
        <v>230</v>
      </c>
      <c r="C16" s="605"/>
      <c r="D16" s="605"/>
      <c r="E16" s="606"/>
      <c r="F16" s="606"/>
    </row>
    <row r="17" spans="1:6" s="560" customFormat="1" x14ac:dyDescent="0.35">
      <c r="A17" s="578">
        <v>13</v>
      </c>
      <c r="B17" s="525" t="s">
        <v>359</v>
      </c>
      <c r="C17" s="605"/>
      <c r="D17" s="605"/>
      <c r="E17" s="606"/>
      <c r="F17" s="606"/>
    </row>
    <row r="18" spans="1:6" s="560" customFormat="1" x14ac:dyDescent="0.35">
      <c r="A18" s="578">
        <v>14</v>
      </c>
      <c r="B18" s="525" t="s">
        <v>260</v>
      </c>
      <c r="C18" s="605"/>
      <c r="D18" s="605"/>
      <c r="E18" s="606"/>
      <c r="F18" s="606"/>
    </row>
    <row r="19" spans="1:6" s="560" customFormat="1" x14ac:dyDescent="0.35">
      <c r="A19" s="578">
        <v>15</v>
      </c>
      <c r="B19" s="525" t="s">
        <v>12</v>
      </c>
      <c r="C19" s="605"/>
      <c r="D19" s="605"/>
      <c r="E19" s="606"/>
      <c r="F19" s="606"/>
    </row>
    <row r="20" spans="1:6" s="560" customFormat="1" x14ac:dyDescent="0.35">
      <c r="A20" s="578">
        <v>16</v>
      </c>
      <c r="B20" s="525" t="s">
        <v>220</v>
      </c>
      <c r="C20" s="605"/>
      <c r="D20" s="605"/>
      <c r="E20" s="606"/>
      <c r="F20" s="606"/>
    </row>
    <row r="21" spans="1:6" s="560" customFormat="1" x14ac:dyDescent="0.35">
      <c r="A21" s="578">
        <v>17</v>
      </c>
      <c r="B21" s="525" t="s">
        <v>8</v>
      </c>
      <c r="C21" s="605"/>
      <c r="D21" s="605"/>
      <c r="E21" s="606"/>
      <c r="F21" s="606"/>
    </row>
    <row r="22" spans="1:6" s="560" customFormat="1" x14ac:dyDescent="0.35">
      <c r="A22" s="578">
        <v>18</v>
      </c>
      <c r="B22" s="525" t="s">
        <v>117</v>
      </c>
      <c r="C22" s="605"/>
      <c r="D22" s="605"/>
      <c r="E22" s="606"/>
      <c r="F22" s="606"/>
    </row>
    <row r="23" spans="1:6" s="560" customFormat="1" x14ac:dyDescent="0.35">
      <c r="A23" s="578">
        <v>19</v>
      </c>
      <c r="B23" s="525" t="s">
        <v>118</v>
      </c>
      <c r="C23" s="605"/>
      <c r="D23" s="605"/>
      <c r="E23" s="606"/>
      <c r="F23" s="606"/>
    </row>
    <row r="24" spans="1:6" s="560" customFormat="1" x14ac:dyDescent="0.35">
      <c r="A24" s="576">
        <v>20</v>
      </c>
      <c r="B24" s="525" t="s">
        <v>108</v>
      </c>
      <c r="C24" s="605"/>
      <c r="D24" s="605"/>
      <c r="E24" s="606"/>
      <c r="F24" s="606"/>
    </row>
    <row r="25" spans="1:6" s="560" customFormat="1" x14ac:dyDescent="0.35">
      <c r="A25" s="577">
        <v>21</v>
      </c>
      <c r="B25" s="614" t="s">
        <v>13</v>
      </c>
      <c r="C25" s="605"/>
      <c r="D25" s="605"/>
      <c r="E25" s="606"/>
      <c r="F25" s="606"/>
    </row>
    <row r="26" spans="1:6" s="560" customFormat="1" x14ac:dyDescent="0.35">
      <c r="A26" s="577">
        <v>22</v>
      </c>
      <c r="B26" s="614" t="s">
        <v>20</v>
      </c>
      <c r="C26" s="605"/>
      <c r="D26" s="605"/>
      <c r="E26" s="606"/>
      <c r="F26" s="606"/>
    </row>
    <row r="27" spans="1:6" s="560" customFormat="1" x14ac:dyDescent="0.35">
      <c r="A27" s="576">
        <v>23</v>
      </c>
      <c r="B27" s="525" t="s">
        <v>104</v>
      </c>
      <c r="C27" s="605"/>
      <c r="D27" s="605"/>
      <c r="E27" s="606"/>
      <c r="F27" s="606"/>
    </row>
    <row r="28" spans="1:6" s="560" customFormat="1" x14ac:dyDescent="0.35">
      <c r="A28" s="576">
        <v>24</v>
      </c>
      <c r="B28" s="525" t="s">
        <v>105</v>
      </c>
      <c r="C28" s="605"/>
      <c r="D28" s="605"/>
      <c r="E28" s="606"/>
      <c r="F28" s="606"/>
    </row>
    <row r="29" spans="1:6" s="560" customFormat="1" x14ac:dyDescent="0.35">
      <c r="A29" s="576">
        <v>25</v>
      </c>
      <c r="B29" s="525" t="s">
        <v>106</v>
      </c>
      <c r="C29" s="605"/>
      <c r="D29" s="605"/>
      <c r="E29" s="606"/>
      <c r="F29" s="606"/>
    </row>
    <row r="30" spans="1:6" s="560" customFormat="1" x14ac:dyDescent="0.35">
      <c r="A30" s="576">
        <v>26</v>
      </c>
      <c r="B30" s="525" t="s">
        <v>107</v>
      </c>
      <c r="C30" s="605"/>
      <c r="D30" s="605"/>
      <c r="E30" s="606"/>
      <c r="F30" s="606"/>
    </row>
    <row r="31" spans="1:6" s="560" customFormat="1" x14ac:dyDescent="0.35">
      <c r="A31" s="576">
        <v>27</v>
      </c>
      <c r="B31" s="525" t="s">
        <v>109</v>
      </c>
      <c r="C31" s="605"/>
      <c r="D31" s="605"/>
      <c r="E31" s="606"/>
      <c r="F31" s="606"/>
    </row>
    <row r="32" spans="1:6" s="560" customFormat="1" x14ac:dyDescent="0.35">
      <c r="A32" s="577">
        <v>28</v>
      </c>
      <c r="B32" s="525" t="s">
        <v>222</v>
      </c>
      <c r="C32" s="605"/>
      <c r="D32" s="605"/>
      <c r="E32" s="606"/>
      <c r="F32" s="606"/>
    </row>
    <row r="33" spans="1:6" s="560" customFormat="1" x14ac:dyDescent="0.35">
      <c r="A33" s="578">
        <v>29</v>
      </c>
      <c r="B33" s="525" t="s">
        <v>361</v>
      </c>
      <c r="C33" s="605"/>
      <c r="D33" s="605"/>
      <c r="E33" s="606"/>
      <c r="F33" s="606"/>
    </row>
    <row r="34" spans="1:6" s="560" customFormat="1" x14ac:dyDescent="0.35">
      <c r="A34" s="578">
        <v>30</v>
      </c>
      <c r="B34" s="525" t="s">
        <v>111</v>
      </c>
      <c r="C34" s="605"/>
      <c r="D34" s="605"/>
      <c r="E34" s="606"/>
      <c r="F34" s="606"/>
    </row>
    <row r="35" spans="1:6" s="560" customFormat="1" x14ac:dyDescent="0.35">
      <c r="A35" s="577">
        <v>31</v>
      </c>
      <c r="B35" s="614" t="s">
        <v>261</v>
      </c>
      <c r="C35" s="605"/>
      <c r="D35" s="605"/>
      <c r="E35" s="606"/>
      <c r="F35" s="606"/>
    </row>
    <row r="36" spans="1:6" s="560" customFormat="1" x14ac:dyDescent="0.35">
      <c r="A36" s="576">
        <v>32</v>
      </c>
      <c r="B36" s="525" t="s">
        <v>479</v>
      </c>
      <c r="C36" s="605"/>
      <c r="D36" s="605"/>
      <c r="E36" s="606"/>
      <c r="F36" s="606"/>
    </row>
    <row r="37" spans="1:6" s="560" customFormat="1" x14ac:dyDescent="0.35">
      <c r="A37" s="579">
        <v>33</v>
      </c>
      <c r="B37" s="525" t="s">
        <v>264</v>
      </c>
      <c r="C37" s="605"/>
      <c r="D37" s="605"/>
      <c r="E37" s="606"/>
      <c r="F37" s="606"/>
    </row>
    <row r="38" spans="1:6" s="560" customFormat="1" x14ac:dyDescent="0.35">
      <c r="A38" s="577">
        <v>34</v>
      </c>
      <c r="B38" s="614" t="s">
        <v>14</v>
      </c>
      <c r="C38" s="605"/>
      <c r="D38" s="605"/>
      <c r="E38" s="606"/>
      <c r="F38" s="606"/>
    </row>
    <row r="39" spans="1:6" s="560" customFormat="1" x14ac:dyDescent="0.35">
      <c r="A39" s="577">
        <v>35</v>
      </c>
      <c r="B39" s="617" t="s">
        <v>368</v>
      </c>
      <c r="C39" s="605"/>
      <c r="D39" s="605"/>
      <c r="E39" s="606"/>
      <c r="F39" s="618"/>
    </row>
    <row r="40" spans="1:6" s="560" customFormat="1" x14ac:dyDescent="0.35">
      <c r="A40" s="577">
        <v>36</v>
      </c>
      <c r="B40" s="614" t="s">
        <v>265</v>
      </c>
      <c r="C40" s="605"/>
      <c r="D40" s="605"/>
      <c r="E40" s="606"/>
      <c r="F40" s="606"/>
    </row>
    <row r="41" spans="1:6" s="560" customFormat="1" x14ac:dyDescent="0.35">
      <c r="A41" s="577">
        <v>37</v>
      </c>
      <c r="B41" s="617" t="s">
        <v>480</v>
      </c>
      <c r="C41" s="605"/>
      <c r="D41" s="605"/>
      <c r="E41" s="606"/>
      <c r="F41" s="606"/>
    </row>
    <row r="42" spans="1:6" s="568" customFormat="1" ht="15.5" x14ac:dyDescent="0.35">
      <c r="A42" s="580"/>
      <c r="B42" s="561" t="s">
        <v>371</v>
      </c>
      <c r="C42" s="566"/>
      <c r="D42" s="566"/>
      <c r="E42" s="567"/>
      <c r="F42" s="567"/>
    </row>
    <row r="43" spans="1:6" s="568" customFormat="1" ht="9.75" customHeight="1" x14ac:dyDescent="0.35">
      <c r="A43" s="581"/>
      <c r="B43" s="569"/>
      <c r="C43" s="570"/>
      <c r="D43" s="570"/>
      <c r="E43" s="570"/>
      <c r="F43" s="570"/>
    </row>
    <row r="44" spans="1:6" ht="15.5" x14ac:dyDescent="0.35">
      <c r="A44" s="575"/>
      <c r="B44" s="554" t="s">
        <v>372</v>
      </c>
      <c r="C44" s="554"/>
      <c r="D44" s="554"/>
      <c r="E44" s="554"/>
      <c r="F44" s="554"/>
    </row>
    <row r="45" spans="1:6" x14ac:dyDescent="0.35">
      <c r="A45" s="576">
        <v>1</v>
      </c>
      <c r="B45" s="524" t="s">
        <v>373</v>
      </c>
      <c r="C45" s="605"/>
      <c r="D45" s="605"/>
      <c r="E45" s="606"/>
      <c r="F45" s="606"/>
    </row>
    <row r="46" spans="1:6" x14ac:dyDescent="0.35">
      <c r="A46" s="576">
        <v>2</v>
      </c>
      <c r="B46" s="525" t="s">
        <v>374</v>
      </c>
      <c r="C46" s="605"/>
      <c r="D46" s="605"/>
      <c r="E46" s="606"/>
      <c r="F46" s="606"/>
    </row>
    <row r="47" spans="1:6" x14ac:dyDescent="0.35">
      <c r="A47" s="576">
        <v>3</v>
      </c>
      <c r="B47" s="607" t="s">
        <v>375</v>
      </c>
      <c r="C47" s="605"/>
      <c r="D47" s="605"/>
      <c r="E47" s="606"/>
      <c r="F47" s="606"/>
    </row>
    <row r="48" spans="1:6" x14ac:dyDescent="0.35">
      <c r="A48" s="576">
        <v>4</v>
      </c>
      <c r="B48" s="524" t="s">
        <v>483</v>
      </c>
      <c r="C48" s="605"/>
      <c r="D48" s="605"/>
      <c r="E48" s="606"/>
      <c r="F48" s="606"/>
    </row>
    <row r="49" spans="1:6" x14ac:dyDescent="0.35">
      <c r="A49" s="576">
        <v>5</v>
      </c>
      <c r="B49" s="524" t="s">
        <v>378</v>
      </c>
      <c r="C49" s="605"/>
      <c r="D49" s="605"/>
      <c r="E49" s="606"/>
      <c r="F49" s="606"/>
    </row>
    <row r="50" spans="1:6" x14ac:dyDescent="0.35">
      <c r="A50" s="576">
        <v>8</v>
      </c>
      <c r="B50" s="524" t="s">
        <v>484</v>
      </c>
      <c r="C50" s="605"/>
      <c r="D50" s="605"/>
      <c r="E50" s="606"/>
      <c r="F50" s="606"/>
    </row>
    <row r="51" spans="1:6" x14ac:dyDescent="0.35">
      <c r="A51" s="576">
        <v>6</v>
      </c>
      <c r="B51" s="524" t="s">
        <v>381</v>
      </c>
      <c r="C51" s="605"/>
      <c r="D51" s="605"/>
      <c r="E51" s="606"/>
      <c r="F51" s="606"/>
    </row>
    <row r="52" spans="1:6" x14ac:dyDescent="0.35">
      <c r="A52" s="576">
        <v>7</v>
      </c>
      <c r="B52" s="524" t="s">
        <v>382</v>
      </c>
      <c r="C52" s="605"/>
      <c r="D52" s="605"/>
      <c r="E52" s="606"/>
      <c r="F52" s="606"/>
    </row>
    <row r="53" spans="1:6" x14ac:dyDescent="0.35">
      <c r="A53" s="576">
        <v>9</v>
      </c>
      <c r="B53" s="524" t="s">
        <v>384</v>
      </c>
      <c r="C53" s="605"/>
      <c r="D53" s="605"/>
      <c r="E53" s="606"/>
      <c r="F53" s="606"/>
    </row>
    <row r="54" spans="1:6" x14ac:dyDescent="0.35">
      <c r="A54" s="576">
        <v>10</v>
      </c>
      <c r="B54" s="550" t="s">
        <v>485</v>
      </c>
      <c r="C54" s="605"/>
      <c r="D54" s="605"/>
      <c r="E54" s="606"/>
      <c r="F54" s="606"/>
    </row>
    <row r="55" spans="1:6" x14ac:dyDescent="0.35">
      <c r="A55" s="576">
        <v>11</v>
      </c>
      <c r="B55" s="550" t="s">
        <v>486</v>
      </c>
      <c r="C55" s="605"/>
      <c r="D55" s="605"/>
      <c r="E55" s="606"/>
      <c r="F55" s="606"/>
    </row>
    <row r="56" spans="1:6" x14ac:dyDescent="0.35">
      <c r="A56" s="576">
        <v>12</v>
      </c>
      <c r="B56" s="524" t="s">
        <v>487</v>
      </c>
      <c r="C56" s="605"/>
      <c r="D56" s="605"/>
      <c r="E56" s="606"/>
      <c r="F56" s="606"/>
    </row>
    <row r="57" spans="1:6" x14ac:dyDescent="0.35">
      <c r="A57" s="576">
        <v>13</v>
      </c>
      <c r="B57" s="550" t="s">
        <v>523</v>
      </c>
      <c r="C57" s="605"/>
      <c r="D57" s="605"/>
      <c r="E57" s="606"/>
      <c r="F57" s="606"/>
    </row>
    <row r="58" spans="1:6" x14ac:dyDescent="0.35">
      <c r="A58" s="576">
        <v>14</v>
      </c>
      <c r="B58" s="550" t="s">
        <v>524</v>
      </c>
      <c r="C58" s="605"/>
      <c r="D58" s="605"/>
      <c r="E58" s="606"/>
      <c r="F58" s="606"/>
    </row>
    <row r="59" spans="1:6" x14ac:dyDescent="0.35">
      <c r="A59" s="576">
        <v>15</v>
      </c>
      <c r="B59" s="550" t="s">
        <v>490</v>
      </c>
      <c r="C59" s="605"/>
      <c r="D59" s="605"/>
      <c r="E59" s="606"/>
      <c r="F59" s="606"/>
    </row>
    <row r="60" spans="1:6" x14ac:dyDescent="0.35">
      <c r="A60" s="576">
        <v>16</v>
      </c>
      <c r="B60" s="524" t="s">
        <v>491</v>
      </c>
      <c r="C60" s="605"/>
      <c r="D60" s="605"/>
      <c r="E60" s="606"/>
      <c r="F60" s="606"/>
    </row>
    <row r="61" spans="1:6" x14ac:dyDescent="0.35">
      <c r="A61" s="576">
        <v>17</v>
      </c>
      <c r="B61" s="524" t="s">
        <v>492</v>
      </c>
      <c r="C61" s="605"/>
      <c r="D61" s="605"/>
      <c r="E61" s="606"/>
      <c r="F61" s="606"/>
    </row>
    <row r="62" spans="1:6" x14ac:dyDescent="0.35">
      <c r="A62" s="576">
        <v>18</v>
      </c>
      <c r="B62" s="524" t="s">
        <v>244</v>
      </c>
      <c r="C62" s="605"/>
      <c r="D62" s="605"/>
      <c r="E62" s="606"/>
      <c r="F62" s="606"/>
    </row>
    <row r="63" spans="1:6" x14ac:dyDescent="0.35">
      <c r="A63" s="576">
        <v>19</v>
      </c>
      <c r="B63" s="524" t="s">
        <v>397</v>
      </c>
      <c r="C63" s="605"/>
      <c r="D63" s="605"/>
      <c r="E63" s="606"/>
      <c r="F63" s="606"/>
    </row>
    <row r="64" spans="1:6" x14ac:dyDescent="0.35">
      <c r="A64" s="576">
        <v>20</v>
      </c>
      <c r="B64" s="524" t="s">
        <v>398</v>
      </c>
      <c r="C64" s="605"/>
      <c r="D64" s="605"/>
      <c r="E64" s="606"/>
      <c r="F64" s="606"/>
    </row>
    <row r="65" spans="1:6" x14ac:dyDescent="0.35">
      <c r="A65" s="576">
        <v>21</v>
      </c>
      <c r="B65" s="524" t="s">
        <v>399</v>
      </c>
      <c r="C65" s="605"/>
      <c r="D65" s="605"/>
      <c r="E65" s="606"/>
      <c r="F65" s="606"/>
    </row>
    <row r="66" spans="1:6" x14ac:dyDescent="0.35">
      <c r="A66" s="576">
        <v>22</v>
      </c>
      <c r="B66" s="524" t="s">
        <v>525</v>
      </c>
      <c r="C66" s="605"/>
      <c r="D66" s="605"/>
      <c r="E66" s="606"/>
      <c r="F66" s="606"/>
    </row>
    <row r="67" spans="1:6" x14ac:dyDescent="0.35">
      <c r="A67" s="576">
        <v>23</v>
      </c>
      <c r="B67" s="551" t="s">
        <v>526</v>
      </c>
      <c r="C67" s="605"/>
      <c r="D67" s="605"/>
      <c r="E67" s="606"/>
      <c r="F67" s="606"/>
    </row>
    <row r="68" spans="1:6" x14ac:dyDescent="0.35">
      <c r="A68" s="576">
        <v>24</v>
      </c>
      <c r="B68" s="551" t="s">
        <v>494</v>
      </c>
      <c r="C68" s="605"/>
      <c r="D68" s="605"/>
      <c r="E68" s="606"/>
      <c r="F68" s="606"/>
    </row>
    <row r="69" spans="1:6" s="560" customFormat="1" x14ac:dyDescent="0.35">
      <c r="A69" s="576">
        <v>25</v>
      </c>
      <c r="B69" s="551" t="s">
        <v>171</v>
      </c>
      <c r="C69" s="605"/>
      <c r="D69" s="605"/>
      <c r="E69" s="606"/>
      <c r="F69" s="606"/>
    </row>
    <row r="70" spans="1:6" x14ac:dyDescent="0.35">
      <c r="A70" s="576">
        <v>26</v>
      </c>
      <c r="B70" s="551" t="s">
        <v>314</v>
      </c>
      <c r="C70" s="605"/>
      <c r="D70" s="605"/>
      <c r="E70" s="606"/>
      <c r="F70" s="606"/>
    </row>
    <row r="71" spans="1:6" x14ac:dyDescent="0.35">
      <c r="A71" s="576">
        <v>27</v>
      </c>
      <c r="B71" s="524" t="s">
        <v>195</v>
      </c>
      <c r="C71" s="605"/>
      <c r="D71" s="605"/>
      <c r="E71" s="606"/>
      <c r="F71" s="606"/>
    </row>
    <row r="72" spans="1:6" x14ac:dyDescent="0.35">
      <c r="A72" s="576">
        <v>28</v>
      </c>
      <c r="B72" s="524" t="s">
        <v>495</v>
      </c>
      <c r="C72" s="605"/>
      <c r="D72" s="605"/>
      <c r="E72" s="606"/>
      <c r="F72" s="606"/>
    </row>
    <row r="73" spans="1:6" x14ac:dyDescent="0.35">
      <c r="A73" s="576">
        <v>29</v>
      </c>
      <c r="B73" s="524" t="s">
        <v>527</v>
      </c>
      <c r="C73" s="605"/>
      <c r="D73" s="605"/>
      <c r="E73" s="606"/>
      <c r="F73" s="606"/>
    </row>
    <row r="74" spans="1:6" x14ac:dyDescent="0.35">
      <c r="A74" s="576">
        <v>30</v>
      </c>
      <c r="B74" s="524" t="s">
        <v>505</v>
      </c>
      <c r="C74" s="605"/>
      <c r="D74" s="605"/>
      <c r="E74" s="606"/>
      <c r="F74" s="606"/>
    </row>
    <row r="75" spans="1:6" x14ac:dyDescent="0.35">
      <c r="A75" s="576">
        <v>31</v>
      </c>
      <c r="B75" s="524" t="s">
        <v>507</v>
      </c>
      <c r="C75" s="605"/>
      <c r="D75" s="605"/>
      <c r="E75" s="606"/>
      <c r="F75" s="606"/>
    </row>
    <row r="76" spans="1:6" x14ac:dyDescent="0.35">
      <c r="A76" s="576">
        <v>32</v>
      </c>
      <c r="B76" s="608" t="s">
        <v>511</v>
      </c>
      <c r="C76" s="605"/>
      <c r="D76" s="605"/>
      <c r="E76" s="606"/>
      <c r="F76" s="606"/>
    </row>
    <row r="77" spans="1:6" x14ac:dyDescent="0.35">
      <c r="A77" s="576">
        <v>33</v>
      </c>
      <c r="B77" s="608" t="s">
        <v>512</v>
      </c>
      <c r="C77" s="605"/>
      <c r="D77" s="605"/>
      <c r="E77" s="606"/>
      <c r="F77" s="606"/>
    </row>
    <row r="78" spans="1:6" x14ac:dyDescent="0.35">
      <c r="A78" s="576">
        <v>34</v>
      </c>
      <c r="B78" s="609" t="s">
        <v>202</v>
      </c>
      <c r="C78" s="605"/>
      <c r="D78" s="605"/>
      <c r="E78" s="606"/>
      <c r="F78" s="606"/>
    </row>
    <row r="79" spans="1:6" x14ac:dyDescent="0.35">
      <c r="A79" s="576">
        <v>35</v>
      </c>
      <c r="B79" s="524" t="s">
        <v>508</v>
      </c>
      <c r="C79" s="605"/>
      <c r="D79" s="605"/>
      <c r="E79" s="606"/>
      <c r="F79" s="606"/>
    </row>
    <row r="80" spans="1:6" x14ac:dyDescent="0.35">
      <c r="A80" s="576">
        <v>36</v>
      </c>
      <c r="B80" s="552" t="s">
        <v>528</v>
      </c>
      <c r="C80" s="605"/>
      <c r="D80" s="605"/>
      <c r="E80" s="606"/>
      <c r="F80" s="606"/>
    </row>
    <row r="81" spans="1:6" x14ac:dyDescent="0.35">
      <c r="A81" s="576">
        <v>37</v>
      </c>
      <c r="B81" s="524" t="s">
        <v>198</v>
      </c>
      <c r="C81" s="605"/>
      <c r="D81" s="605"/>
      <c r="E81" s="606"/>
      <c r="F81" s="606"/>
    </row>
    <row r="82" spans="1:6" x14ac:dyDescent="0.35">
      <c r="A82" s="576">
        <v>38</v>
      </c>
      <c r="B82" s="524" t="s">
        <v>316</v>
      </c>
      <c r="C82" s="605"/>
      <c r="D82" s="605"/>
      <c r="E82" s="606"/>
      <c r="F82" s="606"/>
    </row>
    <row r="83" spans="1:6" x14ac:dyDescent="0.35">
      <c r="A83" s="576">
        <v>39</v>
      </c>
      <c r="B83" s="610" t="s">
        <v>317</v>
      </c>
      <c r="C83" s="605"/>
      <c r="D83" s="605"/>
      <c r="E83" s="606"/>
      <c r="F83" s="606"/>
    </row>
    <row r="84" spans="1:6" x14ac:dyDescent="0.35">
      <c r="A84" s="576">
        <v>40</v>
      </c>
      <c r="B84" s="524" t="s">
        <v>404</v>
      </c>
      <c r="C84" s="605"/>
      <c r="D84" s="605"/>
      <c r="E84" s="606"/>
      <c r="F84" s="606"/>
    </row>
    <row r="85" spans="1:6" x14ac:dyDescent="0.35">
      <c r="A85" s="576">
        <v>41</v>
      </c>
      <c r="B85" s="524" t="s">
        <v>496</v>
      </c>
      <c r="C85" s="605"/>
      <c r="D85" s="605"/>
      <c r="E85" s="606"/>
      <c r="F85" s="606"/>
    </row>
    <row r="86" spans="1:6" x14ac:dyDescent="0.35">
      <c r="A86" s="576">
        <v>42</v>
      </c>
      <c r="B86" s="524" t="s">
        <v>497</v>
      </c>
      <c r="C86" s="605"/>
      <c r="D86" s="605"/>
      <c r="E86" s="606"/>
      <c r="F86" s="606"/>
    </row>
    <row r="87" spans="1:6" x14ac:dyDescent="0.35">
      <c r="A87" s="576">
        <v>43</v>
      </c>
      <c r="B87" s="524" t="s">
        <v>173</v>
      </c>
      <c r="C87" s="605"/>
      <c r="D87" s="605"/>
      <c r="E87" s="606"/>
      <c r="F87" s="606"/>
    </row>
    <row r="88" spans="1:6" x14ac:dyDescent="0.35">
      <c r="A88" s="576">
        <v>44</v>
      </c>
      <c r="B88" s="524" t="s">
        <v>179</v>
      </c>
      <c r="C88" s="605"/>
      <c r="D88" s="605"/>
      <c r="E88" s="606"/>
      <c r="F88" s="606"/>
    </row>
    <row r="89" spans="1:6" x14ac:dyDescent="0.35">
      <c r="A89" s="576">
        <v>45</v>
      </c>
      <c r="B89" s="603" t="s">
        <v>529</v>
      </c>
      <c r="C89" s="605"/>
      <c r="D89" s="605"/>
      <c r="E89" s="606"/>
      <c r="F89" s="606"/>
    </row>
    <row r="90" spans="1:6" x14ac:dyDescent="0.35">
      <c r="A90" s="576">
        <v>46</v>
      </c>
      <c r="B90" s="603" t="s">
        <v>174</v>
      </c>
      <c r="C90" s="605"/>
      <c r="D90" s="605"/>
      <c r="E90" s="606"/>
      <c r="F90" s="606"/>
    </row>
    <row r="91" spans="1:6" x14ac:dyDescent="0.35">
      <c r="A91" s="576">
        <v>47</v>
      </c>
      <c r="B91" s="524" t="s">
        <v>175</v>
      </c>
      <c r="C91" s="605"/>
      <c r="D91" s="605"/>
      <c r="E91" s="606"/>
      <c r="F91" s="606"/>
    </row>
    <row r="92" spans="1:6" x14ac:dyDescent="0.35">
      <c r="A92" s="576">
        <v>48</v>
      </c>
      <c r="B92" s="527" t="s">
        <v>406</v>
      </c>
      <c r="C92" s="605"/>
      <c r="D92" s="605"/>
      <c r="E92" s="606"/>
      <c r="F92" s="606"/>
    </row>
    <row r="93" spans="1:6" x14ac:dyDescent="0.35">
      <c r="A93" s="576">
        <v>49</v>
      </c>
      <c r="B93" s="524" t="s">
        <v>176</v>
      </c>
      <c r="C93" s="605"/>
      <c r="D93" s="605"/>
      <c r="E93" s="606"/>
      <c r="F93" s="606"/>
    </row>
    <row r="94" spans="1:6" x14ac:dyDescent="0.35">
      <c r="A94" s="576">
        <v>50</v>
      </c>
      <c r="B94" s="526" t="s">
        <v>407</v>
      </c>
      <c r="C94" s="605"/>
      <c r="D94" s="605"/>
      <c r="E94" s="606"/>
      <c r="F94" s="606"/>
    </row>
    <row r="95" spans="1:6" x14ac:dyDescent="0.35">
      <c r="A95" s="576">
        <v>51</v>
      </c>
      <c r="B95" s="524" t="s">
        <v>125</v>
      </c>
      <c r="C95" s="605"/>
      <c r="D95" s="605"/>
      <c r="E95" s="606"/>
      <c r="F95" s="606"/>
    </row>
    <row r="96" spans="1:6" x14ac:dyDescent="0.35">
      <c r="A96" s="576">
        <v>52</v>
      </c>
      <c r="B96" s="610" t="s">
        <v>498</v>
      </c>
      <c r="C96" s="605"/>
      <c r="D96" s="605"/>
      <c r="E96" s="606"/>
      <c r="F96" s="606"/>
    </row>
    <row r="97" spans="1:6" x14ac:dyDescent="0.35">
      <c r="A97" s="576">
        <v>53</v>
      </c>
      <c r="B97" s="610" t="s">
        <v>178</v>
      </c>
      <c r="C97" s="605"/>
      <c r="D97" s="605"/>
      <c r="E97" s="606"/>
      <c r="F97" s="606"/>
    </row>
    <row r="98" spans="1:6" x14ac:dyDescent="0.35">
      <c r="A98" s="576">
        <v>54</v>
      </c>
      <c r="B98" s="526" t="s">
        <v>410</v>
      </c>
      <c r="C98" s="605"/>
      <c r="D98" s="605"/>
      <c r="E98" s="606"/>
      <c r="F98" s="606"/>
    </row>
    <row r="99" spans="1:6" x14ac:dyDescent="0.35">
      <c r="A99" s="576">
        <v>55</v>
      </c>
      <c r="B99" s="526" t="s">
        <v>411</v>
      </c>
      <c r="C99" s="605"/>
      <c r="D99" s="605"/>
      <c r="E99" s="606"/>
      <c r="F99" s="606"/>
    </row>
    <row r="100" spans="1:6" x14ac:dyDescent="0.35">
      <c r="A100" s="576">
        <v>56</v>
      </c>
      <c r="B100" s="526" t="s">
        <v>412</v>
      </c>
      <c r="C100" s="605"/>
      <c r="D100" s="605"/>
      <c r="E100" s="606"/>
      <c r="F100" s="606"/>
    </row>
    <row r="101" spans="1:6" x14ac:dyDescent="0.35">
      <c r="A101" s="576">
        <v>57</v>
      </c>
      <c r="B101" s="524" t="s">
        <v>182</v>
      </c>
      <c r="C101" s="605"/>
      <c r="D101" s="605"/>
      <c r="E101" s="606"/>
      <c r="F101" s="606"/>
    </row>
    <row r="102" spans="1:6" x14ac:dyDescent="0.35">
      <c r="A102" s="576">
        <v>58</v>
      </c>
      <c r="B102" s="524" t="s">
        <v>183</v>
      </c>
      <c r="C102" s="605"/>
      <c r="D102" s="605"/>
      <c r="E102" s="606"/>
      <c r="F102" s="606"/>
    </row>
    <row r="103" spans="1:6" x14ac:dyDescent="0.35">
      <c r="A103" s="576">
        <v>59</v>
      </c>
      <c r="B103" s="528" t="s">
        <v>413</v>
      </c>
      <c r="C103" s="605"/>
      <c r="D103" s="605"/>
      <c r="E103" s="606"/>
      <c r="F103" s="606"/>
    </row>
    <row r="104" spans="1:6" x14ac:dyDescent="0.35">
      <c r="A104" s="576">
        <v>60</v>
      </c>
      <c r="B104" s="528" t="s">
        <v>499</v>
      </c>
      <c r="C104" s="605"/>
      <c r="D104" s="605"/>
      <c r="E104" s="606"/>
      <c r="F104" s="606"/>
    </row>
    <row r="105" spans="1:6" x14ac:dyDescent="0.35">
      <c r="A105" s="576">
        <v>61</v>
      </c>
      <c r="B105" s="524" t="s">
        <v>184</v>
      </c>
      <c r="C105" s="605"/>
      <c r="D105" s="605"/>
      <c r="E105" s="606"/>
      <c r="F105" s="606"/>
    </row>
    <row r="106" spans="1:6" x14ac:dyDescent="0.35">
      <c r="A106" s="576">
        <v>62</v>
      </c>
      <c r="B106" s="524" t="s">
        <v>185</v>
      </c>
      <c r="C106" s="605"/>
      <c r="D106" s="605"/>
      <c r="E106" s="606"/>
      <c r="F106" s="606"/>
    </row>
    <row r="107" spans="1:6" x14ac:dyDescent="0.35">
      <c r="A107" s="576">
        <v>63</v>
      </c>
      <c r="B107" s="528" t="s">
        <v>415</v>
      </c>
      <c r="C107" s="605"/>
      <c r="D107" s="605"/>
      <c r="E107" s="606"/>
      <c r="F107" s="606"/>
    </row>
    <row r="108" spans="1:6" x14ac:dyDescent="0.35">
      <c r="A108" s="576">
        <v>64</v>
      </c>
      <c r="B108" s="528" t="s">
        <v>503</v>
      </c>
      <c r="C108" s="605"/>
      <c r="D108" s="605"/>
      <c r="E108" s="606"/>
      <c r="F108" s="606"/>
    </row>
    <row r="109" spans="1:6" x14ac:dyDescent="0.35">
      <c r="A109" s="576">
        <v>65</v>
      </c>
      <c r="B109" s="524" t="s">
        <v>186</v>
      </c>
      <c r="C109" s="605"/>
      <c r="D109" s="605"/>
      <c r="E109" s="606"/>
      <c r="F109" s="606"/>
    </row>
    <row r="110" spans="1:6" x14ac:dyDescent="0.35">
      <c r="A110" s="576">
        <v>66</v>
      </c>
      <c r="B110" s="524" t="s">
        <v>187</v>
      </c>
      <c r="C110" s="605"/>
      <c r="D110" s="605"/>
      <c r="E110" s="606"/>
      <c r="F110" s="606"/>
    </row>
    <row r="111" spans="1:6" x14ac:dyDescent="0.35">
      <c r="A111" s="576">
        <v>67</v>
      </c>
      <c r="B111" s="524" t="s">
        <v>188</v>
      </c>
      <c r="C111" s="605"/>
      <c r="D111" s="605"/>
      <c r="E111" s="606"/>
      <c r="F111" s="606"/>
    </row>
    <row r="112" spans="1:6" x14ac:dyDescent="0.35">
      <c r="A112" s="576">
        <v>68</v>
      </c>
      <c r="B112" s="524" t="s">
        <v>194</v>
      </c>
      <c r="C112" s="605"/>
      <c r="D112" s="605"/>
      <c r="E112" s="606"/>
      <c r="F112" s="606"/>
    </row>
    <row r="113" spans="1:6" x14ac:dyDescent="0.35">
      <c r="A113" s="576">
        <v>69</v>
      </c>
      <c r="B113" s="524" t="s">
        <v>322</v>
      </c>
      <c r="C113" s="605"/>
      <c r="D113" s="605"/>
      <c r="E113" s="606"/>
      <c r="F113" s="606"/>
    </row>
    <row r="114" spans="1:6" x14ac:dyDescent="0.35">
      <c r="A114" s="576">
        <v>70</v>
      </c>
      <c r="B114" s="526" t="s">
        <v>417</v>
      </c>
      <c r="C114" s="605"/>
      <c r="D114" s="605"/>
      <c r="E114" s="606"/>
      <c r="F114" s="606"/>
    </row>
    <row r="115" spans="1:6" x14ac:dyDescent="0.35">
      <c r="A115" s="576">
        <v>71</v>
      </c>
      <c r="B115" s="524" t="s">
        <v>189</v>
      </c>
      <c r="C115" s="605"/>
      <c r="D115" s="605"/>
      <c r="E115" s="606"/>
      <c r="F115" s="606"/>
    </row>
    <row r="116" spans="1:6" x14ac:dyDescent="0.35">
      <c r="A116" s="576">
        <v>72</v>
      </c>
      <c r="B116" s="526" t="s">
        <v>419</v>
      </c>
      <c r="C116" s="605"/>
      <c r="D116" s="605"/>
      <c r="E116" s="606"/>
      <c r="F116" s="606"/>
    </row>
    <row r="117" spans="1:6" x14ac:dyDescent="0.35">
      <c r="A117" s="576">
        <v>73</v>
      </c>
      <c r="B117" s="602" t="s">
        <v>530</v>
      </c>
      <c r="C117" s="605"/>
      <c r="D117" s="605"/>
      <c r="E117" s="606"/>
      <c r="F117" s="606"/>
    </row>
    <row r="118" spans="1:6" x14ac:dyDescent="0.35">
      <c r="A118" s="576">
        <v>74</v>
      </c>
      <c r="B118" s="524" t="s">
        <v>191</v>
      </c>
      <c r="C118" s="605"/>
      <c r="D118" s="605"/>
      <c r="E118" s="606"/>
      <c r="F118" s="606"/>
    </row>
    <row r="119" spans="1:6" x14ac:dyDescent="0.35">
      <c r="A119" s="576">
        <v>75</v>
      </c>
      <c r="B119" s="524" t="s">
        <v>192</v>
      </c>
      <c r="C119" s="605"/>
      <c r="D119" s="605"/>
      <c r="E119" s="606"/>
      <c r="F119" s="606"/>
    </row>
    <row r="120" spans="1:6" x14ac:dyDescent="0.35">
      <c r="A120" s="576">
        <v>76</v>
      </c>
      <c r="B120" s="524" t="s">
        <v>193</v>
      </c>
      <c r="C120" s="605"/>
      <c r="D120" s="605"/>
      <c r="E120" s="606"/>
      <c r="F120" s="606"/>
    </row>
    <row r="121" spans="1:6" x14ac:dyDescent="0.35">
      <c r="A121" s="576">
        <v>77</v>
      </c>
      <c r="B121" s="524" t="s">
        <v>212</v>
      </c>
      <c r="C121" s="605"/>
      <c r="D121" s="605"/>
      <c r="E121" s="606"/>
      <c r="F121" s="606"/>
    </row>
    <row r="122" spans="1:6" x14ac:dyDescent="0.35">
      <c r="A122" s="576">
        <v>78</v>
      </c>
      <c r="B122" s="524" t="s">
        <v>204</v>
      </c>
      <c r="C122" s="605"/>
      <c r="D122" s="605"/>
      <c r="E122" s="606"/>
      <c r="F122" s="606"/>
    </row>
    <row r="123" spans="1:6" x14ac:dyDescent="0.35">
      <c r="A123" s="576">
        <v>79</v>
      </c>
      <c r="B123" s="524" t="s">
        <v>205</v>
      </c>
      <c r="C123" s="605"/>
      <c r="D123" s="605"/>
      <c r="E123" s="606"/>
      <c r="F123" s="606"/>
    </row>
    <row r="124" spans="1:6" x14ac:dyDescent="0.35">
      <c r="A124" s="576">
        <v>80</v>
      </c>
      <c r="B124" s="524" t="s">
        <v>206</v>
      </c>
      <c r="C124" s="605"/>
      <c r="D124" s="605"/>
      <c r="E124" s="606"/>
      <c r="F124" s="606"/>
    </row>
    <row r="125" spans="1:6" x14ac:dyDescent="0.35">
      <c r="A125" s="576">
        <v>81</v>
      </c>
      <c r="B125" s="526" t="s">
        <v>425</v>
      </c>
      <c r="C125" s="605"/>
      <c r="D125" s="605"/>
      <c r="E125" s="606"/>
      <c r="F125" s="606"/>
    </row>
    <row r="126" spans="1:6" x14ac:dyDescent="0.35">
      <c r="A126" s="576">
        <v>82</v>
      </c>
      <c r="B126" s="526" t="s">
        <v>509</v>
      </c>
      <c r="C126" s="605"/>
      <c r="D126" s="605"/>
      <c r="E126" s="606"/>
      <c r="F126" s="606"/>
    </row>
    <row r="127" spans="1:6" x14ac:dyDescent="0.35">
      <c r="A127" s="576">
        <v>83</v>
      </c>
      <c r="B127" s="526" t="s">
        <v>426</v>
      </c>
      <c r="C127" s="605"/>
      <c r="D127" s="605"/>
      <c r="E127" s="606"/>
      <c r="F127" s="606"/>
    </row>
    <row r="128" spans="1:6" x14ac:dyDescent="0.35">
      <c r="A128" s="576">
        <v>84</v>
      </c>
      <c r="B128" s="605" t="s">
        <v>531</v>
      </c>
      <c r="C128" s="605"/>
      <c r="D128" s="605"/>
      <c r="E128" s="606"/>
      <c r="F128" s="606"/>
    </row>
    <row r="129" spans="1:6" x14ac:dyDescent="0.35">
      <c r="A129" s="576">
        <v>85</v>
      </c>
      <c r="B129" s="524" t="s">
        <v>427</v>
      </c>
      <c r="C129" s="605"/>
      <c r="D129" s="605"/>
      <c r="E129" s="606"/>
      <c r="F129" s="606"/>
    </row>
    <row r="130" spans="1:6" x14ac:dyDescent="0.35">
      <c r="A130" s="576">
        <v>86</v>
      </c>
      <c r="B130" s="524" t="s">
        <v>428</v>
      </c>
      <c r="C130" s="605"/>
      <c r="D130" s="605"/>
      <c r="E130" s="606"/>
      <c r="F130" s="606"/>
    </row>
    <row r="131" spans="1:6" x14ac:dyDescent="0.35">
      <c r="A131" s="576">
        <v>87</v>
      </c>
      <c r="B131" s="524" t="s">
        <v>211</v>
      </c>
      <c r="C131" s="605"/>
      <c r="D131" s="605"/>
      <c r="E131" s="606"/>
      <c r="F131" s="606"/>
    </row>
    <row r="132" spans="1:6" x14ac:dyDescent="0.35">
      <c r="A132" s="576">
        <v>88</v>
      </c>
      <c r="B132" s="524" t="s">
        <v>85</v>
      </c>
      <c r="C132" s="605"/>
      <c r="D132" s="605"/>
      <c r="E132" s="606"/>
      <c r="F132" s="606"/>
    </row>
    <row r="133" spans="1:6" x14ac:dyDescent="0.35">
      <c r="A133" s="576">
        <v>89</v>
      </c>
      <c r="B133" s="602" t="s">
        <v>532</v>
      </c>
      <c r="C133" s="605"/>
      <c r="D133" s="605"/>
      <c r="E133" s="606"/>
      <c r="F133" s="606"/>
    </row>
    <row r="134" spans="1:6" x14ac:dyDescent="0.35">
      <c r="A134" s="576">
        <v>90</v>
      </c>
      <c r="B134" s="602" t="s">
        <v>214</v>
      </c>
      <c r="C134" s="605"/>
      <c r="D134" s="605"/>
      <c r="E134" s="606"/>
      <c r="F134" s="606"/>
    </row>
    <row r="135" spans="1:6" x14ac:dyDescent="0.35">
      <c r="A135" s="576">
        <v>91</v>
      </c>
      <c r="B135" s="524" t="s">
        <v>128</v>
      </c>
      <c r="C135" s="605"/>
      <c r="D135" s="605"/>
      <c r="E135" s="606"/>
      <c r="F135" s="606"/>
    </row>
    <row r="136" spans="1:6" x14ac:dyDescent="0.35">
      <c r="A136" s="576">
        <v>92</v>
      </c>
      <c r="B136" s="524" t="s">
        <v>129</v>
      </c>
      <c r="C136" s="605"/>
      <c r="D136" s="605"/>
      <c r="E136" s="606"/>
      <c r="F136" s="606"/>
    </row>
    <row r="137" spans="1:6" x14ac:dyDescent="0.35">
      <c r="A137" s="576">
        <v>93</v>
      </c>
      <c r="B137" s="524" t="s">
        <v>429</v>
      </c>
      <c r="C137" s="605"/>
      <c r="D137" s="605"/>
      <c r="E137" s="606"/>
      <c r="F137" s="606"/>
    </row>
    <row r="138" spans="1:6" x14ac:dyDescent="0.35">
      <c r="A138" s="576">
        <v>94</v>
      </c>
      <c r="B138" s="524" t="s">
        <v>510</v>
      </c>
      <c r="C138" s="605"/>
      <c r="D138" s="605"/>
      <c r="E138" s="606"/>
      <c r="F138" s="606"/>
    </row>
    <row r="139" spans="1:6" x14ac:dyDescent="0.35">
      <c r="A139" s="576">
        <v>95</v>
      </c>
      <c r="B139" s="524" t="s">
        <v>67</v>
      </c>
      <c r="C139" s="605"/>
      <c r="D139" s="605"/>
      <c r="E139" s="606"/>
      <c r="F139" s="606"/>
    </row>
    <row r="140" spans="1:6" x14ac:dyDescent="0.35">
      <c r="A140" s="576">
        <v>96</v>
      </c>
      <c r="B140" s="526" t="s">
        <v>431</v>
      </c>
      <c r="C140" s="605"/>
      <c r="D140" s="605"/>
      <c r="E140" s="606"/>
      <c r="F140" s="606"/>
    </row>
    <row r="141" spans="1:6" x14ac:dyDescent="0.35">
      <c r="A141" s="576">
        <v>97</v>
      </c>
      <c r="B141" s="524" t="s">
        <v>131</v>
      </c>
      <c r="C141" s="605"/>
      <c r="D141" s="605"/>
      <c r="E141" s="606"/>
      <c r="F141" s="606"/>
    </row>
    <row r="142" spans="1:6" x14ac:dyDescent="0.35">
      <c r="A142" s="576">
        <v>98</v>
      </c>
      <c r="B142" s="524" t="s">
        <v>132</v>
      </c>
      <c r="C142" s="605"/>
      <c r="D142" s="605"/>
      <c r="E142" s="606"/>
      <c r="F142" s="606"/>
    </row>
    <row r="143" spans="1:6" x14ac:dyDescent="0.35">
      <c r="A143" s="576">
        <v>99</v>
      </c>
      <c r="B143" s="524" t="s">
        <v>41</v>
      </c>
      <c r="C143" s="605"/>
      <c r="D143" s="605"/>
      <c r="E143" s="606"/>
      <c r="F143" s="606"/>
    </row>
    <row r="144" spans="1:6" x14ac:dyDescent="0.35">
      <c r="A144" s="576">
        <v>100</v>
      </c>
      <c r="B144" s="524" t="s">
        <v>134</v>
      </c>
      <c r="C144" s="605"/>
      <c r="D144" s="605"/>
      <c r="E144" s="606"/>
      <c r="F144" s="606"/>
    </row>
    <row r="145" spans="1:6" x14ac:dyDescent="0.35">
      <c r="A145" s="576">
        <v>101</v>
      </c>
      <c r="B145" s="524" t="s">
        <v>135</v>
      </c>
      <c r="C145" s="605"/>
      <c r="D145" s="605"/>
      <c r="E145" s="606"/>
      <c r="F145" s="606"/>
    </row>
    <row r="146" spans="1:6" x14ac:dyDescent="0.35">
      <c r="A146" s="576">
        <v>102</v>
      </c>
      <c r="B146" s="526" t="s">
        <v>432</v>
      </c>
      <c r="C146" s="605"/>
      <c r="D146" s="605"/>
      <c r="E146" s="606"/>
      <c r="F146" s="606"/>
    </row>
    <row r="147" spans="1:6" x14ac:dyDescent="0.35">
      <c r="A147" s="576">
        <v>103</v>
      </c>
      <c r="B147" s="524" t="s">
        <v>136</v>
      </c>
      <c r="C147" s="605"/>
      <c r="D147" s="605"/>
      <c r="E147" s="606"/>
      <c r="F147" s="606"/>
    </row>
    <row r="148" spans="1:6" x14ac:dyDescent="0.35">
      <c r="A148" s="576">
        <v>104</v>
      </c>
      <c r="B148" s="524" t="s">
        <v>124</v>
      </c>
      <c r="C148" s="605"/>
      <c r="D148" s="605"/>
      <c r="E148" s="606"/>
      <c r="F148" s="606"/>
    </row>
    <row r="149" spans="1:6" x14ac:dyDescent="0.35">
      <c r="A149" s="576">
        <v>105</v>
      </c>
      <c r="B149" s="526" t="s">
        <v>435</v>
      </c>
      <c r="C149" s="605"/>
      <c r="D149" s="605"/>
      <c r="E149" s="606"/>
      <c r="F149" s="606"/>
    </row>
    <row r="150" spans="1:6" x14ac:dyDescent="0.35">
      <c r="A150" s="576">
        <v>106</v>
      </c>
      <c r="B150" s="524" t="s">
        <v>133</v>
      </c>
      <c r="C150" s="605"/>
      <c r="D150" s="605"/>
      <c r="E150" s="606"/>
      <c r="F150" s="606"/>
    </row>
    <row r="151" spans="1:6" x14ac:dyDescent="0.35">
      <c r="A151" s="576">
        <v>107</v>
      </c>
      <c r="B151" s="524" t="s">
        <v>436</v>
      </c>
      <c r="C151" s="605"/>
      <c r="D151" s="605"/>
      <c r="E151" s="606"/>
      <c r="F151" s="606"/>
    </row>
    <row r="152" spans="1:6" x14ac:dyDescent="0.35">
      <c r="A152" s="576">
        <v>108</v>
      </c>
      <c r="B152" s="608" t="s">
        <v>513</v>
      </c>
      <c r="C152" s="605"/>
      <c r="D152" s="605"/>
      <c r="E152" s="606"/>
      <c r="F152" s="606"/>
    </row>
    <row r="153" spans="1:6" x14ac:dyDescent="0.35">
      <c r="A153" s="576">
        <v>109</v>
      </c>
      <c r="B153" s="524" t="s">
        <v>139</v>
      </c>
      <c r="C153" s="605"/>
      <c r="D153" s="605"/>
      <c r="E153" s="606"/>
      <c r="F153" s="606"/>
    </row>
    <row r="154" spans="1:6" x14ac:dyDescent="0.35">
      <c r="A154" s="576">
        <v>110</v>
      </c>
      <c r="B154" s="524" t="s">
        <v>143</v>
      </c>
      <c r="C154" s="605"/>
      <c r="D154" s="605"/>
      <c r="E154" s="606"/>
      <c r="F154" s="606"/>
    </row>
    <row r="155" spans="1:6" x14ac:dyDescent="0.35">
      <c r="A155" s="576">
        <v>111</v>
      </c>
      <c r="B155" s="524" t="s">
        <v>151</v>
      </c>
      <c r="C155" s="605"/>
      <c r="D155" s="605"/>
      <c r="E155" s="606"/>
      <c r="F155" s="606"/>
    </row>
    <row r="156" spans="1:6" x14ac:dyDescent="0.35">
      <c r="A156" s="576">
        <v>112</v>
      </c>
      <c r="B156" s="524" t="s">
        <v>144</v>
      </c>
      <c r="C156" s="605"/>
      <c r="D156" s="605"/>
      <c r="E156" s="606"/>
      <c r="F156" s="606"/>
    </row>
    <row r="157" spans="1:6" x14ac:dyDescent="0.35">
      <c r="A157" s="576">
        <v>113</v>
      </c>
      <c r="B157" s="524" t="s">
        <v>145</v>
      </c>
      <c r="C157" s="605"/>
      <c r="D157" s="605"/>
      <c r="E157" s="606"/>
      <c r="F157" s="606"/>
    </row>
    <row r="158" spans="1:6" x14ac:dyDescent="0.35">
      <c r="A158" s="576">
        <v>114</v>
      </c>
      <c r="B158" s="524" t="s">
        <v>152</v>
      </c>
      <c r="C158" s="605"/>
      <c r="D158" s="605"/>
      <c r="E158" s="606"/>
      <c r="F158" s="606"/>
    </row>
    <row r="159" spans="1:6" x14ac:dyDescent="0.35">
      <c r="A159" s="576">
        <v>115</v>
      </c>
      <c r="B159" s="524" t="s">
        <v>146</v>
      </c>
      <c r="C159" s="605"/>
      <c r="D159" s="605"/>
      <c r="E159" s="606"/>
      <c r="F159" s="606"/>
    </row>
    <row r="160" spans="1:6" x14ac:dyDescent="0.35">
      <c r="A160" s="576">
        <v>116</v>
      </c>
      <c r="B160" s="524" t="s">
        <v>147</v>
      </c>
      <c r="C160" s="605"/>
      <c r="D160" s="605"/>
      <c r="E160" s="606"/>
      <c r="F160" s="606"/>
    </row>
    <row r="161" spans="1:6" x14ac:dyDescent="0.35">
      <c r="A161" s="576">
        <v>117</v>
      </c>
      <c r="B161" s="524" t="s">
        <v>148</v>
      </c>
      <c r="C161" s="605"/>
      <c r="D161" s="605"/>
      <c r="E161" s="606"/>
      <c r="F161" s="606"/>
    </row>
    <row r="162" spans="1:6" x14ac:dyDescent="0.35">
      <c r="A162" s="576">
        <v>118</v>
      </c>
      <c r="B162" s="524" t="s">
        <v>506</v>
      </c>
      <c r="C162" s="605"/>
      <c r="D162" s="605"/>
      <c r="E162" s="606"/>
      <c r="F162" s="606"/>
    </row>
    <row r="163" spans="1:6" x14ac:dyDescent="0.35">
      <c r="A163" s="576">
        <v>119</v>
      </c>
      <c r="B163" s="524" t="s">
        <v>533</v>
      </c>
      <c r="C163" s="605"/>
      <c r="D163" s="605"/>
      <c r="E163" s="606"/>
      <c r="F163" s="606"/>
    </row>
    <row r="164" spans="1:6" x14ac:dyDescent="0.35">
      <c r="A164" s="576">
        <v>121</v>
      </c>
      <c r="B164" s="524" t="s">
        <v>142</v>
      </c>
      <c r="C164" s="605"/>
      <c r="D164" s="605"/>
      <c r="E164" s="606"/>
      <c r="F164" s="606"/>
    </row>
    <row r="165" spans="1:6" s="568" customFormat="1" ht="15.5" x14ac:dyDescent="0.35">
      <c r="A165" s="582"/>
      <c r="B165" s="573" t="s">
        <v>444</v>
      </c>
      <c r="C165" s="566">
        <f>SUM(C45:C164)</f>
        <v>0</v>
      </c>
      <c r="D165" s="566">
        <f>SUM(D45:D164)</f>
        <v>0</v>
      </c>
      <c r="E165" s="567">
        <f>SUM(E45:E164)</f>
        <v>0</v>
      </c>
      <c r="F165" s="567">
        <f>SUM(F45:F164)</f>
        <v>0</v>
      </c>
    </row>
    <row r="166" spans="1:6" s="568" customFormat="1" ht="9.75" customHeight="1" x14ac:dyDescent="0.35">
      <c r="A166" s="581"/>
      <c r="B166" s="569"/>
      <c r="C166" s="570"/>
      <c r="D166" s="570"/>
      <c r="E166" s="570"/>
      <c r="F166" s="570"/>
    </row>
    <row r="167" spans="1:6" s="568" customFormat="1" ht="15.5" x14ac:dyDescent="0.35">
      <c r="A167" s="583"/>
      <c r="B167" s="561" t="s">
        <v>445</v>
      </c>
      <c r="C167" s="566">
        <f>C42-C165</f>
        <v>0</v>
      </c>
      <c r="D167" s="566">
        <f>D42-D165</f>
        <v>0</v>
      </c>
      <c r="E167" s="567">
        <f>E42-E165</f>
        <v>0</v>
      </c>
      <c r="F167" s="567">
        <f>F42-F165</f>
        <v>0</v>
      </c>
    </row>
  </sheetData>
  <protectedRanges>
    <protectedRange algorithmName="SHA-512" hashValue="sib5Nlt62x8Cjehj5QpvQOfZQRWFyVXdW4ymlOfnLMMNdxZw1XVdONARla6+9R164l5kN77+d8cnUihMlL+w0A==" saltValue="TiYlffcKhraV9z9Br0ykmA==" spinCount="100000" sqref="C42:F43 C166:F166" name="Range1_3"/>
  </protectedRanges>
  <mergeCells count="2">
    <mergeCell ref="E1:F1"/>
    <mergeCell ref="C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3A1B-3240-4AED-9BDB-9AF99CDAFE6C}">
  <sheetPr>
    <tabColor theme="7" tint="0.79998168889431442"/>
  </sheetPr>
  <dimension ref="A1:M95"/>
  <sheetViews>
    <sheetView topLeftCell="B58" zoomScale="93" zoomScaleNormal="93" workbookViewId="0">
      <selection activeCell="B90" sqref="B90:E93"/>
    </sheetView>
  </sheetViews>
  <sheetFormatPr defaultRowHeight="14.5" x14ac:dyDescent="0.35"/>
  <cols>
    <col min="1" max="1" width="0" hidden="1" customWidth="1"/>
    <col min="2" max="2" width="32.1796875" bestFit="1" customWidth="1"/>
    <col min="3" max="3" width="51.54296875" bestFit="1" customWidth="1"/>
    <col min="4" max="4" width="15.54296875" style="103" customWidth="1"/>
    <col min="5" max="5" width="15.54296875" style="97" customWidth="1"/>
    <col min="6" max="9" width="15.54296875" hidden="1" customWidth="1"/>
    <col min="11" max="11" width="41.26953125" bestFit="1" customWidth="1"/>
    <col min="12" max="12" width="16.1796875" bestFit="1" customWidth="1"/>
  </cols>
  <sheetData>
    <row r="1" spans="1:12" ht="18" customHeight="1" x14ac:dyDescent="0.35">
      <c r="B1" s="1272" t="s">
        <v>731</v>
      </c>
      <c r="C1" s="1272"/>
      <c r="D1" s="1272"/>
      <c r="E1" s="1272"/>
      <c r="F1" s="1272"/>
      <c r="G1" s="1272"/>
      <c r="H1" s="1272"/>
      <c r="I1" s="1272"/>
    </row>
    <row r="2" spans="1:12" s="74" customFormat="1" ht="15.65" customHeight="1" x14ac:dyDescent="0.35">
      <c r="B2" s="137" t="s">
        <v>596</v>
      </c>
      <c r="C2" s="137"/>
      <c r="D2" s="137"/>
      <c r="E2" s="296" t="s">
        <v>535</v>
      </c>
      <c r="F2" s="137"/>
      <c r="G2" s="137"/>
      <c r="H2" s="137"/>
      <c r="I2" s="137"/>
    </row>
    <row r="3" spans="1:12" x14ac:dyDescent="0.35">
      <c r="C3" s="16"/>
      <c r="D3" s="98"/>
      <c r="E3" s="129" t="s">
        <v>536</v>
      </c>
    </row>
    <row r="4" spans="1:12" x14ac:dyDescent="0.35">
      <c r="A4" t="s">
        <v>537</v>
      </c>
      <c r="B4" s="17" t="s">
        <v>93</v>
      </c>
      <c r="C4" s="18" t="s">
        <v>94</v>
      </c>
      <c r="D4" s="50" t="s">
        <v>598</v>
      </c>
      <c r="E4" s="94" t="s">
        <v>96</v>
      </c>
      <c r="F4" s="50" t="s">
        <v>538</v>
      </c>
      <c r="G4" s="50" t="s">
        <v>539</v>
      </c>
      <c r="H4" s="50" t="s">
        <v>540</v>
      </c>
      <c r="I4" s="50" t="s">
        <v>541</v>
      </c>
    </row>
    <row r="5" spans="1:12" x14ac:dyDescent="0.35">
      <c r="B5" s="2"/>
      <c r="C5" s="92" t="s">
        <v>599</v>
      </c>
      <c r="D5" s="112">
        <v>0.94</v>
      </c>
      <c r="E5" s="112">
        <v>0.94</v>
      </c>
      <c r="F5" s="93">
        <v>0.94</v>
      </c>
      <c r="G5" s="93">
        <v>0.94</v>
      </c>
      <c r="H5" s="93">
        <v>0.94</v>
      </c>
      <c r="I5" s="93">
        <v>0.94</v>
      </c>
    </row>
    <row r="6" spans="1:12" x14ac:dyDescent="0.35">
      <c r="B6" s="2"/>
      <c r="C6" s="19" t="s">
        <v>348</v>
      </c>
      <c r="D6" s="114">
        <v>1385</v>
      </c>
      <c r="E6" s="237">
        <v>1500</v>
      </c>
      <c r="F6" s="57">
        <v>1400</v>
      </c>
      <c r="G6" s="57">
        <v>1415</v>
      </c>
      <c r="H6" s="57">
        <v>1430</v>
      </c>
      <c r="I6" s="57">
        <v>1445</v>
      </c>
    </row>
    <row r="7" spans="1:12" x14ac:dyDescent="0.35">
      <c r="B7" s="2"/>
      <c r="C7" s="19" t="s">
        <v>349</v>
      </c>
      <c r="D7" s="115">
        <f t="shared" ref="D7:I7" si="0">D6*D5</f>
        <v>1301.8999999999999</v>
      </c>
      <c r="E7" s="238">
        <f t="shared" si="0"/>
        <v>1410</v>
      </c>
      <c r="F7" s="72">
        <f t="shared" si="0"/>
        <v>1316</v>
      </c>
      <c r="G7" s="72">
        <f t="shared" si="0"/>
        <v>1330.1</v>
      </c>
      <c r="H7" s="72">
        <f t="shared" si="0"/>
        <v>1344.1999999999998</v>
      </c>
      <c r="I7" s="72">
        <f t="shared" si="0"/>
        <v>1358.3</v>
      </c>
    </row>
    <row r="8" spans="1:12" x14ac:dyDescent="0.35">
      <c r="B8" s="2"/>
      <c r="C8" s="19" t="s">
        <v>724</v>
      </c>
      <c r="D8" s="107">
        <v>11310.75</v>
      </c>
      <c r="E8" s="107">
        <v>11310.75</v>
      </c>
      <c r="F8" s="70">
        <f>D8+(D8*0.03)</f>
        <v>11650.0725</v>
      </c>
      <c r="G8" s="70">
        <f>F8+(F8*0.03)</f>
        <v>11999.574675</v>
      </c>
      <c r="H8" s="70">
        <f>G8+(G8*0.03)</f>
        <v>12359.56191525</v>
      </c>
      <c r="I8" s="70">
        <f>H8+(H8*0.03)</f>
        <v>12730.348772707501</v>
      </c>
    </row>
    <row r="9" spans="1:12" x14ac:dyDescent="0.35">
      <c r="B9" s="2"/>
      <c r="C9" s="19" t="s">
        <v>725</v>
      </c>
      <c r="D9" s="107">
        <v>10632.11</v>
      </c>
      <c r="E9" s="107">
        <v>10632.11</v>
      </c>
      <c r="F9" s="70"/>
      <c r="G9" s="70"/>
      <c r="H9" s="70"/>
      <c r="I9" s="70"/>
    </row>
    <row r="10" spans="1:12" x14ac:dyDescent="0.35">
      <c r="B10" s="2"/>
      <c r="C10" s="19"/>
      <c r="D10" s="100"/>
      <c r="E10" s="100"/>
    </row>
    <row r="11" spans="1:12" x14ac:dyDescent="0.35">
      <c r="A11">
        <v>1</v>
      </c>
      <c r="B11" s="288" t="s">
        <v>7</v>
      </c>
      <c r="C11" s="289" t="s">
        <v>7</v>
      </c>
      <c r="D11" s="291">
        <v>1110185</v>
      </c>
      <c r="E11" s="291">
        <v>1110185</v>
      </c>
      <c r="F11" s="34">
        <f>D86</f>
        <v>1759091</v>
      </c>
      <c r="G11" s="34">
        <f>F86</f>
        <v>9790146.7100000009</v>
      </c>
      <c r="H11" s="34">
        <f>G86</f>
        <v>9610045.1142175011</v>
      </c>
      <c r="I11" s="34">
        <f>H86</f>
        <v>10150616.290649047</v>
      </c>
    </row>
    <row r="12" spans="1:12" x14ac:dyDescent="0.35">
      <c r="A12">
        <v>2</v>
      </c>
      <c r="B12" s="2" t="s">
        <v>102</v>
      </c>
      <c r="C12" s="16" t="s">
        <v>10</v>
      </c>
      <c r="D12" s="101">
        <v>11528505</v>
      </c>
      <c r="E12" s="185">
        <f>8855*E7</f>
        <v>12485550</v>
      </c>
      <c r="F12" s="64">
        <f>F7*F8</f>
        <v>15331495.41</v>
      </c>
      <c r="G12" s="64">
        <f>G7*G8</f>
        <v>15960634.2752175</v>
      </c>
      <c r="H12" s="64">
        <f>H7*H8</f>
        <v>16613723.126479048</v>
      </c>
      <c r="I12" s="64">
        <f>I7*I8</f>
        <v>17291632.737968598</v>
      </c>
      <c r="K12" s="234" t="s">
        <v>732</v>
      </c>
      <c r="L12" s="184"/>
    </row>
    <row r="13" spans="1:12" x14ac:dyDescent="0.35">
      <c r="A13">
        <v>3</v>
      </c>
      <c r="B13" s="2" t="s">
        <v>102</v>
      </c>
      <c r="C13" s="16" t="s">
        <v>11</v>
      </c>
      <c r="D13" s="101">
        <v>1867618</v>
      </c>
      <c r="E13" s="185">
        <f>1434.56*E7</f>
        <v>2022729.5999999999</v>
      </c>
      <c r="F13" s="64"/>
      <c r="G13" s="64"/>
      <c r="H13" s="64"/>
      <c r="I13" s="64"/>
      <c r="K13" s="236">
        <f>E12+E13+E14</f>
        <v>15948002.4</v>
      </c>
      <c r="L13" s="184"/>
    </row>
    <row r="14" spans="1:12" x14ac:dyDescent="0.35">
      <c r="A14">
        <v>4</v>
      </c>
      <c r="B14" s="2" t="s">
        <v>102</v>
      </c>
      <c r="C14" s="16" t="s">
        <v>6</v>
      </c>
      <c r="D14" s="101">
        <v>1329346</v>
      </c>
      <c r="E14" s="185">
        <f>1021.08*E7</f>
        <v>1439722.8</v>
      </c>
      <c r="F14" s="34"/>
      <c r="G14" s="34"/>
      <c r="H14" s="34"/>
      <c r="I14" s="34"/>
      <c r="K14" s="236">
        <f>(K13)-(D12+D13+D14)</f>
        <v>1222533.4000000004</v>
      </c>
      <c r="L14" s="184"/>
    </row>
    <row r="15" spans="1:12" x14ac:dyDescent="0.35">
      <c r="A15">
        <v>5</v>
      </c>
      <c r="B15" s="2" t="s">
        <v>102</v>
      </c>
      <c r="C15" s="16" t="s">
        <v>20</v>
      </c>
      <c r="D15" s="95"/>
      <c r="E15" s="95"/>
      <c r="F15" s="65">
        <v>100000</v>
      </c>
      <c r="G15" s="65">
        <v>100000</v>
      </c>
      <c r="H15" s="65">
        <v>100000</v>
      </c>
      <c r="I15" s="65">
        <v>100000</v>
      </c>
      <c r="K15" s="236" t="s">
        <v>733</v>
      </c>
      <c r="L15" s="184"/>
    </row>
    <row r="16" spans="1:12" x14ac:dyDescent="0.35">
      <c r="A16">
        <v>6</v>
      </c>
      <c r="B16" s="2" t="s">
        <v>110</v>
      </c>
      <c r="C16" s="16" t="s">
        <v>218</v>
      </c>
      <c r="D16" s="95">
        <v>214270</v>
      </c>
      <c r="E16" s="95">
        <v>214270</v>
      </c>
      <c r="F16" s="34">
        <f t="shared" ref="F16:F21" si="1">D16+(D16*0.03)</f>
        <v>220698.1</v>
      </c>
      <c r="G16" s="34">
        <f>F16+(F16*0.03)</f>
        <v>227319.04300000001</v>
      </c>
      <c r="H16" s="34">
        <f>G16+(G16*0.03)</f>
        <v>234138.61429</v>
      </c>
      <c r="I16" s="34">
        <f>H16+(H16*0.03)</f>
        <v>241162.7727187</v>
      </c>
    </row>
    <row r="17" spans="1:9" x14ac:dyDescent="0.35">
      <c r="A17">
        <v>7</v>
      </c>
      <c r="B17" s="2" t="s">
        <v>110</v>
      </c>
      <c r="C17" s="16" t="s">
        <v>230</v>
      </c>
      <c r="D17" s="95">
        <v>38422</v>
      </c>
      <c r="E17" s="95">
        <v>38422</v>
      </c>
      <c r="F17" s="34">
        <f t="shared" si="1"/>
        <v>39574.660000000003</v>
      </c>
      <c r="G17" s="34">
        <f t="shared" ref="G17:I21" si="2">F17+(F17*0.03)</f>
        <v>40761.899800000007</v>
      </c>
      <c r="H17" s="34">
        <f t="shared" si="2"/>
        <v>41984.756794000008</v>
      </c>
      <c r="I17" s="34">
        <f t="shared" si="2"/>
        <v>43244.299497820008</v>
      </c>
    </row>
    <row r="18" spans="1:9" x14ac:dyDescent="0.35">
      <c r="A18">
        <v>8</v>
      </c>
      <c r="B18" s="2" t="s">
        <v>110</v>
      </c>
      <c r="C18" s="16" t="s">
        <v>726</v>
      </c>
      <c r="D18" s="95">
        <v>50000</v>
      </c>
      <c r="E18" s="95">
        <v>50000</v>
      </c>
      <c r="F18" s="34">
        <f t="shared" si="1"/>
        <v>51500</v>
      </c>
      <c r="G18" s="34">
        <f t="shared" si="2"/>
        <v>53045</v>
      </c>
      <c r="H18" s="34">
        <f t="shared" si="2"/>
        <v>54636.35</v>
      </c>
      <c r="I18" s="34">
        <f t="shared" si="2"/>
        <v>56275.440499999997</v>
      </c>
    </row>
    <row r="19" spans="1:9" x14ac:dyDescent="0.35">
      <c r="A19">
        <v>9</v>
      </c>
      <c r="B19" s="2" t="s">
        <v>110</v>
      </c>
      <c r="C19" s="16" t="s">
        <v>260</v>
      </c>
      <c r="D19" s="95">
        <v>21468</v>
      </c>
      <c r="E19" s="95">
        <v>21468</v>
      </c>
      <c r="F19" s="34">
        <f t="shared" si="1"/>
        <v>22112.04</v>
      </c>
      <c r="G19" s="34">
        <f t="shared" si="2"/>
        <v>22775.4012</v>
      </c>
      <c r="H19" s="34">
        <f t="shared" si="2"/>
        <v>23458.663236</v>
      </c>
      <c r="I19" s="34">
        <f t="shared" si="2"/>
        <v>24162.423133079999</v>
      </c>
    </row>
    <row r="20" spans="1:9" x14ac:dyDescent="0.35">
      <c r="A20">
        <v>10</v>
      </c>
      <c r="B20" s="2" t="s">
        <v>110</v>
      </c>
      <c r="C20" s="16" t="s">
        <v>727</v>
      </c>
      <c r="D20" s="95">
        <v>219600</v>
      </c>
      <c r="E20" s="95">
        <v>219600</v>
      </c>
      <c r="F20" s="34">
        <f t="shared" si="1"/>
        <v>226188</v>
      </c>
      <c r="G20" s="34">
        <f t="shared" si="2"/>
        <v>232973.64</v>
      </c>
      <c r="H20" s="34">
        <f t="shared" si="2"/>
        <v>239962.84920000003</v>
      </c>
      <c r="I20" s="34">
        <f t="shared" si="2"/>
        <v>247161.73467600002</v>
      </c>
    </row>
    <row r="21" spans="1:9" x14ac:dyDescent="0.35">
      <c r="A21">
        <v>11</v>
      </c>
      <c r="B21" s="2" t="s">
        <v>102</v>
      </c>
      <c r="C21" s="16" t="s">
        <v>14</v>
      </c>
      <c r="D21" s="95">
        <v>70000</v>
      </c>
      <c r="E21" s="95">
        <v>70000</v>
      </c>
      <c r="F21" s="34">
        <f t="shared" si="1"/>
        <v>72100</v>
      </c>
      <c r="G21" s="34">
        <f t="shared" si="2"/>
        <v>74263</v>
      </c>
      <c r="H21" s="34">
        <f t="shared" si="2"/>
        <v>76490.89</v>
      </c>
      <c r="I21" s="34">
        <f t="shared" si="2"/>
        <v>78785.616699999999</v>
      </c>
    </row>
    <row r="22" spans="1:9" x14ac:dyDescent="0.35">
      <c r="A22">
        <v>12</v>
      </c>
      <c r="B22" s="2" t="s">
        <v>98</v>
      </c>
      <c r="C22" s="16" t="s">
        <v>13</v>
      </c>
      <c r="D22" s="95">
        <v>0</v>
      </c>
      <c r="E22" s="95">
        <v>0</v>
      </c>
      <c r="F22" s="34">
        <v>50000</v>
      </c>
      <c r="G22" s="34">
        <v>50000</v>
      </c>
      <c r="H22" s="34">
        <v>50000</v>
      </c>
      <c r="I22" s="34">
        <v>50000</v>
      </c>
    </row>
    <row r="23" spans="1:9" x14ac:dyDescent="0.35">
      <c r="A23">
        <v>13</v>
      </c>
      <c r="B23" s="2" t="s">
        <v>110</v>
      </c>
      <c r="C23" s="2" t="s">
        <v>8</v>
      </c>
      <c r="D23" s="95">
        <v>1560000</v>
      </c>
      <c r="E23" s="95">
        <v>1560000</v>
      </c>
      <c r="F23" s="34">
        <v>700000</v>
      </c>
      <c r="G23" s="34"/>
      <c r="H23" s="34"/>
      <c r="I23" s="34"/>
    </row>
    <row r="24" spans="1:9" x14ac:dyDescent="0.35">
      <c r="A24">
        <v>14</v>
      </c>
      <c r="B24" s="2" t="s">
        <v>110</v>
      </c>
      <c r="C24" s="2" t="s">
        <v>9</v>
      </c>
      <c r="D24" s="95"/>
      <c r="E24" s="95"/>
      <c r="F24" s="34"/>
      <c r="G24" s="34"/>
      <c r="H24" s="34"/>
      <c r="I24" s="34"/>
    </row>
    <row r="25" spans="1:9" x14ac:dyDescent="0.35">
      <c r="A25">
        <v>15</v>
      </c>
      <c r="B25" s="2" t="s">
        <v>102</v>
      </c>
      <c r="C25" s="16" t="s">
        <v>19</v>
      </c>
      <c r="D25" s="95">
        <v>212639</v>
      </c>
      <c r="E25" s="95">
        <v>212639</v>
      </c>
      <c r="F25" s="34"/>
      <c r="G25" s="34"/>
      <c r="H25" s="34"/>
      <c r="I25" s="34"/>
    </row>
    <row r="26" spans="1:9" x14ac:dyDescent="0.35">
      <c r="A26">
        <v>16</v>
      </c>
      <c r="B26" s="2" t="s">
        <v>102</v>
      </c>
      <c r="C26" s="16" t="s">
        <v>18</v>
      </c>
      <c r="D26" s="95">
        <v>443000</v>
      </c>
      <c r="E26" s="95">
        <v>443000</v>
      </c>
      <c r="F26" s="34"/>
      <c r="G26" s="34"/>
      <c r="H26" s="34"/>
      <c r="I26" s="34"/>
    </row>
    <row r="27" spans="1:9" x14ac:dyDescent="0.35">
      <c r="A27">
        <v>17</v>
      </c>
      <c r="B27" t="s">
        <v>100</v>
      </c>
      <c r="C27" s="16" t="s">
        <v>734</v>
      </c>
      <c r="D27" s="95"/>
      <c r="E27" s="95"/>
      <c r="F27" s="34"/>
      <c r="G27" s="34"/>
      <c r="H27" s="34"/>
      <c r="I27" s="34"/>
    </row>
    <row r="28" spans="1:9" x14ac:dyDescent="0.35">
      <c r="A28">
        <v>18</v>
      </c>
      <c r="B28" s="2" t="s">
        <v>100</v>
      </c>
      <c r="C28" s="16" t="s">
        <v>16</v>
      </c>
      <c r="D28" s="95"/>
      <c r="E28" s="95"/>
      <c r="F28" s="64"/>
      <c r="G28" s="64"/>
      <c r="H28" s="64"/>
      <c r="I28" s="64"/>
    </row>
    <row r="29" spans="1:9" x14ac:dyDescent="0.35">
      <c r="B29" s="2" t="s">
        <v>102</v>
      </c>
      <c r="C29" s="16" t="s">
        <v>728</v>
      </c>
      <c r="D29" s="127"/>
      <c r="E29" s="127">
        <f>E43</f>
        <v>621317.5</v>
      </c>
      <c r="F29" s="64"/>
      <c r="G29" s="64"/>
      <c r="H29" s="64"/>
      <c r="I29" s="64"/>
    </row>
    <row r="30" spans="1:9" ht="15" thickBot="1" x14ac:dyDescent="0.4">
      <c r="A30">
        <v>19</v>
      </c>
      <c r="B30" s="2" t="s">
        <v>98</v>
      </c>
      <c r="C30" s="16" t="s">
        <v>17</v>
      </c>
      <c r="D30" s="217">
        <v>0</v>
      </c>
      <c r="E30" s="217">
        <v>0</v>
      </c>
      <c r="F30" s="34"/>
      <c r="G30" s="34"/>
      <c r="H30" s="34"/>
      <c r="I30" s="34"/>
    </row>
    <row r="31" spans="1:9" ht="16" thickBot="1" x14ac:dyDescent="0.4">
      <c r="B31" s="193"/>
      <c r="C31" s="218"/>
      <c r="D31" s="219">
        <f t="shared" ref="D31:I31" si="3">SUM(D12:D30)</f>
        <v>17554868</v>
      </c>
      <c r="E31" s="220">
        <f t="shared" si="3"/>
        <v>19398718.899999999</v>
      </c>
      <c r="F31" s="202">
        <f t="shared" si="3"/>
        <v>16813668.210000001</v>
      </c>
      <c r="G31" s="66">
        <f t="shared" si="3"/>
        <v>16761772.259217501</v>
      </c>
      <c r="H31" s="66">
        <f t="shared" si="3"/>
        <v>17434395.249999046</v>
      </c>
      <c r="I31" s="66">
        <f t="shared" si="3"/>
        <v>18132425.025194198</v>
      </c>
    </row>
    <row r="32" spans="1:9" ht="15" thickBot="1" x14ac:dyDescent="0.4">
      <c r="E32" s="103"/>
    </row>
    <row r="33" spans="1:13" x14ac:dyDescent="0.35">
      <c r="A33">
        <v>1</v>
      </c>
      <c r="B33" s="494" t="s">
        <v>122</v>
      </c>
      <c r="C33" s="495" t="s">
        <v>123</v>
      </c>
      <c r="D33" s="496">
        <v>6579000</v>
      </c>
      <c r="E33" s="497">
        <f>'Ector FY23 Staffing'!F30</f>
        <v>6313000</v>
      </c>
      <c r="F33" s="492">
        <f>D33+(D33*0.03)</f>
        <v>6776370</v>
      </c>
      <c r="G33" s="35">
        <f>F33+(F33*0.04)</f>
        <v>7047424.7999999998</v>
      </c>
      <c r="H33" s="52">
        <f>G33+(G33*0.04)+220000</f>
        <v>7549321.7919999994</v>
      </c>
      <c r="I33" s="34">
        <f>H33+(H33*0.04)</f>
        <v>7851294.6636799993</v>
      </c>
    </row>
    <row r="34" spans="1:13" x14ac:dyDescent="0.35">
      <c r="A34">
        <v>2</v>
      </c>
      <c r="B34" s="453" t="s">
        <v>122</v>
      </c>
      <c r="C34" t="s">
        <v>153</v>
      </c>
      <c r="D34" s="117">
        <v>26400</v>
      </c>
      <c r="E34" s="498">
        <v>26400</v>
      </c>
      <c r="F34" s="492">
        <f>D34+(D34*0.03)</f>
        <v>27192</v>
      </c>
      <c r="G34" s="34">
        <f t="shared" ref="G34:I41" si="4">F34+(F34*0.03)</f>
        <v>28007.759999999998</v>
      </c>
      <c r="H34" s="34">
        <f t="shared" si="4"/>
        <v>28847.9928</v>
      </c>
      <c r="I34" s="34">
        <f t="shared" si="4"/>
        <v>29713.432583999998</v>
      </c>
    </row>
    <row r="35" spans="1:13" x14ac:dyDescent="0.35">
      <c r="A35">
        <v>3</v>
      </c>
      <c r="B35" s="453" t="s">
        <v>122</v>
      </c>
      <c r="C35" s="2" t="s">
        <v>154</v>
      </c>
      <c r="D35" s="119">
        <v>182840</v>
      </c>
      <c r="E35" s="499">
        <f>E33*0.04</f>
        <v>252520</v>
      </c>
      <c r="F35" s="492">
        <f>D35+(D35*0.03)</f>
        <v>188325.2</v>
      </c>
      <c r="G35" s="34">
        <f t="shared" si="4"/>
        <v>193974.95600000001</v>
      </c>
      <c r="H35" s="34">
        <f t="shared" si="4"/>
        <v>199794.20468</v>
      </c>
      <c r="I35" s="34">
        <f t="shared" si="4"/>
        <v>205788.03082039999</v>
      </c>
    </row>
    <row r="36" spans="1:13" x14ac:dyDescent="0.35">
      <c r="A36">
        <v>4</v>
      </c>
      <c r="B36" s="453" t="s">
        <v>155</v>
      </c>
      <c r="C36" t="s">
        <v>606</v>
      </c>
      <c r="D36" s="119">
        <v>872374</v>
      </c>
      <c r="E36" s="500" t="e">
        <f>'Ector FY23 Staffing'!#REF!</f>
        <v>#REF!</v>
      </c>
      <c r="F36" s="492">
        <v>0</v>
      </c>
      <c r="G36" s="34">
        <v>0</v>
      </c>
      <c r="H36" s="34">
        <v>0</v>
      </c>
      <c r="I36" s="34">
        <v>0</v>
      </c>
      <c r="M36" s="125"/>
    </row>
    <row r="37" spans="1:13" x14ac:dyDescent="0.35">
      <c r="A37">
        <v>10</v>
      </c>
      <c r="B37" s="453" t="s">
        <v>122</v>
      </c>
      <c r="C37" t="s">
        <v>378</v>
      </c>
      <c r="D37" s="119">
        <v>376000</v>
      </c>
      <c r="E37" s="501">
        <f>'Ector FY23 Staffing'!F36</f>
        <v>457000</v>
      </c>
      <c r="F37" s="492">
        <f>D37+(D37*0.03)</f>
        <v>387280</v>
      </c>
      <c r="G37" s="34">
        <f t="shared" si="4"/>
        <v>398898.4</v>
      </c>
      <c r="H37" s="34">
        <f t="shared" si="4"/>
        <v>410865.35200000001</v>
      </c>
      <c r="I37" s="34">
        <f t="shared" si="4"/>
        <v>423191.31255999999</v>
      </c>
    </row>
    <row r="38" spans="1:13" x14ac:dyDescent="0.35">
      <c r="A38">
        <v>11</v>
      </c>
      <c r="B38" s="453" t="s">
        <v>155</v>
      </c>
      <c r="C38" t="s">
        <v>607</v>
      </c>
      <c r="D38" s="117">
        <v>19966</v>
      </c>
      <c r="E38" s="501" t="e">
        <f>'Ector FY23 Staffing'!#REF!</f>
        <v>#REF!</v>
      </c>
      <c r="F38" s="492">
        <v>0</v>
      </c>
      <c r="G38" s="34">
        <v>0</v>
      </c>
      <c r="H38" s="34">
        <v>0</v>
      </c>
      <c r="I38" s="34">
        <v>0</v>
      </c>
    </row>
    <row r="39" spans="1:13" x14ac:dyDescent="0.35">
      <c r="A39">
        <v>13</v>
      </c>
      <c r="B39" s="453" t="s">
        <v>122</v>
      </c>
      <c r="C39" t="s">
        <v>164</v>
      </c>
      <c r="D39" s="117">
        <v>1227000</v>
      </c>
      <c r="E39" s="499">
        <f>'Ector FY23 Staffing'!F49</f>
        <v>1247000</v>
      </c>
      <c r="F39" s="492">
        <f>D39+(D39*0.03)</f>
        <v>1263810</v>
      </c>
      <c r="G39" s="34">
        <f t="shared" si="4"/>
        <v>1301724.3</v>
      </c>
      <c r="H39" s="34">
        <f t="shared" si="4"/>
        <v>1340776.0290000001</v>
      </c>
      <c r="I39" s="34">
        <f t="shared" si="4"/>
        <v>1380999.30987</v>
      </c>
    </row>
    <row r="40" spans="1:13" x14ac:dyDescent="0.35">
      <c r="A40">
        <v>14</v>
      </c>
      <c r="B40" s="453" t="s">
        <v>122</v>
      </c>
      <c r="C40" t="s">
        <v>165</v>
      </c>
      <c r="D40" s="117">
        <v>0</v>
      </c>
      <c r="E40" s="498">
        <v>0</v>
      </c>
      <c r="F40" s="492">
        <v>0</v>
      </c>
      <c r="G40" s="34">
        <v>0</v>
      </c>
      <c r="H40" s="34">
        <v>0</v>
      </c>
      <c r="I40" s="34">
        <v>0</v>
      </c>
    </row>
    <row r="41" spans="1:13" x14ac:dyDescent="0.35">
      <c r="A41">
        <v>15</v>
      </c>
      <c r="B41" s="453" t="s">
        <v>122</v>
      </c>
      <c r="C41" t="s">
        <v>166</v>
      </c>
      <c r="D41" s="117">
        <v>30000</v>
      </c>
      <c r="E41" s="506">
        <v>30000</v>
      </c>
      <c r="F41" s="492">
        <f>D41+(D41*0.03)</f>
        <v>30900</v>
      </c>
      <c r="G41" s="34">
        <f t="shared" si="4"/>
        <v>31827</v>
      </c>
      <c r="H41" s="34">
        <f t="shared" si="4"/>
        <v>32781.81</v>
      </c>
      <c r="I41" s="34">
        <f t="shared" si="4"/>
        <v>33765.264299999995</v>
      </c>
    </row>
    <row r="42" spans="1:13" x14ac:dyDescent="0.35">
      <c r="B42" s="453" t="s">
        <v>155</v>
      </c>
      <c r="C42" t="s">
        <v>608</v>
      </c>
      <c r="D42" s="117">
        <v>65654</v>
      </c>
      <c r="E42" s="506" t="e">
        <f>'Ector FY23 Staffing'!#REF!</f>
        <v>#REF!</v>
      </c>
      <c r="F42" s="492"/>
      <c r="G42" s="34"/>
      <c r="H42" s="34"/>
      <c r="I42" s="34"/>
      <c r="L42" s="125"/>
    </row>
    <row r="43" spans="1:13" ht="15" thickBot="1" x14ac:dyDescent="0.4">
      <c r="A43">
        <v>18</v>
      </c>
      <c r="B43" s="502" t="s">
        <v>155</v>
      </c>
      <c r="C43" s="503" t="s">
        <v>728</v>
      </c>
      <c r="D43" s="504">
        <v>0</v>
      </c>
      <c r="E43" s="507">
        <f>0.0775*(E33+E37+E39)</f>
        <v>621317.5</v>
      </c>
      <c r="F43" s="492"/>
      <c r="G43" s="34"/>
      <c r="H43" s="34"/>
      <c r="I43" s="34"/>
    </row>
    <row r="44" spans="1:13" x14ac:dyDescent="0.35">
      <c r="A44">
        <v>25</v>
      </c>
      <c r="B44" t="s">
        <v>244</v>
      </c>
      <c r="C44" s="16" t="s">
        <v>43</v>
      </c>
      <c r="D44" s="101">
        <v>50000</v>
      </c>
      <c r="E44" s="101">
        <v>50000</v>
      </c>
      <c r="F44" s="34">
        <f>D44+(D44*0.03)</f>
        <v>51500</v>
      </c>
      <c r="G44" s="34">
        <f>F44+(F44*0.03)</f>
        <v>53045</v>
      </c>
      <c r="H44" s="34">
        <f>G44+(G44*0.03)</f>
        <v>54636.35</v>
      </c>
      <c r="I44" s="34">
        <f>H44+(H44*0.03)</f>
        <v>56275.440499999997</v>
      </c>
    </row>
    <row r="45" spans="1:13" s="14" customFormat="1" x14ac:dyDescent="0.35">
      <c r="A45">
        <v>26</v>
      </c>
      <c r="B45" s="2" t="s">
        <v>245</v>
      </c>
      <c r="C45" s="22" t="s">
        <v>246</v>
      </c>
      <c r="D45" s="101">
        <v>250000</v>
      </c>
      <c r="E45" s="101">
        <v>250000</v>
      </c>
      <c r="F45" s="1">
        <v>250000</v>
      </c>
      <c r="G45" s="1">
        <v>250000</v>
      </c>
      <c r="H45" s="1">
        <v>250000</v>
      </c>
      <c r="I45" s="1">
        <v>250000</v>
      </c>
    </row>
    <row r="46" spans="1:13" s="14" customFormat="1" x14ac:dyDescent="0.35">
      <c r="A46">
        <v>27</v>
      </c>
      <c r="B46" s="2" t="s">
        <v>247</v>
      </c>
      <c r="C46" s="16" t="s">
        <v>82</v>
      </c>
      <c r="D46" s="101">
        <v>30000</v>
      </c>
      <c r="E46" s="101">
        <v>30000</v>
      </c>
      <c r="F46" s="34">
        <f>D46+(D46*0.03)</f>
        <v>30900</v>
      </c>
      <c r="G46" s="34">
        <f>F46+(F46*0.03)</f>
        <v>31827</v>
      </c>
      <c r="H46" s="34">
        <f>G46+(G46*0.03)</f>
        <v>32781.81</v>
      </c>
      <c r="I46" s="34">
        <f>H46+(H46*0.03)</f>
        <v>33765.264299999995</v>
      </c>
    </row>
    <row r="47" spans="1:13" s="14" customFormat="1" x14ac:dyDescent="0.35">
      <c r="A47">
        <v>28</v>
      </c>
      <c r="B47" s="2" t="s">
        <v>248</v>
      </c>
      <c r="C47" s="16" t="s">
        <v>34</v>
      </c>
      <c r="D47" s="101">
        <v>1269000</v>
      </c>
      <c r="E47" s="101">
        <v>1269000</v>
      </c>
      <c r="F47" s="34">
        <f>D47+(D47*0.03)</f>
        <v>1307070</v>
      </c>
      <c r="G47" s="34">
        <f t="shared" ref="G47:I48" si="5">F47+(F47*0.03)</f>
        <v>1346282.1</v>
      </c>
      <c r="H47" s="34">
        <f t="shared" si="5"/>
        <v>1386670.5630000001</v>
      </c>
      <c r="I47" s="34">
        <f t="shared" si="5"/>
        <v>1428270.67989</v>
      </c>
    </row>
    <row r="48" spans="1:13" s="14" customFormat="1" x14ac:dyDescent="0.35">
      <c r="A48">
        <v>29</v>
      </c>
      <c r="B48" s="2" t="s">
        <v>248</v>
      </c>
      <c r="C48" s="16" t="s">
        <v>35</v>
      </c>
      <c r="D48" s="101">
        <v>598050</v>
      </c>
      <c r="E48" s="101">
        <v>598050</v>
      </c>
      <c r="F48" s="34">
        <f>D48+(D48*0.03)</f>
        <v>615991.5</v>
      </c>
      <c r="G48" s="34">
        <f t="shared" si="5"/>
        <v>634471.245</v>
      </c>
      <c r="H48" s="34">
        <f t="shared" si="5"/>
        <v>653505.38234999997</v>
      </c>
      <c r="I48" s="34">
        <f t="shared" si="5"/>
        <v>673110.54382050002</v>
      </c>
    </row>
    <row r="49" spans="1:10" s="14" customFormat="1" x14ac:dyDescent="0.35">
      <c r="A49">
        <v>30</v>
      </c>
      <c r="B49" s="312" t="s">
        <v>248</v>
      </c>
      <c r="C49" s="313" t="s">
        <v>36</v>
      </c>
      <c r="D49" s="101">
        <v>2017493</v>
      </c>
      <c r="E49" s="299">
        <f>J49*(E12+E13+E14)</f>
        <v>2392200.36</v>
      </c>
      <c r="F49" s="34">
        <v>2500000</v>
      </c>
      <c r="G49" s="34">
        <v>2500000</v>
      </c>
      <c r="H49" s="34">
        <v>2500000</v>
      </c>
      <c r="I49" s="34">
        <v>2500000</v>
      </c>
      <c r="J49" s="14">
        <v>0.15</v>
      </c>
    </row>
    <row r="50" spans="1:10" s="14" customFormat="1" x14ac:dyDescent="0.35">
      <c r="A50">
        <v>31</v>
      </c>
      <c r="B50" t="s">
        <v>49</v>
      </c>
      <c r="C50" s="16" t="s">
        <v>49</v>
      </c>
      <c r="D50" s="101">
        <v>50000</v>
      </c>
      <c r="E50" s="299">
        <v>80000</v>
      </c>
      <c r="F50" s="34">
        <f t="shared" ref="F50:F68" si="6">D50+(D50*0.03)</f>
        <v>51500</v>
      </c>
      <c r="G50" s="34">
        <f t="shared" ref="G50:I51" si="7">F50+(F50*0.03)</f>
        <v>53045</v>
      </c>
      <c r="H50" s="34">
        <f t="shared" si="7"/>
        <v>54636.35</v>
      </c>
      <c r="I50" s="34">
        <f t="shared" si="7"/>
        <v>56275.440499999997</v>
      </c>
    </row>
    <row r="51" spans="1:10" s="14" customFormat="1" x14ac:dyDescent="0.35">
      <c r="A51">
        <v>32</v>
      </c>
      <c r="B51" s="2" t="s">
        <v>249</v>
      </c>
      <c r="C51" s="23" t="s">
        <v>73</v>
      </c>
      <c r="D51" s="101">
        <v>120000</v>
      </c>
      <c r="E51" s="101">
        <v>120000</v>
      </c>
      <c r="F51" s="34">
        <f t="shared" si="6"/>
        <v>123600</v>
      </c>
      <c r="G51" s="34">
        <f t="shared" si="7"/>
        <v>127308</v>
      </c>
      <c r="H51" s="34">
        <f t="shared" si="7"/>
        <v>131127.24</v>
      </c>
      <c r="I51" s="34">
        <f t="shared" si="7"/>
        <v>135061.05719999998</v>
      </c>
    </row>
    <row r="52" spans="1:10" s="14" customFormat="1" x14ac:dyDescent="0.35">
      <c r="A52">
        <v>33</v>
      </c>
      <c r="B52" s="2" t="s">
        <v>249</v>
      </c>
      <c r="C52" s="23" t="s">
        <v>50</v>
      </c>
      <c r="D52" s="101">
        <v>30000</v>
      </c>
      <c r="E52" s="101">
        <v>30000</v>
      </c>
      <c r="F52" s="34">
        <f t="shared" si="6"/>
        <v>30900</v>
      </c>
      <c r="G52" s="34">
        <f t="shared" ref="G52:I54" si="8">F52+(F52*0.03)</f>
        <v>31827</v>
      </c>
      <c r="H52" s="34">
        <f t="shared" si="8"/>
        <v>32781.81</v>
      </c>
      <c r="I52" s="34">
        <f t="shared" si="8"/>
        <v>33765.264299999995</v>
      </c>
    </row>
    <row r="53" spans="1:10" s="14" customFormat="1" x14ac:dyDescent="0.35">
      <c r="A53">
        <v>34</v>
      </c>
      <c r="B53" s="2" t="s">
        <v>250</v>
      </c>
      <c r="C53" s="23" t="s">
        <v>84</v>
      </c>
      <c r="D53" s="101">
        <v>350000</v>
      </c>
      <c r="E53" s="101">
        <v>350000</v>
      </c>
      <c r="F53" s="34">
        <f t="shared" si="6"/>
        <v>360500</v>
      </c>
      <c r="G53" s="34">
        <f t="shared" si="8"/>
        <v>371315</v>
      </c>
      <c r="H53" s="34">
        <f t="shared" si="8"/>
        <v>382454.45</v>
      </c>
      <c r="I53" s="34">
        <f t="shared" si="8"/>
        <v>393928.08350000001</v>
      </c>
    </row>
    <row r="54" spans="1:10" s="14" customFormat="1" x14ac:dyDescent="0.35">
      <c r="A54">
        <v>35</v>
      </c>
      <c r="B54" s="2" t="s">
        <v>250</v>
      </c>
      <c r="C54" s="2" t="s">
        <v>51</v>
      </c>
      <c r="D54" s="101">
        <v>30000</v>
      </c>
      <c r="E54" s="101">
        <v>30000</v>
      </c>
      <c r="F54" s="34">
        <f t="shared" si="6"/>
        <v>30900</v>
      </c>
      <c r="G54" s="34">
        <f t="shared" si="8"/>
        <v>31827</v>
      </c>
      <c r="H54" s="34">
        <f t="shared" si="8"/>
        <v>32781.81</v>
      </c>
      <c r="I54" s="34">
        <f t="shared" si="8"/>
        <v>33765.264299999995</v>
      </c>
    </row>
    <row r="55" spans="1:10" s="14" customFormat="1" x14ac:dyDescent="0.35">
      <c r="A55">
        <v>36</v>
      </c>
      <c r="B55" s="2" t="s">
        <v>250</v>
      </c>
      <c r="C55" s="28" t="s">
        <v>86</v>
      </c>
      <c r="D55" s="101">
        <v>25000</v>
      </c>
      <c r="E55" s="101">
        <v>25000</v>
      </c>
      <c r="F55" s="34">
        <f t="shared" si="6"/>
        <v>25750</v>
      </c>
      <c r="G55" s="34">
        <f>F55+(F55*0.03)</f>
        <v>26522.5</v>
      </c>
      <c r="H55" s="34">
        <f>G55+(G55*0.03)</f>
        <v>27318.174999999999</v>
      </c>
      <c r="I55" s="34">
        <f>H55+(H55*0.03)</f>
        <v>28137.720249999998</v>
      </c>
    </row>
    <row r="56" spans="1:10" s="14" customFormat="1" x14ac:dyDescent="0.35">
      <c r="A56">
        <v>37</v>
      </c>
      <c r="B56" s="2" t="s">
        <v>250</v>
      </c>
      <c r="C56" s="2" t="s">
        <v>251</v>
      </c>
      <c r="D56" s="101">
        <v>80000</v>
      </c>
      <c r="E56" s="101">
        <v>80000</v>
      </c>
      <c r="F56" s="34">
        <f t="shared" si="6"/>
        <v>82400</v>
      </c>
      <c r="G56" s="34">
        <f t="shared" ref="G56:I65" si="9">F56+(F56*0.03)</f>
        <v>84872</v>
      </c>
      <c r="H56" s="34">
        <f t="shared" si="9"/>
        <v>87418.16</v>
      </c>
      <c r="I56" s="34">
        <f t="shared" si="9"/>
        <v>90040.704800000007</v>
      </c>
    </row>
    <row r="57" spans="1:10" s="14" customFormat="1" x14ac:dyDescent="0.35">
      <c r="A57">
        <v>38</v>
      </c>
      <c r="B57" s="2" t="s">
        <v>250</v>
      </c>
      <c r="C57" s="2" t="s">
        <v>56</v>
      </c>
      <c r="D57" s="101">
        <v>14000</v>
      </c>
      <c r="E57" s="101">
        <v>14000</v>
      </c>
      <c r="F57" s="34">
        <f t="shared" si="6"/>
        <v>14420</v>
      </c>
      <c r="G57" s="34">
        <f t="shared" si="9"/>
        <v>14852.6</v>
      </c>
      <c r="H57" s="34">
        <f t="shared" si="9"/>
        <v>15298.178</v>
      </c>
      <c r="I57" s="34">
        <f t="shared" si="9"/>
        <v>15757.12334</v>
      </c>
    </row>
    <row r="58" spans="1:10" s="14" customFormat="1" x14ac:dyDescent="0.35">
      <c r="A58">
        <v>39</v>
      </c>
      <c r="B58" s="2" t="s">
        <v>250</v>
      </c>
      <c r="C58" s="2" t="s">
        <v>53</v>
      </c>
      <c r="D58" s="101">
        <v>140000</v>
      </c>
      <c r="E58" s="101">
        <v>140000</v>
      </c>
      <c r="F58" s="34">
        <f t="shared" si="6"/>
        <v>144200</v>
      </c>
      <c r="G58" s="34">
        <f t="shared" si="9"/>
        <v>148526</v>
      </c>
      <c r="H58" s="34">
        <f t="shared" si="9"/>
        <v>152981.78</v>
      </c>
      <c r="I58" s="34">
        <f t="shared" si="9"/>
        <v>157571.2334</v>
      </c>
    </row>
    <row r="59" spans="1:10" s="14" customFormat="1" x14ac:dyDescent="0.35">
      <c r="A59">
        <v>40</v>
      </c>
      <c r="B59" s="2" t="s">
        <v>250</v>
      </c>
      <c r="C59" s="2" t="s">
        <v>55</v>
      </c>
      <c r="D59" s="101">
        <v>70000</v>
      </c>
      <c r="E59" s="101">
        <v>70000</v>
      </c>
      <c r="F59" s="34">
        <f t="shared" si="6"/>
        <v>72100</v>
      </c>
      <c r="G59" s="34">
        <f t="shared" si="9"/>
        <v>74263</v>
      </c>
      <c r="H59" s="34">
        <f t="shared" si="9"/>
        <v>76490.89</v>
      </c>
      <c r="I59" s="34">
        <f t="shared" si="9"/>
        <v>78785.616699999999</v>
      </c>
    </row>
    <row r="60" spans="1:10" s="14" customFormat="1" x14ac:dyDescent="0.35">
      <c r="A60">
        <v>41</v>
      </c>
      <c r="B60" s="2" t="s">
        <v>250</v>
      </c>
      <c r="C60" s="2" t="s">
        <v>54</v>
      </c>
      <c r="D60" s="101">
        <v>14000</v>
      </c>
      <c r="E60" s="101">
        <v>14000</v>
      </c>
      <c r="F60" s="34">
        <f t="shared" si="6"/>
        <v>14420</v>
      </c>
      <c r="G60" s="34">
        <f t="shared" si="9"/>
        <v>14852.6</v>
      </c>
      <c r="H60" s="34">
        <f t="shared" si="9"/>
        <v>15298.178</v>
      </c>
      <c r="I60" s="34">
        <f t="shared" si="9"/>
        <v>15757.12334</v>
      </c>
    </row>
    <row r="61" spans="1:10" s="14" customFormat="1" x14ac:dyDescent="0.35">
      <c r="A61">
        <v>42</v>
      </c>
      <c r="B61" s="2" t="s">
        <v>250</v>
      </c>
      <c r="C61" t="s">
        <v>47</v>
      </c>
      <c r="D61" s="101">
        <v>50000</v>
      </c>
      <c r="E61" s="101">
        <v>50000</v>
      </c>
      <c r="F61" s="34">
        <f t="shared" si="6"/>
        <v>51500</v>
      </c>
      <c r="G61" s="34">
        <f t="shared" si="9"/>
        <v>53045</v>
      </c>
      <c r="H61" s="34">
        <f t="shared" si="9"/>
        <v>54636.35</v>
      </c>
      <c r="I61" s="34">
        <f t="shared" si="9"/>
        <v>56275.440499999997</v>
      </c>
    </row>
    <row r="62" spans="1:10" s="14" customFormat="1" x14ac:dyDescent="0.35">
      <c r="A62">
        <v>43</v>
      </c>
      <c r="B62" s="2" t="s">
        <v>252</v>
      </c>
      <c r="C62" s="23" t="s">
        <v>45</v>
      </c>
      <c r="D62" s="104">
        <v>225000</v>
      </c>
      <c r="E62" s="104">
        <v>225000</v>
      </c>
      <c r="F62" s="34">
        <f t="shared" si="6"/>
        <v>231750</v>
      </c>
      <c r="G62" s="34">
        <f t="shared" si="9"/>
        <v>238702.5</v>
      </c>
      <c r="H62" s="34">
        <f t="shared" si="9"/>
        <v>245863.57500000001</v>
      </c>
      <c r="I62" s="34">
        <f t="shared" si="9"/>
        <v>253239.48225</v>
      </c>
    </row>
    <row r="63" spans="1:10" s="14" customFormat="1" x14ac:dyDescent="0.35">
      <c r="A63">
        <v>44</v>
      </c>
      <c r="B63" s="2" t="s">
        <v>252</v>
      </c>
      <c r="C63" s="23" t="s">
        <v>46</v>
      </c>
      <c r="D63" s="104">
        <v>75000</v>
      </c>
      <c r="E63" s="104">
        <v>75000</v>
      </c>
      <c r="F63" s="34">
        <f t="shared" si="6"/>
        <v>77250</v>
      </c>
      <c r="G63" s="34">
        <f t="shared" si="9"/>
        <v>79567.5</v>
      </c>
      <c r="H63" s="34">
        <f t="shared" si="9"/>
        <v>81954.524999999994</v>
      </c>
      <c r="I63" s="34">
        <f t="shared" si="9"/>
        <v>84413.160749999995</v>
      </c>
    </row>
    <row r="64" spans="1:10" s="14" customFormat="1" x14ac:dyDescent="0.35">
      <c r="A64">
        <v>45</v>
      </c>
      <c r="B64" s="2" t="s">
        <v>252</v>
      </c>
      <c r="C64" s="2" t="s">
        <v>78</v>
      </c>
      <c r="D64" s="104">
        <v>120000</v>
      </c>
      <c r="E64" s="104">
        <v>120000</v>
      </c>
      <c r="F64" s="34">
        <f t="shared" si="6"/>
        <v>123600</v>
      </c>
      <c r="G64" s="34">
        <f t="shared" si="9"/>
        <v>127308</v>
      </c>
      <c r="H64" s="34">
        <f t="shared" si="9"/>
        <v>131127.24</v>
      </c>
      <c r="I64" s="34">
        <f t="shared" si="9"/>
        <v>135061.05719999998</v>
      </c>
    </row>
    <row r="65" spans="1:9" s="14" customFormat="1" x14ac:dyDescent="0.35">
      <c r="A65">
        <v>46</v>
      </c>
      <c r="B65" s="2" t="s">
        <v>252</v>
      </c>
      <c r="C65" t="s">
        <v>48</v>
      </c>
      <c r="D65" s="104">
        <v>20000</v>
      </c>
      <c r="E65" s="104">
        <v>20000</v>
      </c>
      <c r="F65" s="34">
        <f t="shared" si="6"/>
        <v>20600</v>
      </c>
      <c r="G65" s="34">
        <f t="shared" si="9"/>
        <v>21218</v>
      </c>
      <c r="H65" s="34">
        <f t="shared" si="9"/>
        <v>21854.54</v>
      </c>
      <c r="I65" s="34">
        <f t="shared" si="9"/>
        <v>22510.176200000002</v>
      </c>
    </row>
    <row r="66" spans="1:9" s="14" customFormat="1" x14ac:dyDescent="0.35">
      <c r="A66">
        <v>47</v>
      </c>
      <c r="B66" s="2" t="s">
        <v>253</v>
      </c>
      <c r="C66" t="s">
        <v>79</v>
      </c>
      <c r="D66" s="101">
        <v>75000</v>
      </c>
      <c r="E66" s="101">
        <v>75000</v>
      </c>
      <c r="F66" s="34">
        <f t="shared" si="6"/>
        <v>77250</v>
      </c>
      <c r="G66" s="34">
        <f t="shared" ref="G66:I68" si="10">F66+(F66*0.03)</f>
        <v>79567.5</v>
      </c>
      <c r="H66" s="34">
        <f t="shared" si="10"/>
        <v>81954.524999999994</v>
      </c>
      <c r="I66" s="34">
        <f t="shared" si="10"/>
        <v>84413.160749999995</v>
      </c>
    </row>
    <row r="67" spans="1:9" s="14" customFormat="1" x14ac:dyDescent="0.35">
      <c r="A67">
        <v>48</v>
      </c>
      <c r="B67" s="2" t="s">
        <v>253</v>
      </c>
      <c r="C67" t="s">
        <v>80</v>
      </c>
      <c r="D67" s="101">
        <v>30000</v>
      </c>
      <c r="E67" s="101">
        <v>30000</v>
      </c>
      <c r="F67" s="34">
        <f t="shared" si="6"/>
        <v>30900</v>
      </c>
      <c r="G67" s="34">
        <f t="shared" si="10"/>
        <v>31827</v>
      </c>
      <c r="H67" s="34">
        <f t="shared" si="10"/>
        <v>32781.81</v>
      </c>
      <c r="I67" s="34">
        <f t="shared" si="10"/>
        <v>33765.264299999995</v>
      </c>
    </row>
    <row r="68" spans="1:9" s="14" customFormat="1" x14ac:dyDescent="0.35">
      <c r="A68">
        <v>49</v>
      </c>
      <c r="B68" s="2" t="s">
        <v>253</v>
      </c>
      <c r="C68" t="s">
        <v>81</v>
      </c>
      <c r="D68" s="101">
        <v>20000</v>
      </c>
      <c r="E68" s="101">
        <v>20000</v>
      </c>
      <c r="F68" s="34">
        <f t="shared" si="6"/>
        <v>20600</v>
      </c>
      <c r="G68" s="34">
        <f t="shared" si="10"/>
        <v>21218</v>
      </c>
      <c r="H68" s="34">
        <f t="shared" si="10"/>
        <v>21854.54</v>
      </c>
      <c r="I68" s="34">
        <f t="shared" si="10"/>
        <v>22510.176200000002</v>
      </c>
    </row>
    <row r="69" spans="1:9" s="14" customFormat="1" x14ac:dyDescent="0.35">
      <c r="A69">
        <v>50</v>
      </c>
      <c r="B69" s="2" t="s">
        <v>252</v>
      </c>
      <c r="C69" s="2" t="s">
        <v>42</v>
      </c>
      <c r="D69" s="101"/>
      <c r="E69" s="101"/>
      <c r="F69" s="34"/>
      <c r="G69" s="34"/>
      <c r="H69" s="34"/>
      <c r="I69" s="34"/>
    </row>
    <row r="70" spans="1:9" s="14" customFormat="1" x14ac:dyDescent="0.35">
      <c r="A70">
        <v>51</v>
      </c>
      <c r="B70" s="2" t="s">
        <v>252</v>
      </c>
      <c r="C70" s="2" t="s">
        <v>41</v>
      </c>
      <c r="D70" s="101">
        <v>20000</v>
      </c>
      <c r="E70" s="101">
        <v>20000</v>
      </c>
      <c r="F70" s="34">
        <f t="shared" ref="F70:F81" si="11">D70+(D70*0.03)</f>
        <v>20600</v>
      </c>
      <c r="G70" s="34">
        <f t="shared" ref="G70:I75" si="12">F70+(F70*0.03)</f>
        <v>21218</v>
      </c>
      <c r="H70" s="34">
        <f t="shared" si="12"/>
        <v>21854.54</v>
      </c>
      <c r="I70" s="34">
        <f t="shared" si="12"/>
        <v>22510.176200000002</v>
      </c>
    </row>
    <row r="71" spans="1:9" s="14" customFormat="1" x14ac:dyDescent="0.35">
      <c r="A71">
        <v>52</v>
      </c>
      <c r="B71" s="2" t="s">
        <v>252</v>
      </c>
      <c r="C71" s="2" t="s">
        <v>85</v>
      </c>
      <c r="D71" s="101">
        <v>15000</v>
      </c>
      <c r="E71" s="101">
        <v>15000</v>
      </c>
      <c r="F71" s="34">
        <f t="shared" si="11"/>
        <v>15450</v>
      </c>
      <c r="G71" s="34">
        <f t="shared" si="12"/>
        <v>15913.5</v>
      </c>
      <c r="H71" s="34">
        <f t="shared" si="12"/>
        <v>16390.904999999999</v>
      </c>
      <c r="I71" s="34">
        <f t="shared" si="12"/>
        <v>16882.632149999998</v>
      </c>
    </row>
    <row r="72" spans="1:9" s="14" customFormat="1" x14ac:dyDescent="0.35">
      <c r="A72">
        <v>53</v>
      </c>
      <c r="B72" s="2" t="s">
        <v>254</v>
      </c>
      <c r="C72" s="2" t="s">
        <v>66</v>
      </c>
      <c r="D72" s="101">
        <v>56000</v>
      </c>
      <c r="E72" s="101">
        <v>56000</v>
      </c>
      <c r="F72" s="34">
        <f t="shared" si="11"/>
        <v>57680</v>
      </c>
      <c r="G72" s="34">
        <f t="shared" si="12"/>
        <v>59410.400000000001</v>
      </c>
      <c r="H72" s="34">
        <f t="shared" si="12"/>
        <v>61192.712</v>
      </c>
      <c r="I72" s="34">
        <f t="shared" si="12"/>
        <v>63028.49336</v>
      </c>
    </row>
    <row r="73" spans="1:9" s="14" customFormat="1" x14ac:dyDescent="0.35">
      <c r="A73">
        <v>54</v>
      </c>
      <c r="B73" s="2" t="s">
        <v>254</v>
      </c>
      <c r="C73" s="16" t="s">
        <v>68</v>
      </c>
      <c r="D73" s="101">
        <v>80000</v>
      </c>
      <c r="E73" s="101">
        <v>80000</v>
      </c>
      <c r="F73" s="34">
        <f t="shared" si="11"/>
        <v>82400</v>
      </c>
      <c r="G73" s="34">
        <f t="shared" si="12"/>
        <v>84872</v>
      </c>
      <c r="H73" s="34">
        <f t="shared" si="12"/>
        <v>87418.16</v>
      </c>
      <c r="I73" s="34">
        <f t="shared" si="12"/>
        <v>90040.704800000007</v>
      </c>
    </row>
    <row r="74" spans="1:9" s="14" customFormat="1" x14ac:dyDescent="0.35">
      <c r="A74">
        <v>55</v>
      </c>
      <c r="B74" s="2" t="s">
        <v>254</v>
      </c>
      <c r="C74" s="2" t="s">
        <v>71</v>
      </c>
      <c r="D74" s="101">
        <v>10000</v>
      </c>
      <c r="E74" s="101">
        <v>10000</v>
      </c>
      <c r="F74" s="34">
        <f t="shared" si="11"/>
        <v>10300</v>
      </c>
      <c r="G74" s="34">
        <f t="shared" si="12"/>
        <v>10609</v>
      </c>
      <c r="H74" s="34">
        <f t="shared" si="12"/>
        <v>10927.27</v>
      </c>
      <c r="I74" s="34">
        <f t="shared" si="12"/>
        <v>11255.088100000001</v>
      </c>
    </row>
    <row r="75" spans="1:9" s="14" customFormat="1" x14ac:dyDescent="0.35">
      <c r="A75">
        <v>56</v>
      </c>
      <c r="B75" s="2" t="s">
        <v>255</v>
      </c>
      <c r="C75" s="2" t="s">
        <v>70</v>
      </c>
      <c r="D75" s="101">
        <v>10000</v>
      </c>
      <c r="E75" s="101">
        <v>10000</v>
      </c>
      <c r="F75" s="34">
        <f t="shared" si="11"/>
        <v>10300</v>
      </c>
      <c r="G75" s="34">
        <f t="shared" si="12"/>
        <v>10609</v>
      </c>
      <c r="H75" s="34">
        <f t="shared" si="12"/>
        <v>10927.27</v>
      </c>
      <c r="I75" s="34">
        <f t="shared" si="12"/>
        <v>11255.088100000001</v>
      </c>
    </row>
    <row r="76" spans="1:9" s="14" customFormat="1" x14ac:dyDescent="0.35">
      <c r="A76">
        <v>57</v>
      </c>
      <c r="B76" s="2" t="s">
        <v>248</v>
      </c>
      <c r="C76" t="s">
        <v>72</v>
      </c>
      <c r="D76" s="101">
        <v>30000</v>
      </c>
      <c r="E76" s="101">
        <v>30000</v>
      </c>
      <c r="F76" s="34">
        <f t="shared" si="11"/>
        <v>30900</v>
      </c>
      <c r="G76" s="34">
        <f t="shared" ref="G76:I81" si="13">F76+(F76*0.03)</f>
        <v>31827</v>
      </c>
      <c r="H76" s="34">
        <f t="shared" si="13"/>
        <v>32781.81</v>
      </c>
      <c r="I76" s="34">
        <f t="shared" si="13"/>
        <v>33765.264299999995</v>
      </c>
    </row>
    <row r="77" spans="1:9" s="14" customFormat="1" x14ac:dyDescent="0.35">
      <c r="A77">
        <v>58</v>
      </c>
      <c r="B77" s="2" t="s">
        <v>255</v>
      </c>
      <c r="C77" s="16" t="s">
        <v>30</v>
      </c>
      <c r="D77" s="101">
        <v>15000</v>
      </c>
      <c r="E77" s="101">
        <v>15000</v>
      </c>
      <c r="F77" s="34">
        <f t="shared" si="11"/>
        <v>15450</v>
      </c>
      <c r="G77" s="34">
        <f t="shared" si="13"/>
        <v>15913.5</v>
      </c>
      <c r="H77" s="34">
        <f t="shared" si="13"/>
        <v>16390.904999999999</v>
      </c>
      <c r="I77" s="34">
        <f t="shared" si="13"/>
        <v>16882.632149999998</v>
      </c>
    </row>
    <row r="78" spans="1:9" s="14" customFormat="1" x14ac:dyDescent="0.35">
      <c r="A78">
        <v>59</v>
      </c>
      <c r="B78" s="2" t="s">
        <v>248</v>
      </c>
      <c r="C78" s="16" t="s">
        <v>40</v>
      </c>
      <c r="D78" s="101">
        <v>40000</v>
      </c>
      <c r="E78" s="101">
        <v>40000</v>
      </c>
      <c r="F78" s="34">
        <f t="shared" si="11"/>
        <v>41200</v>
      </c>
      <c r="G78" s="34">
        <f t="shared" si="13"/>
        <v>42436</v>
      </c>
      <c r="H78" s="34">
        <f t="shared" si="13"/>
        <v>43709.08</v>
      </c>
      <c r="I78" s="34">
        <f t="shared" si="13"/>
        <v>45020.352400000003</v>
      </c>
    </row>
    <row r="79" spans="1:9" s="14" customFormat="1" x14ac:dyDescent="0.35">
      <c r="A79">
        <v>60</v>
      </c>
      <c r="B79" s="2" t="s">
        <v>256</v>
      </c>
      <c r="C79" s="2" t="s">
        <v>69</v>
      </c>
      <c r="D79" s="101">
        <v>30000</v>
      </c>
      <c r="E79" s="101">
        <v>30000</v>
      </c>
      <c r="F79" s="34">
        <f t="shared" si="11"/>
        <v>30900</v>
      </c>
      <c r="G79" s="34">
        <f t="shared" si="13"/>
        <v>31827</v>
      </c>
      <c r="H79" s="34">
        <f t="shared" si="13"/>
        <v>32781.81</v>
      </c>
      <c r="I79" s="34">
        <f t="shared" si="13"/>
        <v>33765.264299999995</v>
      </c>
    </row>
    <row r="80" spans="1:9" s="14" customFormat="1" x14ac:dyDescent="0.35">
      <c r="A80">
        <v>61</v>
      </c>
      <c r="B80" s="2" t="s">
        <v>257</v>
      </c>
      <c r="C80" s="2" t="s">
        <v>44</v>
      </c>
      <c r="D80" s="101">
        <v>338000</v>
      </c>
      <c r="E80" s="101">
        <v>338000</v>
      </c>
      <c r="F80" s="34">
        <f t="shared" si="11"/>
        <v>348140</v>
      </c>
      <c r="G80" s="34">
        <f t="shared" si="13"/>
        <v>358584.2</v>
      </c>
      <c r="H80" s="34">
        <f t="shared" si="13"/>
        <v>369341.72600000002</v>
      </c>
      <c r="I80" s="34">
        <f t="shared" si="13"/>
        <v>380421.97778000002</v>
      </c>
    </row>
    <row r="81" spans="1:9" s="14" customFormat="1" ht="15" thickBot="1" x14ac:dyDescent="0.4">
      <c r="A81">
        <v>62</v>
      </c>
      <c r="B81" s="2" t="s">
        <v>257</v>
      </c>
      <c r="C81" s="2" t="s">
        <v>67</v>
      </c>
      <c r="D81" s="221">
        <v>20000</v>
      </c>
      <c r="E81" s="221">
        <v>20000</v>
      </c>
      <c r="F81" s="34">
        <f t="shared" si="11"/>
        <v>20600</v>
      </c>
      <c r="G81" s="34">
        <f t="shared" si="13"/>
        <v>21218</v>
      </c>
      <c r="H81" s="34">
        <f t="shared" si="13"/>
        <v>21854.54</v>
      </c>
      <c r="I81" s="34">
        <f t="shared" si="13"/>
        <v>22510.176200000002</v>
      </c>
    </row>
    <row r="82" spans="1:9" s="14" customFormat="1" ht="16" thickBot="1" x14ac:dyDescent="0.4">
      <c r="B82" s="193"/>
      <c r="C82" s="194" t="s">
        <v>518</v>
      </c>
      <c r="D82" s="222">
        <f>SUM(D33:D81)</f>
        <v>15795777</v>
      </c>
      <c r="E82" s="223" t="e">
        <f>SUM(E33:E81)</f>
        <v>#REF!</v>
      </c>
      <c r="F82" s="191">
        <f>SUM(F44:F81)</f>
        <v>7023521.5</v>
      </c>
      <c r="G82" s="38">
        <f>SUM(G44:G81)</f>
        <v>7151727.1450000005</v>
      </c>
      <c r="H82" s="38">
        <f>SUM(H44:H81)</f>
        <v>7283778.9593499992</v>
      </c>
      <c r="I82" s="38">
        <f>SUM(I44:I81)</f>
        <v>7419792.3281304995</v>
      </c>
    </row>
    <row r="83" spans="1:9" s="14" customFormat="1" ht="15" thickBot="1" x14ac:dyDescent="0.4">
      <c r="B83"/>
      <c r="C83"/>
      <c r="D83" s="103"/>
      <c r="E83" s="103"/>
    </row>
    <row r="84" spans="1:9" s="14" customFormat="1" ht="15" thickBot="1" x14ac:dyDescent="0.4">
      <c r="B84" s="197"/>
      <c r="C84" s="198" t="s">
        <v>558</v>
      </c>
      <c r="D84" s="224">
        <f t="shared" ref="D84:I84" si="14">D31-D82</f>
        <v>1759091</v>
      </c>
      <c r="E84" s="232" t="e">
        <f t="shared" si="14"/>
        <v>#REF!</v>
      </c>
      <c r="F84" s="25">
        <f t="shared" si="14"/>
        <v>9790146.7100000009</v>
      </c>
      <c r="G84" s="25">
        <f t="shared" si="14"/>
        <v>9610045.1142175011</v>
      </c>
      <c r="H84" s="25">
        <f t="shared" si="14"/>
        <v>10150616.290649047</v>
      </c>
      <c r="I84" s="25">
        <f t="shared" si="14"/>
        <v>10712632.697063699</v>
      </c>
    </row>
    <row r="85" spans="1:9" s="14" customFormat="1" ht="15" thickBot="1" x14ac:dyDescent="0.4">
      <c r="B85"/>
      <c r="C85" s="8"/>
      <c r="D85" s="103"/>
      <c r="E85" s="103"/>
    </row>
    <row r="86" spans="1:9" s="14" customFormat="1" ht="16" thickBot="1" x14ac:dyDescent="0.4">
      <c r="B86" s="197"/>
      <c r="C86" s="198" t="s">
        <v>559</v>
      </c>
      <c r="D86" s="226">
        <f t="shared" ref="D86:I86" si="15">D84</f>
        <v>1759091</v>
      </c>
      <c r="E86" s="233" t="e">
        <f t="shared" si="15"/>
        <v>#REF!</v>
      </c>
      <c r="F86" s="225">
        <f t="shared" si="15"/>
        <v>9790146.7100000009</v>
      </c>
      <c r="G86" s="26">
        <f t="shared" si="15"/>
        <v>9610045.1142175011</v>
      </c>
      <c r="H86" s="26">
        <f t="shared" si="15"/>
        <v>10150616.290649047</v>
      </c>
      <c r="I86" s="26">
        <f t="shared" si="15"/>
        <v>10712632.697063699</v>
      </c>
    </row>
    <row r="87" spans="1:9" s="14" customFormat="1" x14ac:dyDescent="0.35">
      <c r="B87"/>
      <c r="C87"/>
      <c r="D87" s="103"/>
      <c r="E87" s="97"/>
    </row>
    <row r="88" spans="1:9" s="14" customFormat="1" x14ac:dyDescent="0.35">
      <c r="B88"/>
      <c r="C88"/>
      <c r="D88" s="103"/>
      <c r="E88" s="97"/>
    </row>
    <row r="89" spans="1:9" s="14" customFormat="1" x14ac:dyDescent="0.35">
      <c r="B89"/>
      <c r="C89"/>
      <c r="D89" s="103"/>
      <c r="E89" s="97"/>
    </row>
    <row r="90" spans="1:9" s="14" customFormat="1" x14ac:dyDescent="0.35">
      <c r="B90" s="253" t="s">
        <v>560</v>
      </c>
      <c r="C90" s="253" t="s">
        <v>561</v>
      </c>
      <c r="D90" s="253" t="s">
        <v>562</v>
      </c>
      <c r="E90" s="253" t="s">
        <v>563</v>
      </c>
      <c r="F90"/>
      <c r="G90"/>
      <c r="H90"/>
      <c r="I90" s="253" t="s">
        <v>730</v>
      </c>
    </row>
    <row r="91" spans="1:9" s="14" customFormat="1" x14ac:dyDescent="0.35">
      <c r="B91" t="s">
        <v>7</v>
      </c>
      <c r="C91" s="13">
        <f>E11</f>
        <v>1110185</v>
      </c>
      <c r="D91" s="480">
        <f>'Master Budgets'!N3</f>
        <v>1110185</v>
      </c>
      <c r="E91" t="str">
        <f>IF(C91=D91,"YEA","NOPE")</f>
        <v>YEA</v>
      </c>
      <c r="F91"/>
      <c r="G91"/>
      <c r="H91"/>
      <c r="I91" t="str">
        <f>IF(C91=D91,"YEA","NOPE")</f>
        <v>YEA</v>
      </c>
    </row>
    <row r="92" spans="1:9" s="14" customFormat="1" x14ac:dyDescent="0.35">
      <c r="B92" t="s">
        <v>564</v>
      </c>
      <c r="C92" s="13">
        <f>E31</f>
        <v>19398718.899999999</v>
      </c>
      <c r="D92" s="480">
        <f>'Master Budgets'!N42</f>
        <v>19817586.399999999</v>
      </c>
      <c r="E92" s="235" t="str">
        <f>IF(C92=D92,"YEA","NOPE")</f>
        <v>NOPE</v>
      </c>
      <c r="F92"/>
      <c r="G92"/>
      <c r="H92"/>
      <c r="I92" s="235" t="str">
        <f>IF(C92=D92,"YEA","NOPE")</f>
        <v>NOPE</v>
      </c>
    </row>
    <row r="93" spans="1:9" s="14" customFormat="1" x14ac:dyDescent="0.35">
      <c r="B93" t="s">
        <v>565</v>
      </c>
      <c r="C93" s="4" t="e">
        <f>E82</f>
        <v>#REF!</v>
      </c>
      <c r="D93" s="480" t="e">
        <f>'Master Budgets'!N176</f>
        <v>#REF!</v>
      </c>
      <c r="E93" s="235" t="e">
        <f>IF(C93=D93,"YEA","NOPE")</f>
        <v>#REF!</v>
      </c>
      <c r="F93"/>
      <c r="G93"/>
      <c r="H93"/>
      <c r="I93" t="e">
        <f>IF(C93=D93,"YEA","NOPE")</f>
        <v>#REF!</v>
      </c>
    </row>
    <row r="94" spans="1:9" s="14" customFormat="1" x14ac:dyDescent="0.35">
      <c r="B94"/>
      <c r="C94"/>
      <c r="D94" s="103"/>
      <c r="E94" s="97"/>
    </row>
    <row r="95" spans="1:9" s="14" customFormat="1" x14ac:dyDescent="0.35">
      <c r="B95"/>
      <c r="C95"/>
      <c r="D95" s="103"/>
      <c r="E95" s="97"/>
    </row>
  </sheetData>
  <protectedRanges>
    <protectedRange algorithmName="SHA-512" hashValue="sib5Nlt62x8Cjehj5QpvQOfZQRWFyVXdW4ymlOfnLMMNdxZw1XVdONARla6+9R164l5kN77+d8cnUihMlL+w0A==" saltValue="TiYlffcKhraV9z9Br0ykmA==" spinCount="100000" sqref="D33:D43" name="Range1_1"/>
  </protectedRanges>
  <mergeCells count="1">
    <mergeCell ref="B1:I1"/>
  </mergeCells>
  <dataValidations count="1">
    <dataValidation type="list" allowBlank="1" showInputMessage="1" showErrorMessage="1" sqref="B31:B32 B43" xr:uid="{616A770A-278E-49D5-BD23-26FCED9BE881}">
      <formula1>#REF!</formula1>
    </dataValidation>
  </dataValidations>
  <pageMargins left="0.7" right="0.7" top="0.75" bottom="0.75" header="0.3" footer="0.3"/>
  <pageSetup scale="81" orientation="portrait" r:id="rId1"/>
  <rowBreaks count="1" manualBreakCount="1">
    <brk id="5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3EC4-94C6-48DC-8B3B-95AC6FF1EF4C}">
  <dimension ref="A1:U55"/>
  <sheetViews>
    <sheetView zoomScale="90" zoomScaleNormal="90" zoomScaleSheetLayoutView="93" workbookViewId="0">
      <selection activeCell="G2" sqref="G2:P3"/>
    </sheetView>
  </sheetViews>
  <sheetFormatPr defaultColWidth="9" defaultRowHeight="14.5" x14ac:dyDescent="0.35"/>
  <cols>
    <col min="1" max="1" width="28.26953125" style="1050" customWidth="1"/>
    <col min="2" max="2" width="8.81640625" style="1050" customWidth="1"/>
    <col min="3" max="6" width="16.54296875" style="1050" customWidth="1"/>
    <col min="7" max="7" width="13.26953125" style="1050" customWidth="1"/>
    <col min="8" max="8" width="16.81640625" style="1050" customWidth="1"/>
    <col min="9" max="10" width="9" style="1050"/>
    <col min="11" max="11" width="14.54296875" style="1050" customWidth="1"/>
    <col min="12" max="12" width="14.26953125" style="1050" customWidth="1"/>
    <col min="13" max="14" width="9" style="1050"/>
    <col min="15" max="15" width="13.81640625" style="1050" customWidth="1"/>
    <col min="16" max="16" width="15.1796875" style="1050" bestFit="1" customWidth="1"/>
    <col min="17" max="19" width="9" style="1050"/>
    <col min="20" max="20" width="11.1796875" style="1050" bestFit="1" customWidth="1"/>
    <col min="21" max="16384" width="9" style="1050"/>
  </cols>
  <sheetData>
    <row r="1" spans="1:21" ht="29.25" customHeight="1" x14ac:dyDescent="0.35">
      <c r="A1" s="1273" t="s">
        <v>735</v>
      </c>
      <c r="B1" s="1273"/>
      <c r="C1" s="1273"/>
      <c r="D1" s="1273"/>
      <c r="E1" s="1273"/>
      <c r="F1" s="1273"/>
    </row>
    <row r="2" spans="1:21" ht="25.9" customHeight="1" x14ac:dyDescent="0.35">
      <c r="A2" s="1274" t="s">
        <v>584</v>
      </c>
      <c r="B2" s="1275" t="s">
        <v>622</v>
      </c>
      <c r="C2" s="1277" t="s">
        <v>623</v>
      </c>
      <c r="D2" s="1277"/>
      <c r="E2" s="1278" t="s">
        <v>624</v>
      </c>
      <c r="F2" s="1280" t="s">
        <v>625</v>
      </c>
      <c r="G2" s="1261" t="s">
        <v>626</v>
      </c>
      <c r="H2" s="1173" t="s">
        <v>585</v>
      </c>
      <c r="I2" s="1173" t="s">
        <v>736</v>
      </c>
      <c r="J2" s="1173" t="s">
        <v>587</v>
      </c>
      <c r="K2" s="1173" t="s">
        <v>588</v>
      </c>
      <c r="L2" s="1173" t="s">
        <v>589</v>
      </c>
      <c r="M2" s="1173" t="s">
        <v>590</v>
      </c>
      <c r="N2" s="1173" t="s">
        <v>737</v>
      </c>
      <c r="O2" s="1173" t="s">
        <v>738</v>
      </c>
      <c r="P2" s="1124" t="s">
        <v>592</v>
      </c>
    </row>
    <row r="3" spans="1:21" ht="24" customHeight="1" x14ac:dyDescent="0.35">
      <c r="A3" s="1274"/>
      <c r="B3" s="1276"/>
      <c r="C3" s="1051" t="s">
        <v>627</v>
      </c>
      <c r="D3" s="1051" t="s">
        <v>628</v>
      </c>
      <c r="E3" s="1279"/>
      <c r="F3" s="1280"/>
      <c r="G3" s="1261"/>
      <c r="H3" s="1174">
        <f>(0.9*7200)-(50*12)</f>
        <v>5880</v>
      </c>
      <c r="I3" s="1123">
        <f>0.018+0.0075</f>
        <v>2.5499999999999998E-2</v>
      </c>
      <c r="J3" s="1123">
        <v>1.4500000000000001E-2</v>
      </c>
      <c r="K3" s="1123">
        <v>1.26E-2</v>
      </c>
      <c r="L3" s="1123">
        <v>1.7000000000000001E-2</v>
      </c>
      <c r="M3" s="1123">
        <v>8.4</v>
      </c>
      <c r="N3" s="1123"/>
      <c r="O3" s="1123"/>
      <c r="P3" s="1125" t="s">
        <v>594</v>
      </c>
      <c r="S3" s="1155"/>
    </row>
    <row r="4" spans="1:21" ht="15.5" x14ac:dyDescent="0.35">
      <c r="A4" s="1052" t="s">
        <v>739</v>
      </c>
      <c r="B4" s="1053">
        <v>1</v>
      </c>
      <c r="C4" s="1054">
        <v>53000</v>
      </c>
      <c r="D4" s="1054">
        <f t="shared" ref="D4:D32" si="0">C4+25000</f>
        <v>78000</v>
      </c>
      <c r="E4" s="1055">
        <f t="shared" ref="E4:E31" si="1">C4+5000</f>
        <v>58000</v>
      </c>
      <c r="F4" s="1056">
        <f>B4*E4</f>
        <v>58000</v>
      </c>
      <c r="G4" s="1101"/>
      <c r="H4" s="1050">
        <f t="shared" ref="H4:H32" si="2">+$H$3*B4</f>
        <v>5880</v>
      </c>
      <c r="I4" s="1050">
        <f t="shared" ref="I4:I32" si="3">+F4*$I$3</f>
        <v>1479</v>
      </c>
      <c r="J4" s="1121">
        <f t="shared" ref="J4:J32" si="4">+$J$3*F4</f>
        <v>841</v>
      </c>
      <c r="K4" s="1122">
        <f t="shared" ref="K4:K32" si="5">+$K$3*F4</f>
        <v>730.8</v>
      </c>
      <c r="L4" s="1121">
        <f t="shared" ref="L4:L32" si="6">+$L$3*F4</f>
        <v>986.00000000000011</v>
      </c>
      <c r="M4" s="1050">
        <f t="shared" ref="M4:M32" si="7">+M3*B4</f>
        <v>8.4</v>
      </c>
      <c r="O4" s="1050">
        <f t="shared" ref="O4:O32" si="8">SUM(I4:N4)</f>
        <v>4045.2000000000003</v>
      </c>
      <c r="P4" s="1121">
        <f t="shared" ref="P4:P32" si="9">+F4+O4</f>
        <v>62045.2</v>
      </c>
      <c r="U4" s="1155"/>
    </row>
    <row r="5" spans="1:21" ht="15.5" x14ac:dyDescent="0.35">
      <c r="A5" s="1052" t="s">
        <v>740</v>
      </c>
      <c r="B5" s="1053">
        <v>1</v>
      </c>
      <c r="C5" s="1054">
        <v>38000</v>
      </c>
      <c r="D5" s="1054">
        <f t="shared" si="0"/>
        <v>63000</v>
      </c>
      <c r="E5" s="1055">
        <f t="shared" si="1"/>
        <v>43000</v>
      </c>
      <c r="F5" s="1056">
        <f t="shared" ref="F5:F32" si="10">B5*E5</f>
        <v>43000</v>
      </c>
      <c r="G5" s="1101"/>
      <c r="H5" s="1050">
        <f t="shared" si="2"/>
        <v>5880</v>
      </c>
      <c r="I5" s="1050">
        <f t="shared" si="3"/>
        <v>1096.5</v>
      </c>
      <c r="J5" s="1121">
        <f t="shared" si="4"/>
        <v>623.5</v>
      </c>
      <c r="K5" s="1122">
        <f t="shared" si="5"/>
        <v>541.79999999999995</v>
      </c>
      <c r="L5" s="1121">
        <f t="shared" si="6"/>
        <v>731</v>
      </c>
      <c r="M5" s="1050">
        <f t="shared" si="7"/>
        <v>8.4</v>
      </c>
      <c r="O5" s="1050">
        <f t="shared" si="8"/>
        <v>3001.2000000000003</v>
      </c>
      <c r="P5" s="1121">
        <f t="shared" si="9"/>
        <v>46001.2</v>
      </c>
      <c r="U5" s="1155"/>
    </row>
    <row r="6" spans="1:21" ht="15.5" x14ac:dyDescent="0.35">
      <c r="A6" s="1052" t="s">
        <v>630</v>
      </c>
      <c r="B6" s="1053">
        <v>3</v>
      </c>
      <c r="C6" s="1054">
        <v>65000</v>
      </c>
      <c r="D6" s="1054">
        <f t="shared" si="0"/>
        <v>90000</v>
      </c>
      <c r="E6" s="1055">
        <f t="shared" si="1"/>
        <v>70000</v>
      </c>
      <c r="F6" s="1056">
        <f t="shared" si="10"/>
        <v>210000</v>
      </c>
      <c r="G6" s="1101"/>
      <c r="H6" s="1050">
        <f t="shared" si="2"/>
        <v>17640</v>
      </c>
      <c r="I6" s="1050">
        <f t="shared" si="3"/>
        <v>5355</v>
      </c>
      <c r="J6" s="1121">
        <f t="shared" si="4"/>
        <v>3045</v>
      </c>
      <c r="K6" s="1122">
        <f t="shared" si="5"/>
        <v>2646</v>
      </c>
      <c r="L6" s="1121">
        <f t="shared" si="6"/>
        <v>3570.0000000000005</v>
      </c>
      <c r="M6" s="1050">
        <f t="shared" si="7"/>
        <v>25.200000000000003</v>
      </c>
      <c r="O6" s="1050">
        <f t="shared" si="8"/>
        <v>14641.2</v>
      </c>
      <c r="P6" s="1121">
        <f t="shared" si="9"/>
        <v>224641.2</v>
      </c>
      <c r="U6" s="1155"/>
    </row>
    <row r="7" spans="1:21" ht="15.5" x14ac:dyDescent="0.35">
      <c r="A7" s="1052" t="s">
        <v>631</v>
      </c>
      <c r="B7" s="1053">
        <v>3</v>
      </c>
      <c r="C7" s="1054">
        <v>65000</v>
      </c>
      <c r="D7" s="1054">
        <f t="shared" si="0"/>
        <v>90000</v>
      </c>
      <c r="E7" s="1055">
        <f t="shared" si="1"/>
        <v>70000</v>
      </c>
      <c r="F7" s="1056">
        <f t="shared" si="10"/>
        <v>210000</v>
      </c>
      <c r="G7" s="1101"/>
      <c r="H7" s="1050">
        <f t="shared" si="2"/>
        <v>17640</v>
      </c>
      <c r="I7" s="1050">
        <f t="shared" si="3"/>
        <v>5355</v>
      </c>
      <c r="J7" s="1121">
        <f t="shared" si="4"/>
        <v>3045</v>
      </c>
      <c r="K7" s="1122">
        <f t="shared" si="5"/>
        <v>2646</v>
      </c>
      <c r="L7" s="1121">
        <f t="shared" si="6"/>
        <v>3570.0000000000005</v>
      </c>
      <c r="M7" s="1050">
        <f t="shared" si="7"/>
        <v>75.600000000000009</v>
      </c>
      <c r="O7" s="1050">
        <f t="shared" si="8"/>
        <v>14691.6</v>
      </c>
      <c r="P7" s="1121">
        <f t="shared" si="9"/>
        <v>224691.6</v>
      </c>
      <c r="U7" s="1155"/>
    </row>
    <row r="8" spans="1:21" ht="15.5" x14ac:dyDescent="0.35">
      <c r="A8" s="1052" t="s">
        <v>632</v>
      </c>
      <c r="B8" s="1053">
        <v>1</v>
      </c>
      <c r="C8" s="1054">
        <v>70000</v>
      </c>
      <c r="D8" s="1054">
        <f t="shared" si="0"/>
        <v>95000</v>
      </c>
      <c r="E8" s="1055">
        <f t="shared" si="1"/>
        <v>75000</v>
      </c>
      <c r="F8" s="1056">
        <f t="shared" si="10"/>
        <v>75000</v>
      </c>
      <c r="G8" s="1101"/>
      <c r="H8" s="1050">
        <f t="shared" si="2"/>
        <v>5880</v>
      </c>
      <c r="I8" s="1050">
        <f t="shared" si="3"/>
        <v>1912.4999999999998</v>
      </c>
      <c r="J8" s="1121">
        <f t="shared" si="4"/>
        <v>1087.5</v>
      </c>
      <c r="K8" s="1122">
        <f t="shared" si="5"/>
        <v>945</v>
      </c>
      <c r="L8" s="1121">
        <f t="shared" si="6"/>
        <v>1275</v>
      </c>
      <c r="M8" s="1050">
        <f t="shared" si="7"/>
        <v>75.600000000000009</v>
      </c>
      <c r="O8" s="1050">
        <f t="shared" si="8"/>
        <v>5295.6</v>
      </c>
      <c r="P8" s="1121">
        <f t="shared" si="9"/>
        <v>80295.600000000006</v>
      </c>
      <c r="U8" s="1155"/>
    </row>
    <row r="9" spans="1:21" ht="15.5" x14ac:dyDescent="0.35">
      <c r="A9" s="1052" t="s">
        <v>634</v>
      </c>
      <c r="B9" s="1053">
        <v>1</v>
      </c>
      <c r="C9" s="1054">
        <v>68000</v>
      </c>
      <c r="D9" s="1054">
        <f t="shared" si="0"/>
        <v>93000</v>
      </c>
      <c r="E9" s="1055">
        <f t="shared" si="1"/>
        <v>73000</v>
      </c>
      <c r="F9" s="1056">
        <f t="shared" si="10"/>
        <v>73000</v>
      </c>
      <c r="G9" s="1101"/>
      <c r="H9" s="1050">
        <f t="shared" si="2"/>
        <v>5880</v>
      </c>
      <c r="I9" s="1050">
        <f t="shared" si="3"/>
        <v>1861.4999999999998</v>
      </c>
      <c r="J9" s="1121">
        <f t="shared" si="4"/>
        <v>1058.5</v>
      </c>
      <c r="K9" s="1122">
        <f t="shared" si="5"/>
        <v>919.8</v>
      </c>
      <c r="L9" s="1121">
        <f t="shared" si="6"/>
        <v>1241</v>
      </c>
      <c r="M9" s="1050">
        <f t="shared" si="7"/>
        <v>75.600000000000009</v>
      </c>
      <c r="O9" s="1050">
        <f t="shared" si="8"/>
        <v>5156.4000000000005</v>
      </c>
      <c r="P9" s="1121">
        <f t="shared" si="9"/>
        <v>78156.399999999994</v>
      </c>
      <c r="U9" s="1155"/>
    </row>
    <row r="10" spans="1:21" ht="15.5" x14ac:dyDescent="0.35">
      <c r="A10" s="1052" t="s">
        <v>635</v>
      </c>
      <c r="B10" s="1053">
        <v>1</v>
      </c>
      <c r="C10" s="1054">
        <v>68000</v>
      </c>
      <c r="D10" s="1054">
        <f t="shared" si="0"/>
        <v>93000</v>
      </c>
      <c r="E10" s="1055">
        <f t="shared" si="1"/>
        <v>73000</v>
      </c>
      <c r="F10" s="1056">
        <f t="shared" si="10"/>
        <v>73000</v>
      </c>
      <c r="G10" s="1101"/>
      <c r="H10" s="1050">
        <f t="shared" si="2"/>
        <v>5880</v>
      </c>
      <c r="I10" s="1050">
        <f t="shared" si="3"/>
        <v>1861.4999999999998</v>
      </c>
      <c r="J10" s="1121">
        <f t="shared" si="4"/>
        <v>1058.5</v>
      </c>
      <c r="K10" s="1122">
        <f t="shared" si="5"/>
        <v>919.8</v>
      </c>
      <c r="L10" s="1121">
        <f t="shared" si="6"/>
        <v>1241</v>
      </c>
      <c r="M10" s="1050">
        <f t="shared" si="7"/>
        <v>75.600000000000009</v>
      </c>
      <c r="O10" s="1050">
        <f t="shared" si="8"/>
        <v>5156.4000000000005</v>
      </c>
      <c r="P10" s="1121">
        <f t="shared" si="9"/>
        <v>78156.399999999994</v>
      </c>
      <c r="U10" s="1155"/>
    </row>
    <row r="11" spans="1:21" ht="15.5" x14ac:dyDescent="0.35">
      <c r="A11" s="1052" t="s">
        <v>636</v>
      </c>
      <c r="B11" s="1053">
        <v>1</v>
      </c>
      <c r="C11" s="1054">
        <v>75000</v>
      </c>
      <c r="D11" s="1054">
        <f t="shared" si="0"/>
        <v>100000</v>
      </c>
      <c r="E11" s="1055">
        <f t="shared" si="1"/>
        <v>80000</v>
      </c>
      <c r="F11" s="1056">
        <f t="shared" si="10"/>
        <v>80000</v>
      </c>
      <c r="G11" s="1101"/>
      <c r="H11" s="1050">
        <f t="shared" si="2"/>
        <v>5880</v>
      </c>
      <c r="I11" s="1050">
        <f t="shared" si="3"/>
        <v>2039.9999999999998</v>
      </c>
      <c r="J11" s="1121">
        <f t="shared" si="4"/>
        <v>1160</v>
      </c>
      <c r="K11" s="1122">
        <f t="shared" si="5"/>
        <v>1008</v>
      </c>
      <c r="L11" s="1121">
        <f t="shared" si="6"/>
        <v>1360</v>
      </c>
      <c r="M11" s="1050">
        <f t="shared" si="7"/>
        <v>75.600000000000009</v>
      </c>
      <c r="O11" s="1050">
        <f t="shared" si="8"/>
        <v>5643.6</v>
      </c>
      <c r="P11" s="1121">
        <f t="shared" si="9"/>
        <v>85643.6</v>
      </c>
      <c r="U11" s="1155"/>
    </row>
    <row r="12" spans="1:21" x14ac:dyDescent="0.35">
      <c r="A12" s="1175" t="s">
        <v>741</v>
      </c>
      <c r="B12" s="1053">
        <v>1</v>
      </c>
      <c r="C12" s="1054">
        <v>70000</v>
      </c>
      <c r="D12" s="1054"/>
      <c r="E12" s="1055">
        <v>70000</v>
      </c>
      <c r="F12" s="1056">
        <v>0</v>
      </c>
      <c r="G12" s="1061">
        <v>70000</v>
      </c>
      <c r="H12" s="1050">
        <f t="shared" si="2"/>
        <v>5880</v>
      </c>
      <c r="I12" s="1050">
        <f t="shared" si="3"/>
        <v>0</v>
      </c>
      <c r="J12" s="1121">
        <f t="shared" si="4"/>
        <v>0</v>
      </c>
      <c r="K12" s="1122">
        <f t="shared" si="5"/>
        <v>0</v>
      </c>
      <c r="L12" s="1121">
        <f t="shared" si="6"/>
        <v>0</v>
      </c>
      <c r="M12" s="1050">
        <f t="shared" si="7"/>
        <v>75.600000000000009</v>
      </c>
      <c r="O12" s="1050">
        <f t="shared" si="8"/>
        <v>75.600000000000009</v>
      </c>
      <c r="P12" s="1121">
        <f t="shared" si="9"/>
        <v>75.600000000000009</v>
      </c>
      <c r="U12" s="1155"/>
    </row>
    <row r="13" spans="1:21" ht="15.5" x14ac:dyDescent="0.35">
      <c r="A13" s="1052" t="s">
        <v>638</v>
      </c>
      <c r="B13" s="1053">
        <v>1</v>
      </c>
      <c r="C13" s="1054">
        <v>70000</v>
      </c>
      <c r="D13" s="1054">
        <f t="shared" si="0"/>
        <v>95000</v>
      </c>
      <c r="E13" s="1055">
        <f t="shared" si="1"/>
        <v>75000</v>
      </c>
      <c r="F13" s="1056">
        <f t="shared" si="10"/>
        <v>75000</v>
      </c>
      <c r="G13" s="1101"/>
      <c r="H13" s="1050">
        <f t="shared" si="2"/>
        <v>5880</v>
      </c>
      <c r="I13" s="1050">
        <f t="shared" si="3"/>
        <v>1912.4999999999998</v>
      </c>
      <c r="J13" s="1121">
        <f t="shared" si="4"/>
        <v>1087.5</v>
      </c>
      <c r="K13" s="1122">
        <f t="shared" si="5"/>
        <v>945</v>
      </c>
      <c r="L13" s="1121">
        <f t="shared" si="6"/>
        <v>1275</v>
      </c>
      <c r="M13" s="1050">
        <f t="shared" si="7"/>
        <v>75.600000000000009</v>
      </c>
      <c r="O13" s="1050">
        <f t="shared" si="8"/>
        <v>5295.6</v>
      </c>
      <c r="P13" s="1121">
        <f t="shared" si="9"/>
        <v>80295.600000000006</v>
      </c>
      <c r="U13" s="1155"/>
    </row>
    <row r="14" spans="1:21" ht="15.5" x14ac:dyDescent="0.35">
      <c r="A14" s="1052" t="s">
        <v>639</v>
      </c>
      <c r="B14" s="1053">
        <v>1</v>
      </c>
      <c r="C14" s="1054">
        <v>70000</v>
      </c>
      <c r="D14" s="1054">
        <f t="shared" si="0"/>
        <v>95000</v>
      </c>
      <c r="E14" s="1055">
        <f t="shared" si="1"/>
        <v>75000</v>
      </c>
      <c r="F14" s="1056">
        <f t="shared" si="10"/>
        <v>75000</v>
      </c>
      <c r="G14" s="1101"/>
      <c r="H14" s="1050">
        <f t="shared" si="2"/>
        <v>5880</v>
      </c>
      <c r="I14" s="1050">
        <f t="shared" si="3"/>
        <v>1912.4999999999998</v>
      </c>
      <c r="J14" s="1121">
        <f t="shared" si="4"/>
        <v>1087.5</v>
      </c>
      <c r="K14" s="1122">
        <f t="shared" si="5"/>
        <v>945</v>
      </c>
      <c r="L14" s="1121">
        <f t="shared" si="6"/>
        <v>1275</v>
      </c>
      <c r="M14" s="1050">
        <f t="shared" si="7"/>
        <v>75.600000000000009</v>
      </c>
      <c r="O14" s="1050">
        <f t="shared" si="8"/>
        <v>5295.6</v>
      </c>
      <c r="P14" s="1121">
        <f t="shared" si="9"/>
        <v>80295.600000000006</v>
      </c>
      <c r="U14" s="1155"/>
    </row>
    <row r="15" spans="1:21" ht="15.5" x14ac:dyDescent="0.35">
      <c r="A15" s="1052" t="s">
        <v>742</v>
      </c>
      <c r="B15" s="1053">
        <v>1</v>
      </c>
      <c r="C15" s="1054">
        <v>75000</v>
      </c>
      <c r="D15" s="1054">
        <f t="shared" si="0"/>
        <v>100000</v>
      </c>
      <c r="E15" s="1055">
        <f t="shared" si="1"/>
        <v>80000</v>
      </c>
      <c r="F15" s="1056">
        <f t="shared" si="10"/>
        <v>80000</v>
      </c>
      <c r="G15" s="1101"/>
      <c r="H15" s="1050">
        <f t="shared" si="2"/>
        <v>5880</v>
      </c>
      <c r="I15" s="1050">
        <f t="shared" si="3"/>
        <v>2039.9999999999998</v>
      </c>
      <c r="J15" s="1121">
        <f t="shared" si="4"/>
        <v>1160</v>
      </c>
      <c r="K15" s="1122">
        <f t="shared" si="5"/>
        <v>1008</v>
      </c>
      <c r="L15" s="1121">
        <f t="shared" si="6"/>
        <v>1360</v>
      </c>
      <c r="M15" s="1050">
        <f t="shared" si="7"/>
        <v>75.600000000000009</v>
      </c>
      <c r="O15" s="1050">
        <f t="shared" si="8"/>
        <v>5643.6</v>
      </c>
      <c r="P15" s="1121">
        <f t="shared" si="9"/>
        <v>85643.6</v>
      </c>
      <c r="U15" s="1155"/>
    </row>
    <row r="16" spans="1:21" ht="15.5" x14ac:dyDescent="0.35">
      <c r="A16" s="1052" t="s">
        <v>641</v>
      </c>
      <c r="B16" s="1053">
        <v>1</v>
      </c>
      <c r="C16" s="1054">
        <v>72000</v>
      </c>
      <c r="D16" s="1054">
        <f t="shared" si="0"/>
        <v>97000</v>
      </c>
      <c r="E16" s="1055">
        <f t="shared" si="1"/>
        <v>77000</v>
      </c>
      <c r="F16" s="1056">
        <f t="shared" si="10"/>
        <v>77000</v>
      </c>
      <c r="G16" s="1101"/>
      <c r="H16" s="1050">
        <f t="shared" si="2"/>
        <v>5880</v>
      </c>
      <c r="I16" s="1050">
        <f t="shared" si="3"/>
        <v>1963.4999999999998</v>
      </c>
      <c r="J16" s="1121">
        <f t="shared" si="4"/>
        <v>1116.5</v>
      </c>
      <c r="K16" s="1122">
        <f t="shared" si="5"/>
        <v>970.2</v>
      </c>
      <c r="L16" s="1121">
        <f t="shared" si="6"/>
        <v>1309</v>
      </c>
      <c r="M16" s="1050">
        <f t="shared" si="7"/>
        <v>75.600000000000009</v>
      </c>
      <c r="O16" s="1050">
        <f t="shared" si="8"/>
        <v>5434.8</v>
      </c>
      <c r="P16" s="1121">
        <f t="shared" si="9"/>
        <v>82434.8</v>
      </c>
    </row>
    <row r="17" spans="1:20" x14ac:dyDescent="0.35">
      <c r="A17" s="1175" t="s">
        <v>743</v>
      </c>
      <c r="B17" s="1053">
        <v>1</v>
      </c>
      <c r="C17" s="1054">
        <v>70000</v>
      </c>
      <c r="D17" s="1054">
        <v>0</v>
      </c>
      <c r="E17" s="1055">
        <v>70000</v>
      </c>
      <c r="F17" s="1056">
        <v>0</v>
      </c>
      <c r="G17" s="1061">
        <v>70000</v>
      </c>
      <c r="H17" s="1050">
        <f t="shared" si="2"/>
        <v>5880</v>
      </c>
      <c r="I17" s="1050">
        <f t="shared" si="3"/>
        <v>0</v>
      </c>
      <c r="J17" s="1121">
        <f t="shared" si="4"/>
        <v>0</v>
      </c>
      <c r="K17" s="1122">
        <f t="shared" si="5"/>
        <v>0</v>
      </c>
      <c r="L17" s="1121">
        <f t="shared" si="6"/>
        <v>0</v>
      </c>
      <c r="M17" s="1050">
        <f t="shared" si="7"/>
        <v>75.600000000000009</v>
      </c>
      <c r="O17" s="1050">
        <f t="shared" si="8"/>
        <v>75.600000000000009</v>
      </c>
      <c r="P17" s="1121">
        <f t="shared" si="9"/>
        <v>75.600000000000009</v>
      </c>
    </row>
    <row r="18" spans="1:20" ht="15.5" x14ac:dyDescent="0.35">
      <c r="A18" s="1052" t="s">
        <v>744</v>
      </c>
      <c r="B18" s="1053">
        <v>1</v>
      </c>
      <c r="C18" s="1054">
        <v>70000</v>
      </c>
      <c r="D18" s="1054">
        <f t="shared" si="0"/>
        <v>95000</v>
      </c>
      <c r="E18" s="1055">
        <f t="shared" si="1"/>
        <v>75000</v>
      </c>
      <c r="F18" s="1056">
        <f t="shared" si="10"/>
        <v>75000</v>
      </c>
      <c r="G18" s="1101"/>
      <c r="H18" s="1050">
        <f t="shared" si="2"/>
        <v>5880</v>
      </c>
      <c r="I18" s="1050">
        <f t="shared" si="3"/>
        <v>1912.4999999999998</v>
      </c>
      <c r="J18" s="1121">
        <f t="shared" si="4"/>
        <v>1087.5</v>
      </c>
      <c r="K18" s="1122">
        <f t="shared" si="5"/>
        <v>945</v>
      </c>
      <c r="L18" s="1121">
        <f t="shared" si="6"/>
        <v>1275</v>
      </c>
      <c r="M18" s="1050">
        <f t="shared" si="7"/>
        <v>75.600000000000009</v>
      </c>
      <c r="O18" s="1050">
        <f t="shared" si="8"/>
        <v>5295.6</v>
      </c>
      <c r="P18" s="1121">
        <f t="shared" si="9"/>
        <v>80295.600000000006</v>
      </c>
    </row>
    <row r="19" spans="1:20" ht="15.5" x14ac:dyDescent="0.35">
      <c r="A19" s="1052" t="s">
        <v>745</v>
      </c>
      <c r="B19" s="1053">
        <v>1</v>
      </c>
      <c r="C19" s="1054">
        <v>70000</v>
      </c>
      <c r="D19" s="1054">
        <f t="shared" si="0"/>
        <v>95000</v>
      </c>
      <c r="E19" s="1055">
        <f t="shared" si="1"/>
        <v>75000</v>
      </c>
      <c r="F19" s="1056">
        <f t="shared" si="10"/>
        <v>75000</v>
      </c>
      <c r="G19" s="1101"/>
      <c r="H19" s="1050">
        <f t="shared" si="2"/>
        <v>5880</v>
      </c>
      <c r="I19" s="1050">
        <f t="shared" si="3"/>
        <v>1912.4999999999998</v>
      </c>
      <c r="J19" s="1121">
        <f t="shared" si="4"/>
        <v>1087.5</v>
      </c>
      <c r="K19" s="1122">
        <f t="shared" si="5"/>
        <v>945</v>
      </c>
      <c r="L19" s="1121">
        <f t="shared" si="6"/>
        <v>1275</v>
      </c>
      <c r="M19" s="1050">
        <f t="shared" si="7"/>
        <v>75.600000000000009</v>
      </c>
      <c r="O19" s="1050">
        <f t="shared" si="8"/>
        <v>5295.6</v>
      </c>
      <c r="P19" s="1121">
        <f t="shared" si="9"/>
        <v>80295.600000000006</v>
      </c>
      <c r="T19" s="1166"/>
    </row>
    <row r="20" spans="1:20" ht="15.5" x14ac:dyDescent="0.35">
      <c r="A20" s="1052" t="s">
        <v>645</v>
      </c>
      <c r="B20" s="1053">
        <v>1</v>
      </c>
      <c r="C20" s="1054">
        <v>72000</v>
      </c>
      <c r="D20" s="1054">
        <f t="shared" si="0"/>
        <v>97000</v>
      </c>
      <c r="E20" s="1055">
        <f t="shared" si="1"/>
        <v>77000</v>
      </c>
      <c r="F20" s="1056">
        <f t="shared" si="10"/>
        <v>77000</v>
      </c>
      <c r="G20" s="1101"/>
      <c r="H20" s="1050">
        <f t="shared" si="2"/>
        <v>5880</v>
      </c>
      <c r="I20" s="1050">
        <f t="shared" si="3"/>
        <v>1963.4999999999998</v>
      </c>
      <c r="J20" s="1121">
        <f t="shared" si="4"/>
        <v>1116.5</v>
      </c>
      <c r="K20" s="1122">
        <f t="shared" si="5"/>
        <v>970.2</v>
      </c>
      <c r="L20" s="1121">
        <f t="shared" si="6"/>
        <v>1309</v>
      </c>
      <c r="M20" s="1050">
        <f t="shared" si="7"/>
        <v>75.600000000000009</v>
      </c>
      <c r="O20" s="1050">
        <f t="shared" si="8"/>
        <v>5434.8</v>
      </c>
      <c r="P20" s="1121">
        <f t="shared" si="9"/>
        <v>82434.8</v>
      </c>
    </row>
    <row r="21" spans="1:20" x14ac:dyDescent="0.35">
      <c r="A21" s="1175" t="s">
        <v>746</v>
      </c>
      <c r="B21" s="1053">
        <v>1</v>
      </c>
      <c r="C21" s="1054">
        <v>70000</v>
      </c>
      <c r="D21" s="1054">
        <v>0</v>
      </c>
      <c r="E21" s="1055">
        <v>70000</v>
      </c>
      <c r="F21" s="1056">
        <v>0</v>
      </c>
      <c r="G21" s="1061">
        <v>70000</v>
      </c>
      <c r="H21" s="1050">
        <f t="shared" si="2"/>
        <v>5880</v>
      </c>
      <c r="I21" s="1050">
        <f t="shared" si="3"/>
        <v>0</v>
      </c>
      <c r="J21" s="1121">
        <f t="shared" si="4"/>
        <v>0</v>
      </c>
      <c r="K21" s="1122">
        <f t="shared" si="5"/>
        <v>0</v>
      </c>
      <c r="L21" s="1121">
        <f t="shared" si="6"/>
        <v>0</v>
      </c>
      <c r="M21" s="1050">
        <f t="shared" si="7"/>
        <v>75.600000000000009</v>
      </c>
      <c r="O21" s="1050">
        <f t="shared" si="8"/>
        <v>75.600000000000009</v>
      </c>
      <c r="P21" s="1121">
        <f t="shared" si="9"/>
        <v>75.600000000000009</v>
      </c>
    </row>
    <row r="22" spans="1:20" ht="15.5" x14ac:dyDescent="0.35">
      <c r="A22" s="1052" t="s">
        <v>646</v>
      </c>
      <c r="B22" s="1053">
        <v>1</v>
      </c>
      <c r="C22" s="1054">
        <v>70000</v>
      </c>
      <c r="D22" s="1054">
        <f t="shared" si="0"/>
        <v>95000</v>
      </c>
      <c r="E22" s="1055">
        <f t="shared" si="1"/>
        <v>75000</v>
      </c>
      <c r="F22" s="1056">
        <f t="shared" si="10"/>
        <v>75000</v>
      </c>
      <c r="G22" s="1101"/>
      <c r="H22" s="1050">
        <f t="shared" si="2"/>
        <v>5880</v>
      </c>
      <c r="I22" s="1050">
        <f t="shared" si="3"/>
        <v>1912.4999999999998</v>
      </c>
      <c r="J22" s="1121">
        <f t="shared" si="4"/>
        <v>1087.5</v>
      </c>
      <c r="K22" s="1122">
        <f t="shared" si="5"/>
        <v>945</v>
      </c>
      <c r="L22" s="1121">
        <f t="shared" si="6"/>
        <v>1275</v>
      </c>
      <c r="M22" s="1050">
        <f t="shared" si="7"/>
        <v>75.600000000000009</v>
      </c>
      <c r="O22" s="1050">
        <f t="shared" si="8"/>
        <v>5295.6</v>
      </c>
      <c r="P22" s="1121">
        <f t="shared" si="9"/>
        <v>80295.600000000006</v>
      </c>
    </row>
    <row r="23" spans="1:20" ht="15.5" x14ac:dyDescent="0.35">
      <c r="A23" s="1052" t="s">
        <v>747</v>
      </c>
      <c r="B23" s="1053">
        <v>1</v>
      </c>
      <c r="C23" s="1054">
        <v>70000</v>
      </c>
      <c r="D23" s="1054">
        <f t="shared" si="0"/>
        <v>95000</v>
      </c>
      <c r="E23" s="1055">
        <f t="shared" si="1"/>
        <v>75000</v>
      </c>
      <c r="F23" s="1056">
        <f t="shared" si="10"/>
        <v>75000</v>
      </c>
      <c r="G23" s="1101"/>
      <c r="H23" s="1050">
        <f t="shared" si="2"/>
        <v>5880</v>
      </c>
      <c r="I23" s="1050">
        <f t="shared" si="3"/>
        <v>1912.4999999999998</v>
      </c>
      <c r="J23" s="1121">
        <f t="shared" si="4"/>
        <v>1087.5</v>
      </c>
      <c r="K23" s="1122">
        <f t="shared" si="5"/>
        <v>945</v>
      </c>
      <c r="L23" s="1121">
        <f t="shared" si="6"/>
        <v>1275</v>
      </c>
      <c r="M23" s="1050">
        <f t="shared" si="7"/>
        <v>75.600000000000009</v>
      </c>
      <c r="O23" s="1050">
        <f t="shared" si="8"/>
        <v>5295.6</v>
      </c>
      <c r="P23" s="1121">
        <f t="shared" si="9"/>
        <v>80295.600000000006</v>
      </c>
    </row>
    <row r="24" spans="1:20" ht="15.5" x14ac:dyDescent="0.35">
      <c r="A24" s="1052" t="s">
        <v>748</v>
      </c>
      <c r="B24" s="1053">
        <v>1</v>
      </c>
      <c r="C24" s="1054">
        <v>75000</v>
      </c>
      <c r="D24" s="1054">
        <f t="shared" si="0"/>
        <v>100000</v>
      </c>
      <c r="E24" s="1055">
        <f t="shared" si="1"/>
        <v>80000</v>
      </c>
      <c r="F24" s="1056">
        <f t="shared" si="10"/>
        <v>80000</v>
      </c>
      <c r="G24" s="1101"/>
      <c r="H24" s="1050">
        <f t="shared" si="2"/>
        <v>5880</v>
      </c>
      <c r="I24" s="1050">
        <f t="shared" si="3"/>
        <v>2039.9999999999998</v>
      </c>
      <c r="J24" s="1121">
        <f t="shared" si="4"/>
        <v>1160</v>
      </c>
      <c r="K24" s="1122">
        <f t="shared" si="5"/>
        <v>1008</v>
      </c>
      <c r="L24" s="1121">
        <f t="shared" si="6"/>
        <v>1360</v>
      </c>
      <c r="M24" s="1050">
        <f t="shared" si="7"/>
        <v>75.600000000000009</v>
      </c>
      <c r="O24" s="1050">
        <f t="shared" si="8"/>
        <v>5643.6</v>
      </c>
      <c r="P24" s="1121">
        <f t="shared" si="9"/>
        <v>85643.6</v>
      </c>
    </row>
    <row r="25" spans="1:20" ht="15.5" x14ac:dyDescent="0.35">
      <c r="A25" s="1052" t="s">
        <v>650</v>
      </c>
      <c r="B25" s="1053">
        <v>1</v>
      </c>
      <c r="C25" s="1054">
        <v>75000</v>
      </c>
      <c r="D25" s="1054">
        <f t="shared" si="0"/>
        <v>100000</v>
      </c>
      <c r="E25" s="1055">
        <f t="shared" si="1"/>
        <v>80000</v>
      </c>
      <c r="F25" s="1056">
        <f t="shared" si="10"/>
        <v>80000</v>
      </c>
      <c r="G25" s="1101"/>
      <c r="H25" s="1050">
        <f t="shared" si="2"/>
        <v>5880</v>
      </c>
      <c r="I25" s="1050">
        <f t="shared" si="3"/>
        <v>2039.9999999999998</v>
      </c>
      <c r="J25" s="1121">
        <f t="shared" si="4"/>
        <v>1160</v>
      </c>
      <c r="K25" s="1122">
        <f t="shared" si="5"/>
        <v>1008</v>
      </c>
      <c r="L25" s="1121">
        <f t="shared" si="6"/>
        <v>1360</v>
      </c>
      <c r="M25" s="1050">
        <f t="shared" si="7"/>
        <v>75.600000000000009</v>
      </c>
      <c r="O25" s="1050">
        <f t="shared" si="8"/>
        <v>5643.6</v>
      </c>
      <c r="P25" s="1121">
        <f t="shared" si="9"/>
        <v>85643.6</v>
      </c>
    </row>
    <row r="26" spans="1:20" x14ac:dyDescent="0.35">
      <c r="A26" s="1175" t="s">
        <v>749</v>
      </c>
      <c r="B26" s="1053">
        <v>1</v>
      </c>
      <c r="C26" s="1054">
        <v>70000</v>
      </c>
      <c r="D26" s="1054">
        <v>0</v>
      </c>
      <c r="E26" s="1055">
        <v>70000</v>
      </c>
      <c r="F26" s="1056">
        <v>0</v>
      </c>
      <c r="G26" s="1061">
        <v>70000</v>
      </c>
      <c r="H26" s="1050">
        <f t="shared" si="2"/>
        <v>5880</v>
      </c>
      <c r="I26" s="1050">
        <f t="shared" si="3"/>
        <v>0</v>
      </c>
      <c r="J26" s="1121">
        <f t="shared" si="4"/>
        <v>0</v>
      </c>
      <c r="K26" s="1122">
        <f t="shared" si="5"/>
        <v>0</v>
      </c>
      <c r="L26" s="1121">
        <f t="shared" si="6"/>
        <v>0</v>
      </c>
      <c r="M26" s="1050">
        <f t="shared" si="7"/>
        <v>75.600000000000009</v>
      </c>
      <c r="O26" s="1050">
        <f t="shared" si="8"/>
        <v>75.600000000000009</v>
      </c>
      <c r="P26" s="1121">
        <f t="shared" si="9"/>
        <v>75.600000000000009</v>
      </c>
    </row>
    <row r="27" spans="1:20" ht="15.5" x14ac:dyDescent="0.35">
      <c r="A27" s="1052" t="s">
        <v>651</v>
      </c>
      <c r="B27" s="1053">
        <v>1</v>
      </c>
      <c r="C27" s="1054">
        <v>70000</v>
      </c>
      <c r="D27" s="1054">
        <f t="shared" si="0"/>
        <v>95000</v>
      </c>
      <c r="E27" s="1055">
        <f t="shared" si="1"/>
        <v>75000</v>
      </c>
      <c r="F27" s="1056">
        <f t="shared" si="10"/>
        <v>75000</v>
      </c>
      <c r="G27" s="1101"/>
      <c r="H27" s="1050">
        <f t="shared" si="2"/>
        <v>5880</v>
      </c>
      <c r="I27" s="1050">
        <f t="shared" si="3"/>
        <v>1912.4999999999998</v>
      </c>
      <c r="J27" s="1121">
        <f t="shared" si="4"/>
        <v>1087.5</v>
      </c>
      <c r="K27" s="1122">
        <f t="shared" si="5"/>
        <v>945</v>
      </c>
      <c r="L27" s="1121">
        <f t="shared" si="6"/>
        <v>1275</v>
      </c>
      <c r="M27" s="1050">
        <f t="shared" si="7"/>
        <v>75.600000000000009</v>
      </c>
      <c r="O27" s="1050">
        <f t="shared" si="8"/>
        <v>5295.6</v>
      </c>
      <c r="P27" s="1121">
        <f t="shared" si="9"/>
        <v>80295.600000000006</v>
      </c>
    </row>
    <row r="28" spans="1:20" ht="15.5" x14ac:dyDescent="0.35">
      <c r="A28" s="1052" t="s">
        <v>750</v>
      </c>
      <c r="B28" s="1053">
        <v>1</v>
      </c>
      <c r="C28" s="1054">
        <v>70000</v>
      </c>
      <c r="D28" s="1054">
        <f t="shared" si="0"/>
        <v>95000</v>
      </c>
      <c r="E28" s="1055">
        <f t="shared" si="1"/>
        <v>75000</v>
      </c>
      <c r="F28" s="1056">
        <f t="shared" si="10"/>
        <v>75000</v>
      </c>
      <c r="G28" s="1101"/>
      <c r="H28" s="1050">
        <f t="shared" si="2"/>
        <v>5880</v>
      </c>
      <c r="I28" s="1050">
        <f t="shared" si="3"/>
        <v>1912.4999999999998</v>
      </c>
      <c r="J28" s="1121">
        <f t="shared" si="4"/>
        <v>1087.5</v>
      </c>
      <c r="K28" s="1122">
        <f t="shared" si="5"/>
        <v>945</v>
      </c>
      <c r="L28" s="1121">
        <f t="shared" si="6"/>
        <v>1275</v>
      </c>
      <c r="M28" s="1050">
        <f t="shared" si="7"/>
        <v>75.600000000000009</v>
      </c>
      <c r="O28" s="1050">
        <f t="shared" si="8"/>
        <v>5295.6</v>
      </c>
      <c r="P28" s="1121">
        <f t="shared" si="9"/>
        <v>80295.600000000006</v>
      </c>
    </row>
    <row r="29" spans="1:20" ht="15.5" x14ac:dyDescent="0.35">
      <c r="A29" s="1052" t="s">
        <v>751</v>
      </c>
      <c r="B29" s="1053">
        <v>2</v>
      </c>
      <c r="C29" s="1054">
        <v>60000</v>
      </c>
      <c r="D29" s="1054">
        <f t="shared" si="0"/>
        <v>85000</v>
      </c>
      <c r="E29" s="1055">
        <f t="shared" si="1"/>
        <v>65000</v>
      </c>
      <c r="F29" s="1056">
        <f t="shared" si="10"/>
        <v>130000</v>
      </c>
      <c r="G29" s="1101"/>
      <c r="H29" s="1050">
        <f t="shared" si="2"/>
        <v>11760</v>
      </c>
      <c r="I29" s="1050">
        <f t="shared" si="3"/>
        <v>3315</v>
      </c>
      <c r="J29" s="1121">
        <f t="shared" si="4"/>
        <v>1885</v>
      </c>
      <c r="K29" s="1122">
        <f t="shared" si="5"/>
        <v>1638</v>
      </c>
      <c r="L29" s="1121">
        <f t="shared" si="6"/>
        <v>2210</v>
      </c>
      <c r="M29" s="1050">
        <f t="shared" si="7"/>
        <v>151.20000000000002</v>
      </c>
      <c r="O29" s="1050">
        <f t="shared" si="8"/>
        <v>9199.2000000000007</v>
      </c>
      <c r="P29" s="1121">
        <f t="shared" si="9"/>
        <v>139199.20000000001</v>
      </c>
    </row>
    <row r="30" spans="1:20" ht="15.5" x14ac:dyDescent="0.35">
      <c r="A30" s="1052" t="s">
        <v>752</v>
      </c>
      <c r="B30" s="1053">
        <v>2</v>
      </c>
      <c r="C30" s="1054">
        <v>75000</v>
      </c>
      <c r="D30" s="1054">
        <f t="shared" si="0"/>
        <v>100000</v>
      </c>
      <c r="E30" s="1055">
        <f t="shared" si="1"/>
        <v>80000</v>
      </c>
      <c r="F30" s="1056">
        <f t="shared" si="10"/>
        <v>160000</v>
      </c>
      <c r="G30" s="1101"/>
      <c r="H30" s="1050">
        <f t="shared" si="2"/>
        <v>11760</v>
      </c>
      <c r="I30" s="1050">
        <f t="shared" si="3"/>
        <v>4079.9999999999995</v>
      </c>
      <c r="J30" s="1121">
        <f t="shared" si="4"/>
        <v>2320</v>
      </c>
      <c r="K30" s="1122">
        <f t="shared" si="5"/>
        <v>2016</v>
      </c>
      <c r="L30" s="1121">
        <f t="shared" si="6"/>
        <v>2720</v>
      </c>
      <c r="M30" s="1050">
        <f t="shared" si="7"/>
        <v>302.40000000000003</v>
      </c>
      <c r="O30" s="1050">
        <f t="shared" si="8"/>
        <v>11438.4</v>
      </c>
      <c r="P30" s="1121">
        <f t="shared" si="9"/>
        <v>171438.4</v>
      </c>
    </row>
    <row r="31" spans="1:20" ht="15.5" x14ac:dyDescent="0.35">
      <c r="A31" s="1052" t="s">
        <v>753</v>
      </c>
      <c r="B31" s="1053">
        <v>6</v>
      </c>
      <c r="C31" s="1054">
        <v>53000</v>
      </c>
      <c r="D31" s="1054">
        <f t="shared" si="0"/>
        <v>78000</v>
      </c>
      <c r="E31" s="1055">
        <f t="shared" si="1"/>
        <v>58000</v>
      </c>
      <c r="F31" s="1056">
        <f t="shared" si="10"/>
        <v>348000</v>
      </c>
      <c r="G31" s="1101"/>
      <c r="H31" s="1050">
        <f t="shared" si="2"/>
        <v>35280</v>
      </c>
      <c r="I31" s="1050">
        <f t="shared" si="3"/>
        <v>8874</v>
      </c>
      <c r="J31" s="1121">
        <f t="shared" si="4"/>
        <v>5046</v>
      </c>
      <c r="K31" s="1122">
        <f t="shared" si="5"/>
        <v>4384.8</v>
      </c>
      <c r="L31" s="1121">
        <f t="shared" si="6"/>
        <v>5916</v>
      </c>
      <c r="M31" s="1050">
        <f t="shared" si="7"/>
        <v>1814.4</v>
      </c>
      <c r="O31" s="1050">
        <f t="shared" si="8"/>
        <v>26035.200000000001</v>
      </c>
      <c r="P31" s="1121">
        <f t="shared" si="9"/>
        <v>374035.20000000001</v>
      </c>
    </row>
    <row r="32" spans="1:20" ht="15.5" x14ac:dyDescent="0.35">
      <c r="A32" s="1052" t="s">
        <v>664</v>
      </c>
      <c r="B32" s="1057">
        <v>3</v>
      </c>
      <c r="C32" s="1054">
        <v>62000</v>
      </c>
      <c r="D32" s="1054">
        <f t="shared" si="0"/>
        <v>87000</v>
      </c>
      <c r="E32" s="1058">
        <v>64000</v>
      </c>
      <c r="F32" s="1056">
        <f t="shared" si="10"/>
        <v>192000</v>
      </c>
      <c r="G32" s="1101"/>
      <c r="H32" s="1050">
        <f t="shared" si="2"/>
        <v>17640</v>
      </c>
      <c r="I32" s="1050">
        <f t="shared" si="3"/>
        <v>4896</v>
      </c>
      <c r="J32" s="1121">
        <f t="shared" si="4"/>
        <v>2784</v>
      </c>
      <c r="K32" s="1122">
        <f t="shared" si="5"/>
        <v>2419.1999999999998</v>
      </c>
      <c r="L32" s="1121">
        <f t="shared" si="6"/>
        <v>3264.0000000000005</v>
      </c>
      <c r="M32" s="1050">
        <f t="shared" si="7"/>
        <v>5443.2000000000007</v>
      </c>
      <c r="O32" s="1050">
        <f t="shared" si="8"/>
        <v>18806.400000000001</v>
      </c>
      <c r="P32" s="1121">
        <f t="shared" si="9"/>
        <v>210806.39999999999</v>
      </c>
    </row>
    <row r="33" spans="1:16" ht="15.5" x14ac:dyDescent="0.35">
      <c r="B33" s="1057"/>
      <c r="C33" s="1060"/>
      <c r="D33" s="1060"/>
      <c r="E33" s="1061"/>
      <c r="F33" s="1056"/>
      <c r="G33" s="1101"/>
      <c r="H33" s="1050">
        <f>SUM(H4:H32)</f>
        <v>246960</v>
      </c>
      <c r="I33" s="1050">
        <f t="shared" ref="I33:P33" si="11">SUM(I4:I32)</f>
        <v>67473</v>
      </c>
      <c r="J33" s="1050">
        <f t="shared" si="11"/>
        <v>38367</v>
      </c>
      <c r="K33" s="1050">
        <f t="shared" si="11"/>
        <v>33339.599999999999</v>
      </c>
      <c r="L33" s="1050">
        <f t="shared" si="11"/>
        <v>44982</v>
      </c>
      <c r="M33" s="1050">
        <f t="shared" si="11"/>
        <v>9416.4</v>
      </c>
      <c r="N33" s="1050">
        <f t="shared" si="11"/>
        <v>0</v>
      </c>
      <c r="O33" s="1166">
        <f t="shared" si="11"/>
        <v>193578.00000000009</v>
      </c>
      <c r="P33" s="1050">
        <f t="shared" si="11"/>
        <v>2839578.0000000009</v>
      </c>
    </row>
    <row r="34" spans="1:16" ht="15.5" x14ac:dyDescent="0.35">
      <c r="B34" s="1059">
        <f>SUM(B4:B32)</f>
        <v>42</v>
      </c>
      <c r="C34" s="1060"/>
      <c r="D34" s="1060"/>
      <c r="E34" s="1061"/>
      <c r="F34" s="1062">
        <f>SUM(F4:F32)</f>
        <v>2646000</v>
      </c>
      <c r="G34" s="1102">
        <f>SUM(G4:G33)</f>
        <v>280000</v>
      </c>
      <c r="H34" s="1062">
        <f>F34+G34</f>
        <v>2926000</v>
      </c>
    </row>
    <row r="35" spans="1:16" ht="15.5" x14ac:dyDescent="0.35">
      <c r="B35" s="1063"/>
      <c r="C35" s="1060"/>
      <c r="D35" s="1060"/>
      <c r="E35" s="1061"/>
      <c r="G35" s="1101"/>
    </row>
    <row r="36" spans="1:16" ht="15.5" x14ac:dyDescent="0.35">
      <c r="B36" s="1063"/>
      <c r="C36" s="1060"/>
      <c r="D36" s="1060"/>
      <c r="E36" s="1061"/>
      <c r="G36" s="1101"/>
    </row>
    <row r="37" spans="1:16" ht="15.5" x14ac:dyDescent="0.35">
      <c r="B37" s="1063"/>
      <c r="C37" s="1060"/>
      <c r="D37" s="1060"/>
      <c r="E37" s="1061"/>
      <c r="G37" s="1101"/>
    </row>
    <row r="38" spans="1:16" ht="15.5" x14ac:dyDescent="0.35">
      <c r="A38" s="1052" t="s">
        <v>665</v>
      </c>
      <c r="B38" s="1053">
        <v>1</v>
      </c>
      <c r="C38" s="1054">
        <v>70000</v>
      </c>
      <c r="D38" s="1054">
        <f>C38+25000</f>
        <v>95000</v>
      </c>
      <c r="E38" s="1058">
        <f>C38+5000</f>
        <v>75000</v>
      </c>
      <c r="F38" s="1056">
        <f t="shared" ref="F38" si="12">B38*E38</f>
        <v>75000</v>
      </c>
      <c r="G38" s="1101"/>
      <c r="H38" s="1050">
        <f>+$H$3*B38</f>
        <v>5880</v>
      </c>
      <c r="I38" s="1050">
        <f>+F38*$I$3</f>
        <v>1912.4999999999998</v>
      </c>
      <c r="J38" s="1121">
        <f>+$J$3*F38</f>
        <v>1087.5</v>
      </c>
      <c r="K38" s="1122">
        <f>+$K$3*F38</f>
        <v>945</v>
      </c>
      <c r="L38" s="1121">
        <f>+$L$3*F38</f>
        <v>1275</v>
      </c>
      <c r="M38" s="1050">
        <f>+M37*B38</f>
        <v>0</v>
      </c>
      <c r="O38" s="1050">
        <f>SUM(I38:N38)</f>
        <v>5220</v>
      </c>
      <c r="P38" s="1121">
        <f>+F38+O38</f>
        <v>80220</v>
      </c>
    </row>
    <row r="39" spans="1:16" ht="15.5" x14ac:dyDescent="0.35">
      <c r="A39" s="1064" t="s">
        <v>754</v>
      </c>
      <c r="B39" s="1053">
        <v>1</v>
      </c>
      <c r="C39" s="1065">
        <v>53000</v>
      </c>
      <c r="D39" s="1065">
        <f t="shared" ref="D39" si="13">C39+25000</f>
        <v>78000</v>
      </c>
      <c r="E39" s="1066">
        <f t="shared" ref="E39" si="14">C39+5000</f>
        <v>58000</v>
      </c>
      <c r="F39" s="1066">
        <f>B39*E39</f>
        <v>58000</v>
      </c>
      <c r="G39" s="1101"/>
      <c r="H39" s="1050">
        <f>+$H$3*B39</f>
        <v>5880</v>
      </c>
      <c r="I39" s="1050">
        <f>+F39*$I$3</f>
        <v>1479</v>
      </c>
      <c r="J39" s="1121">
        <f>+$J$3*F39</f>
        <v>841</v>
      </c>
      <c r="K39" s="1122">
        <f>+$K$3*F39</f>
        <v>730.8</v>
      </c>
      <c r="L39" s="1121">
        <f>+$L$3*F39</f>
        <v>986.00000000000011</v>
      </c>
      <c r="M39" s="1050">
        <f>+M38*B39</f>
        <v>0</v>
      </c>
      <c r="O39" s="1050">
        <f>SUM(I39:N39)</f>
        <v>4036.8</v>
      </c>
      <c r="P39" s="1121">
        <f>+F39+O39</f>
        <v>62036.800000000003</v>
      </c>
    </row>
    <row r="40" spans="1:16" ht="15.5" x14ac:dyDescent="0.35">
      <c r="B40" s="1059">
        <f>SUM(B38:B39)</f>
        <v>2</v>
      </c>
      <c r="F40" s="1062">
        <f>SUM(F38:F39)</f>
        <v>133000</v>
      </c>
      <c r="G40" s="1101"/>
      <c r="H40" s="1050">
        <f>SUM(H38:H39)</f>
        <v>11760</v>
      </c>
      <c r="I40" s="1050">
        <f t="shared" ref="I40:P40" si="15">SUM(I38:I39)</f>
        <v>3391.5</v>
      </c>
      <c r="J40" s="1050">
        <f t="shared" si="15"/>
        <v>1928.5</v>
      </c>
      <c r="K40" s="1050">
        <f t="shared" si="15"/>
        <v>1675.8</v>
      </c>
      <c r="L40" s="1050">
        <f t="shared" si="15"/>
        <v>2261</v>
      </c>
      <c r="M40" s="1050">
        <f t="shared" si="15"/>
        <v>0</v>
      </c>
      <c r="N40" s="1050">
        <f t="shared" si="15"/>
        <v>0</v>
      </c>
      <c r="O40" s="1050">
        <f t="shared" si="15"/>
        <v>9256.7999999999993</v>
      </c>
      <c r="P40" s="1050">
        <f t="shared" si="15"/>
        <v>142256.79999999999</v>
      </c>
    </row>
    <row r="41" spans="1:16" x14ac:dyDescent="0.35">
      <c r="B41" s="1067"/>
    </row>
    <row r="43" spans="1:16" x14ac:dyDescent="0.35">
      <c r="A43" s="1052" t="s">
        <v>666</v>
      </c>
      <c r="B43" s="1068">
        <v>1</v>
      </c>
      <c r="E43" s="1058">
        <v>135000</v>
      </c>
      <c r="F43" s="1056">
        <f>B43*E43</f>
        <v>135000</v>
      </c>
      <c r="H43" s="1050">
        <f t="shared" ref="H43" si="16">+F43*$I$3</f>
        <v>3442.5</v>
      </c>
      <c r="I43" s="1050">
        <f t="shared" ref="I43:I51" si="17">+$H$3*B43</f>
        <v>5880</v>
      </c>
      <c r="J43" s="1121">
        <f t="shared" ref="J43" si="18">+$J$3*F43</f>
        <v>1957.5</v>
      </c>
      <c r="K43" s="1122">
        <f t="shared" ref="K43" si="19">+$K$3*F43</f>
        <v>1701</v>
      </c>
      <c r="L43" s="1121">
        <f t="shared" ref="L43" si="20">+$L$3*F43</f>
        <v>2295</v>
      </c>
      <c r="M43" s="1050">
        <f t="shared" ref="M43" si="21">+M42*B43</f>
        <v>0</v>
      </c>
      <c r="O43" s="1050">
        <f t="shared" ref="O43" si="22">SUM(H43:N43)</f>
        <v>15276</v>
      </c>
      <c r="P43" s="1121">
        <f t="shared" ref="P43:P51" si="23">+F43+O43</f>
        <v>150276</v>
      </c>
    </row>
    <row r="44" spans="1:16" x14ac:dyDescent="0.35">
      <c r="A44" s="1052" t="s">
        <v>755</v>
      </c>
      <c r="B44" s="1068">
        <v>1</v>
      </c>
      <c r="E44" s="1058">
        <v>94000</v>
      </c>
      <c r="F44" s="1056">
        <f t="shared" ref="F44:F51" si="24">B44*E44</f>
        <v>94000</v>
      </c>
      <c r="H44" s="1050">
        <f t="shared" ref="H44:H51" si="25">+F44*$I$3</f>
        <v>2397</v>
      </c>
      <c r="I44" s="1050">
        <f t="shared" si="17"/>
        <v>5880</v>
      </c>
      <c r="J44" s="1121">
        <f t="shared" ref="J44:J51" si="26">+$J$3*F44</f>
        <v>1363</v>
      </c>
      <c r="K44" s="1122">
        <f t="shared" ref="K44:K51" si="27">+$K$3*F44</f>
        <v>1184.4000000000001</v>
      </c>
      <c r="L44" s="1121">
        <f t="shared" ref="L44:L51" si="28">+$L$3*F44</f>
        <v>1598.0000000000002</v>
      </c>
      <c r="M44" s="1050">
        <f t="shared" ref="M44:M51" si="29">+M43*B44</f>
        <v>0</v>
      </c>
      <c r="O44" s="1050">
        <f t="shared" ref="O44:O51" si="30">SUM(H44:N44)</f>
        <v>12422.4</v>
      </c>
      <c r="P44" s="1121">
        <f t="shared" si="23"/>
        <v>106422.39999999999</v>
      </c>
    </row>
    <row r="45" spans="1:16" x14ac:dyDescent="0.35">
      <c r="A45" s="1052" t="s">
        <v>755</v>
      </c>
      <c r="B45" s="1068">
        <v>1</v>
      </c>
      <c r="E45" s="1058">
        <v>85000</v>
      </c>
      <c r="F45" s="1056">
        <f t="shared" si="24"/>
        <v>85000</v>
      </c>
      <c r="H45" s="1050">
        <f t="shared" si="25"/>
        <v>2167.5</v>
      </c>
      <c r="I45" s="1050">
        <f t="shared" si="17"/>
        <v>5880</v>
      </c>
      <c r="J45" s="1121">
        <f t="shared" si="26"/>
        <v>1232.5</v>
      </c>
      <c r="K45" s="1122">
        <f t="shared" si="27"/>
        <v>1071</v>
      </c>
      <c r="L45" s="1121">
        <f t="shared" si="28"/>
        <v>1445</v>
      </c>
      <c r="M45" s="1050">
        <f t="shared" si="29"/>
        <v>0</v>
      </c>
      <c r="O45" s="1050">
        <f t="shared" si="30"/>
        <v>11796</v>
      </c>
      <c r="P45" s="1121">
        <f t="shared" si="23"/>
        <v>96796</v>
      </c>
    </row>
    <row r="46" spans="1:16" x14ac:dyDescent="0.35">
      <c r="A46" s="1052" t="s">
        <v>756</v>
      </c>
      <c r="B46" s="1068">
        <v>1</v>
      </c>
      <c r="E46" s="1058">
        <v>82000</v>
      </c>
      <c r="F46" s="1056">
        <f t="shared" si="24"/>
        <v>82000</v>
      </c>
      <c r="H46" s="1050">
        <f t="shared" si="25"/>
        <v>2091</v>
      </c>
      <c r="I46" s="1050">
        <f t="shared" si="17"/>
        <v>5880</v>
      </c>
      <c r="J46" s="1121">
        <f t="shared" si="26"/>
        <v>1189</v>
      </c>
      <c r="K46" s="1122">
        <f t="shared" si="27"/>
        <v>1033.2</v>
      </c>
      <c r="L46" s="1121">
        <f t="shared" si="28"/>
        <v>1394</v>
      </c>
      <c r="M46" s="1050">
        <f t="shared" si="29"/>
        <v>0</v>
      </c>
      <c r="O46" s="1050">
        <f t="shared" si="30"/>
        <v>11587.2</v>
      </c>
      <c r="P46" s="1121">
        <f t="shared" si="23"/>
        <v>93587.199999999997</v>
      </c>
    </row>
    <row r="47" spans="1:16" x14ac:dyDescent="0.35">
      <c r="A47" s="1052" t="s">
        <v>757</v>
      </c>
      <c r="B47" s="1068">
        <v>1</v>
      </c>
      <c r="E47" s="1058">
        <v>58000</v>
      </c>
      <c r="F47" s="1056">
        <f t="shared" si="24"/>
        <v>58000</v>
      </c>
      <c r="H47" s="1050">
        <f t="shared" si="25"/>
        <v>1479</v>
      </c>
      <c r="I47" s="1050">
        <f t="shared" si="17"/>
        <v>5880</v>
      </c>
      <c r="J47" s="1121">
        <f t="shared" si="26"/>
        <v>841</v>
      </c>
      <c r="K47" s="1122">
        <f t="shared" si="27"/>
        <v>730.8</v>
      </c>
      <c r="L47" s="1121">
        <f t="shared" si="28"/>
        <v>986.00000000000011</v>
      </c>
      <c r="M47" s="1050">
        <f t="shared" si="29"/>
        <v>0</v>
      </c>
      <c r="O47" s="1050">
        <f t="shared" si="30"/>
        <v>9916.7999999999993</v>
      </c>
      <c r="P47" s="1121">
        <f t="shared" si="23"/>
        <v>67916.800000000003</v>
      </c>
    </row>
    <row r="48" spans="1:16" x14ac:dyDescent="0.35">
      <c r="A48" s="1052" t="s">
        <v>758</v>
      </c>
      <c r="B48" s="1068">
        <v>1</v>
      </c>
      <c r="E48" s="1058">
        <v>42000</v>
      </c>
      <c r="F48" s="1056">
        <f t="shared" si="24"/>
        <v>42000</v>
      </c>
      <c r="H48" s="1050">
        <f t="shared" si="25"/>
        <v>1071</v>
      </c>
      <c r="I48" s="1050">
        <f t="shared" si="17"/>
        <v>5880</v>
      </c>
      <c r="J48" s="1121">
        <f t="shared" si="26"/>
        <v>609</v>
      </c>
      <c r="K48" s="1122">
        <f t="shared" si="27"/>
        <v>529.20000000000005</v>
      </c>
      <c r="L48" s="1121">
        <f t="shared" si="28"/>
        <v>714</v>
      </c>
      <c r="M48" s="1050">
        <f t="shared" si="29"/>
        <v>0</v>
      </c>
      <c r="O48" s="1050">
        <f t="shared" si="30"/>
        <v>8803.2000000000007</v>
      </c>
      <c r="P48" s="1121">
        <f t="shared" si="23"/>
        <v>50803.199999999997</v>
      </c>
    </row>
    <row r="49" spans="1:16" x14ac:dyDescent="0.35">
      <c r="A49" s="1052" t="s">
        <v>759</v>
      </c>
      <c r="B49" s="1068">
        <v>0.5</v>
      </c>
      <c r="E49" s="1058">
        <v>35000</v>
      </c>
      <c r="F49" s="1056">
        <f t="shared" si="24"/>
        <v>17500</v>
      </c>
      <c r="H49" s="1050">
        <f t="shared" si="25"/>
        <v>446.24999999999994</v>
      </c>
      <c r="I49" s="1050">
        <f t="shared" si="17"/>
        <v>2940</v>
      </c>
      <c r="J49" s="1121">
        <f t="shared" si="26"/>
        <v>253.75</v>
      </c>
      <c r="K49" s="1122">
        <f t="shared" si="27"/>
        <v>220.5</v>
      </c>
      <c r="L49" s="1121">
        <f t="shared" si="28"/>
        <v>297.5</v>
      </c>
      <c r="M49" s="1050">
        <f t="shared" si="29"/>
        <v>0</v>
      </c>
      <c r="O49" s="1050">
        <f t="shared" si="30"/>
        <v>4158</v>
      </c>
      <c r="P49" s="1121">
        <f t="shared" si="23"/>
        <v>21658</v>
      </c>
    </row>
    <row r="50" spans="1:16" x14ac:dyDescent="0.35">
      <c r="A50" s="1052" t="s">
        <v>760</v>
      </c>
      <c r="B50" s="1068">
        <v>0.5</v>
      </c>
      <c r="E50" s="1058">
        <v>35000</v>
      </c>
      <c r="F50" s="1056">
        <f t="shared" si="24"/>
        <v>17500</v>
      </c>
      <c r="H50" s="1050">
        <f t="shared" si="25"/>
        <v>446.24999999999994</v>
      </c>
      <c r="I50" s="1050">
        <f t="shared" si="17"/>
        <v>2940</v>
      </c>
      <c r="J50" s="1121">
        <f t="shared" si="26"/>
        <v>253.75</v>
      </c>
      <c r="K50" s="1122">
        <f t="shared" si="27"/>
        <v>220.5</v>
      </c>
      <c r="L50" s="1121">
        <f t="shared" si="28"/>
        <v>297.5</v>
      </c>
      <c r="M50" s="1050">
        <f t="shared" si="29"/>
        <v>0</v>
      </c>
      <c r="O50" s="1050">
        <f t="shared" si="30"/>
        <v>4158</v>
      </c>
      <c r="P50" s="1121">
        <f t="shared" si="23"/>
        <v>21658</v>
      </c>
    </row>
    <row r="51" spans="1:16" x14ac:dyDescent="0.35">
      <c r="A51" s="1052" t="s">
        <v>674</v>
      </c>
      <c r="B51" s="1068">
        <v>1</v>
      </c>
      <c r="E51" s="1058">
        <v>37000</v>
      </c>
      <c r="F51" s="1056">
        <f t="shared" si="24"/>
        <v>37000</v>
      </c>
      <c r="H51" s="1050">
        <f t="shared" si="25"/>
        <v>943.49999999999989</v>
      </c>
      <c r="I51" s="1050">
        <f t="shared" si="17"/>
        <v>5880</v>
      </c>
      <c r="J51" s="1121">
        <f t="shared" si="26"/>
        <v>536.5</v>
      </c>
      <c r="K51" s="1122">
        <f t="shared" si="27"/>
        <v>466.2</v>
      </c>
      <c r="L51" s="1121">
        <f t="shared" si="28"/>
        <v>629</v>
      </c>
      <c r="M51" s="1050">
        <f t="shared" si="29"/>
        <v>0</v>
      </c>
      <c r="O51" s="1050">
        <f t="shared" si="30"/>
        <v>8455.2000000000007</v>
      </c>
      <c r="P51" s="1121">
        <f t="shared" si="23"/>
        <v>45455.199999999997</v>
      </c>
    </row>
    <row r="52" spans="1:16" ht="15.5" x14ac:dyDescent="0.35">
      <c r="B52" s="1069">
        <f>SUM(B43:B51)</f>
        <v>8</v>
      </c>
      <c r="F52" s="1062">
        <f>SUM(F43:F51)</f>
        <v>568000</v>
      </c>
      <c r="H52" s="1050">
        <f>SUM(H43:H51)</f>
        <v>14484</v>
      </c>
      <c r="I52" s="1050">
        <f t="shared" ref="I52:P52" si="31">SUM(I43:I51)</f>
        <v>47040</v>
      </c>
      <c r="J52" s="1050">
        <f t="shared" si="31"/>
        <v>8236</v>
      </c>
      <c r="K52" s="1050">
        <f t="shared" si="31"/>
        <v>7156.8</v>
      </c>
      <c r="L52" s="1050">
        <f t="shared" si="31"/>
        <v>9656</v>
      </c>
      <c r="M52" s="1050">
        <f t="shared" si="31"/>
        <v>0</v>
      </c>
      <c r="N52" s="1050">
        <f t="shared" si="31"/>
        <v>0</v>
      </c>
      <c r="O52" s="1050">
        <f t="shared" si="31"/>
        <v>86572.800000000003</v>
      </c>
      <c r="P52" s="1050">
        <f t="shared" si="31"/>
        <v>654572.79999999993</v>
      </c>
    </row>
    <row r="53" spans="1:16" x14ac:dyDescent="0.35">
      <c r="B53" s="1070"/>
    </row>
    <row r="55" spans="1:16" ht="15.5" x14ac:dyDescent="0.35">
      <c r="B55" s="1071">
        <f>B34+B40+B52</f>
        <v>52</v>
      </c>
      <c r="F55" s="1072">
        <f>F34+F40+F52</f>
        <v>3347000</v>
      </c>
    </row>
  </sheetData>
  <mergeCells count="7">
    <mergeCell ref="G2:G3"/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  <pageSetup scale="8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3A06-289E-4C21-A31D-17F23509C568}">
  <dimension ref="A1:P55"/>
  <sheetViews>
    <sheetView topLeftCell="A24" zoomScale="90" zoomScaleNormal="90" zoomScaleSheetLayoutView="93" workbookViewId="0">
      <selection activeCell="B39" sqref="B39"/>
    </sheetView>
  </sheetViews>
  <sheetFormatPr defaultColWidth="9" defaultRowHeight="14.5" x14ac:dyDescent="0.35"/>
  <cols>
    <col min="1" max="1" width="29.1796875" style="1050" customWidth="1"/>
    <col min="2" max="2" width="8.81640625" style="1050" customWidth="1"/>
    <col min="3" max="6" width="16.54296875" style="1050" customWidth="1"/>
    <col min="7" max="7" width="12.81640625" style="1050" customWidth="1"/>
    <col min="8" max="8" width="12.1796875" style="1050" bestFit="1" customWidth="1"/>
    <col min="9" max="9" width="14.1796875" style="1050" customWidth="1"/>
    <col min="10" max="10" width="11.1796875" style="1050" bestFit="1" customWidth="1"/>
    <col min="11" max="11" width="11.7265625" style="1050" customWidth="1"/>
    <col min="12" max="12" width="11.1796875" style="1050" bestFit="1" customWidth="1"/>
    <col min="13" max="13" width="9.1796875" style="1050" bestFit="1" customWidth="1"/>
    <col min="14" max="14" width="13.453125" style="1050" customWidth="1"/>
    <col min="15" max="15" width="16.54296875" style="1050" customWidth="1"/>
    <col min="16" max="16" width="15.1796875" style="1050" customWidth="1"/>
    <col min="17" max="16384" width="9" style="1050"/>
  </cols>
  <sheetData>
    <row r="1" spans="1:16" ht="29.25" customHeight="1" x14ac:dyDescent="0.35">
      <c r="A1" s="1273" t="s">
        <v>761</v>
      </c>
      <c r="B1" s="1273"/>
      <c r="C1" s="1273"/>
      <c r="D1" s="1273"/>
      <c r="E1" s="1273"/>
      <c r="F1" s="1273"/>
    </row>
    <row r="2" spans="1:16" ht="30" customHeight="1" x14ac:dyDescent="0.35">
      <c r="A2" s="1274" t="s">
        <v>584</v>
      </c>
      <c r="B2" s="1275" t="s">
        <v>622</v>
      </c>
      <c r="C2" s="1277" t="s">
        <v>623</v>
      </c>
      <c r="D2" s="1277"/>
      <c r="E2" s="1278" t="s">
        <v>624</v>
      </c>
      <c r="F2" s="1280" t="s">
        <v>625</v>
      </c>
      <c r="G2" s="1261" t="s">
        <v>626</v>
      </c>
      <c r="H2" s="1173" t="s">
        <v>585</v>
      </c>
      <c r="I2" s="1173" t="s">
        <v>736</v>
      </c>
      <c r="J2" s="1173" t="s">
        <v>587</v>
      </c>
      <c r="K2" s="1173" t="s">
        <v>588</v>
      </c>
      <c r="L2" s="1173" t="s">
        <v>589</v>
      </c>
      <c r="M2" s="1173" t="s">
        <v>590</v>
      </c>
      <c r="N2" s="1173" t="s">
        <v>737</v>
      </c>
      <c r="O2" s="1173" t="s">
        <v>738</v>
      </c>
      <c r="P2" s="1124" t="s">
        <v>592</v>
      </c>
    </row>
    <row r="3" spans="1:16" ht="24" customHeight="1" x14ac:dyDescent="0.35">
      <c r="A3" s="1274"/>
      <c r="B3" s="1276"/>
      <c r="C3" s="1051" t="s">
        <v>627</v>
      </c>
      <c r="D3" s="1051" t="s">
        <v>628</v>
      </c>
      <c r="E3" s="1279"/>
      <c r="F3" s="1280"/>
      <c r="G3" s="1261"/>
      <c r="H3" s="1174">
        <f>(0.9*7200)-(50*12)</f>
        <v>5880</v>
      </c>
      <c r="I3" s="1123">
        <f>0.018+0.0075</f>
        <v>2.5499999999999998E-2</v>
      </c>
      <c r="J3" s="1123">
        <v>1.4500000000000001E-2</v>
      </c>
      <c r="K3" s="1123">
        <v>1.26E-2</v>
      </c>
      <c r="L3" s="1123">
        <v>1.7000000000000001E-2</v>
      </c>
      <c r="M3" s="1123">
        <v>8.4</v>
      </c>
      <c r="N3" s="1123"/>
      <c r="O3" s="1123"/>
      <c r="P3" s="1125" t="s">
        <v>594</v>
      </c>
    </row>
    <row r="4" spans="1:16" x14ac:dyDescent="0.35">
      <c r="A4" s="1052" t="s">
        <v>739</v>
      </c>
      <c r="B4" s="1053">
        <v>2</v>
      </c>
      <c r="C4" s="1054">
        <v>53000</v>
      </c>
      <c r="D4" s="1054">
        <f t="shared" ref="D4:D32" si="0">C4+25000</f>
        <v>78000</v>
      </c>
      <c r="E4" s="1055">
        <f t="shared" ref="E4:E31" si="1">C4+5000</f>
        <v>58000</v>
      </c>
      <c r="F4" s="1056">
        <f>B4*E4</f>
        <v>116000</v>
      </c>
      <c r="H4" s="1050">
        <f t="shared" ref="H4:H32" si="2">+$H$3*B4</f>
        <v>11760</v>
      </c>
      <c r="I4" s="1121">
        <f>+$I$3*F4</f>
        <v>2958</v>
      </c>
      <c r="J4" s="1121">
        <f t="shared" ref="J4:J32" si="3">+$J$3*F4</f>
        <v>1682</v>
      </c>
      <c r="K4" s="1121">
        <f t="shared" ref="K4:K32" si="4">+$K$3*F4</f>
        <v>1461.6</v>
      </c>
      <c r="L4" s="1121">
        <f t="shared" ref="L4:L32" si="5">+$L$3*F4</f>
        <v>1972.0000000000002</v>
      </c>
      <c r="M4" s="1050">
        <f t="shared" ref="M4:M32" si="6">+$M$3*B4</f>
        <v>16.8</v>
      </c>
      <c r="O4" s="1121">
        <f t="shared" ref="O4:O32" si="7">SUM(I4:N4)</f>
        <v>8090.4000000000005</v>
      </c>
      <c r="P4" s="1121">
        <f t="shared" ref="P4:P32" si="8">+O4+F4</f>
        <v>124090.4</v>
      </c>
    </row>
    <row r="5" spans="1:16" x14ac:dyDescent="0.35">
      <c r="A5" s="1052" t="s">
        <v>740</v>
      </c>
      <c r="B5" s="1053">
        <v>2</v>
      </c>
      <c r="C5" s="1054">
        <v>38000</v>
      </c>
      <c r="D5" s="1054">
        <f t="shared" si="0"/>
        <v>63000</v>
      </c>
      <c r="E5" s="1055">
        <f t="shared" si="1"/>
        <v>43000</v>
      </c>
      <c r="F5" s="1056">
        <f t="shared" ref="F5:F32" si="9">B5*E5</f>
        <v>86000</v>
      </c>
      <c r="H5" s="1050">
        <f t="shared" si="2"/>
        <v>11760</v>
      </c>
      <c r="I5" s="1121">
        <f t="shared" ref="I5:I32" si="10">+$I$3*F5</f>
        <v>2193</v>
      </c>
      <c r="J5" s="1121">
        <f t="shared" si="3"/>
        <v>1247</v>
      </c>
      <c r="K5" s="1121">
        <f t="shared" si="4"/>
        <v>1083.5999999999999</v>
      </c>
      <c r="L5" s="1121">
        <f t="shared" si="5"/>
        <v>1462</v>
      </c>
      <c r="M5" s="1050">
        <f t="shared" si="6"/>
        <v>16.8</v>
      </c>
      <c r="O5" s="1121">
        <f t="shared" si="7"/>
        <v>6002.4000000000005</v>
      </c>
      <c r="P5" s="1121">
        <f t="shared" si="8"/>
        <v>92002.4</v>
      </c>
    </row>
    <row r="6" spans="1:16" ht="15.5" x14ac:dyDescent="0.35">
      <c r="A6" s="1052" t="s">
        <v>630</v>
      </c>
      <c r="B6" s="1053">
        <v>3</v>
      </c>
      <c r="C6" s="1054">
        <v>65000</v>
      </c>
      <c r="D6" s="1054">
        <f t="shared" si="0"/>
        <v>90000</v>
      </c>
      <c r="E6" s="1055">
        <f t="shared" si="1"/>
        <v>70000</v>
      </c>
      <c r="F6" s="1056">
        <f t="shared" si="9"/>
        <v>210000</v>
      </c>
      <c r="G6" s="1101"/>
      <c r="H6" s="1050">
        <f t="shared" si="2"/>
        <v>17640</v>
      </c>
      <c r="I6" s="1121">
        <f t="shared" si="10"/>
        <v>5355</v>
      </c>
      <c r="J6" s="1121">
        <f t="shared" si="3"/>
        <v>3045</v>
      </c>
      <c r="K6" s="1121">
        <f t="shared" si="4"/>
        <v>2646</v>
      </c>
      <c r="L6" s="1121">
        <f t="shared" si="5"/>
        <v>3570.0000000000005</v>
      </c>
      <c r="M6" s="1050">
        <f t="shared" si="6"/>
        <v>25.200000000000003</v>
      </c>
      <c r="O6" s="1121">
        <f t="shared" si="7"/>
        <v>14641.2</v>
      </c>
      <c r="P6" s="1121">
        <f t="shared" si="8"/>
        <v>224641.2</v>
      </c>
    </row>
    <row r="7" spans="1:16" ht="15.5" x14ac:dyDescent="0.35">
      <c r="A7" s="1052" t="s">
        <v>631</v>
      </c>
      <c r="B7" s="1053">
        <v>3</v>
      </c>
      <c r="C7" s="1054">
        <v>65000</v>
      </c>
      <c r="D7" s="1054">
        <f t="shared" si="0"/>
        <v>90000</v>
      </c>
      <c r="E7" s="1055">
        <f t="shared" si="1"/>
        <v>70000</v>
      </c>
      <c r="F7" s="1056">
        <f t="shared" si="9"/>
        <v>210000</v>
      </c>
      <c r="G7" s="1101"/>
      <c r="H7" s="1050">
        <f t="shared" si="2"/>
        <v>17640</v>
      </c>
      <c r="I7" s="1121">
        <f t="shared" si="10"/>
        <v>5355</v>
      </c>
      <c r="J7" s="1121">
        <f t="shared" si="3"/>
        <v>3045</v>
      </c>
      <c r="K7" s="1121">
        <f t="shared" si="4"/>
        <v>2646</v>
      </c>
      <c r="L7" s="1121">
        <f t="shared" si="5"/>
        <v>3570.0000000000005</v>
      </c>
      <c r="M7" s="1050">
        <f t="shared" si="6"/>
        <v>25.200000000000003</v>
      </c>
      <c r="O7" s="1121">
        <f t="shared" si="7"/>
        <v>14641.2</v>
      </c>
      <c r="P7" s="1121">
        <f t="shared" si="8"/>
        <v>224641.2</v>
      </c>
    </row>
    <row r="8" spans="1:16" ht="15.5" x14ac:dyDescent="0.35">
      <c r="A8" s="1052" t="s">
        <v>632</v>
      </c>
      <c r="B8" s="1053">
        <v>1</v>
      </c>
      <c r="C8" s="1054">
        <v>70000</v>
      </c>
      <c r="D8" s="1054">
        <f t="shared" si="0"/>
        <v>95000</v>
      </c>
      <c r="E8" s="1055">
        <f t="shared" si="1"/>
        <v>75000</v>
      </c>
      <c r="F8" s="1056">
        <f t="shared" si="9"/>
        <v>75000</v>
      </c>
      <c r="G8" s="1101"/>
      <c r="H8" s="1050">
        <f t="shared" si="2"/>
        <v>5880</v>
      </c>
      <c r="I8" s="1121">
        <f t="shared" si="10"/>
        <v>1912.4999999999998</v>
      </c>
      <c r="J8" s="1121">
        <f t="shared" si="3"/>
        <v>1087.5</v>
      </c>
      <c r="K8" s="1121">
        <f t="shared" si="4"/>
        <v>945</v>
      </c>
      <c r="L8" s="1121">
        <f t="shared" si="5"/>
        <v>1275</v>
      </c>
      <c r="M8" s="1050">
        <f t="shared" si="6"/>
        <v>8.4</v>
      </c>
      <c r="O8" s="1121">
        <f t="shared" si="7"/>
        <v>5228.3999999999996</v>
      </c>
      <c r="P8" s="1121">
        <f t="shared" si="8"/>
        <v>80228.399999999994</v>
      </c>
    </row>
    <row r="9" spans="1:16" ht="15.5" x14ac:dyDescent="0.35">
      <c r="A9" s="1052" t="s">
        <v>634</v>
      </c>
      <c r="B9" s="1053">
        <v>1</v>
      </c>
      <c r="C9" s="1054">
        <v>68000</v>
      </c>
      <c r="D9" s="1054">
        <f t="shared" si="0"/>
        <v>93000</v>
      </c>
      <c r="E9" s="1055">
        <f t="shared" si="1"/>
        <v>73000</v>
      </c>
      <c r="F9" s="1056">
        <f t="shared" si="9"/>
        <v>73000</v>
      </c>
      <c r="G9" s="1101"/>
      <c r="H9" s="1050">
        <f t="shared" si="2"/>
        <v>5880</v>
      </c>
      <c r="I9" s="1121">
        <f t="shared" si="10"/>
        <v>1861.4999999999998</v>
      </c>
      <c r="J9" s="1121">
        <f t="shared" si="3"/>
        <v>1058.5</v>
      </c>
      <c r="K9" s="1121">
        <f t="shared" si="4"/>
        <v>919.8</v>
      </c>
      <c r="L9" s="1121">
        <f t="shared" si="5"/>
        <v>1241</v>
      </c>
      <c r="M9" s="1050">
        <f t="shared" si="6"/>
        <v>8.4</v>
      </c>
      <c r="O9" s="1121">
        <f t="shared" si="7"/>
        <v>5089.2</v>
      </c>
      <c r="P9" s="1121">
        <f t="shared" si="8"/>
        <v>78089.2</v>
      </c>
    </row>
    <row r="10" spans="1:16" ht="15.5" x14ac:dyDescent="0.35">
      <c r="A10" s="1052" t="s">
        <v>635</v>
      </c>
      <c r="B10" s="1053">
        <v>1</v>
      </c>
      <c r="C10" s="1054">
        <v>68000</v>
      </c>
      <c r="D10" s="1054">
        <f t="shared" si="0"/>
        <v>93000</v>
      </c>
      <c r="E10" s="1055">
        <f t="shared" si="1"/>
        <v>73000</v>
      </c>
      <c r="F10" s="1056">
        <f t="shared" si="9"/>
        <v>73000</v>
      </c>
      <c r="G10" s="1101"/>
      <c r="H10" s="1050">
        <f t="shared" si="2"/>
        <v>5880</v>
      </c>
      <c r="I10" s="1121">
        <f t="shared" si="10"/>
        <v>1861.4999999999998</v>
      </c>
      <c r="J10" s="1121">
        <f t="shared" si="3"/>
        <v>1058.5</v>
      </c>
      <c r="K10" s="1121">
        <f t="shared" si="4"/>
        <v>919.8</v>
      </c>
      <c r="L10" s="1121">
        <f t="shared" si="5"/>
        <v>1241</v>
      </c>
      <c r="M10" s="1050">
        <f t="shared" si="6"/>
        <v>8.4</v>
      </c>
      <c r="O10" s="1121">
        <f t="shared" si="7"/>
        <v>5089.2</v>
      </c>
      <c r="P10" s="1121">
        <f t="shared" si="8"/>
        <v>78089.2</v>
      </c>
    </row>
    <row r="11" spans="1:16" ht="15.5" x14ac:dyDescent="0.35">
      <c r="A11" s="1052" t="s">
        <v>636</v>
      </c>
      <c r="B11" s="1053">
        <v>1</v>
      </c>
      <c r="C11" s="1054">
        <v>75000</v>
      </c>
      <c r="D11" s="1054">
        <f t="shared" si="0"/>
        <v>100000</v>
      </c>
      <c r="E11" s="1055">
        <f t="shared" si="1"/>
        <v>80000</v>
      </c>
      <c r="F11" s="1056">
        <f t="shared" si="9"/>
        <v>80000</v>
      </c>
      <c r="G11" s="1101"/>
      <c r="H11" s="1050">
        <f t="shared" si="2"/>
        <v>5880</v>
      </c>
      <c r="I11" s="1121">
        <f t="shared" si="10"/>
        <v>2039.9999999999998</v>
      </c>
      <c r="J11" s="1121">
        <f t="shared" si="3"/>
        <v>1160</v>
      </c>
      <c r="K11" s="1121">
        <f t="shared" si="4"/>
        <v>1008</v>
      </c>
      <c r="L11" s="1121">
        <f t="shared" si="5"/>
        <v>1360</v>
      </c>
      <c r="M11" s="1050">
        <f t="shared" si="6"/>
        <v>8.4</v>
      </c>
      <c r="O11" s="1121">
        <f t="shared" si="7"/>
        <v>5576.4</v>
      </c>
      <c r="P11" s="1121">
        <f t="shared" si="8"/>
        <v>85576.4</v>
      </c>
    </row>
    <row r="12" spans="1:16" x14ac:dyDescent="0.35">
      <c r="A12" s="1175" t="s">
        <v>762</v>
      </c>
      <c r="B12" s="1053">
        <v>1</v>
      </c>
      <c r="C12" s="1054">
        <v>70000</v>
      </c>
      <c r="D12" s="1054"/>
      <c r="E12" s="1055">
        <v>70000</v>
      </c>
      <c r="F12" s="1056">
        <v>0</v>
      </c>
      <c r="G12" s="1061">
        <v>0</v>
      </c>
      <c r="H12" s="1050">
        <f t="shared" si="2"/>
        <v>5880</v>
      </c>
      <c r="I12" s="1121">
        <f t="shared" si="10"/>
        <v>0</v>
      </c>
      <c r="J12" s="1121">
        <f t="shared" si="3"/>
        <v>0</v>
      </c>
      <c r="K12" s="1121">
        <f t="shared" si="4"/>
        <v>0</v>
      </c>
      <c r="L12" s="1121">
        <f t="shared" si="5"/>
        <v>0</v>
      </c>
      <c r="M12" s="1050">
        <f t="shared" si="6"/>
        <v>8.4</v>
      </c>
      <c r="O12" s="1121">
        <f t="shared" si="7"/>
        <v>8.4</v>
      </c>
      <c r="P12" s="1121">
        <f t="shared" si="8"/>
        <v>8.4</v>
      </c>
    </row>
    <row r="13" spans="1:16" ht="15.5" x14ac:dyDescent="0.35">
      <c r="A13" s="1052" t="s">
        <v>638</v>
      </c>
      <c r="B13" s="1053">
        <v>1</v>
      </c>
      <c r="C13" s="1054">
        <v>70000</v>
      </c>
      <c r="D13" s="1054">
        <f t="shared" si="0"/>
        <v>95000</v>
      </c>
      <c r="E13" s="1055">
        <f t="shared" si="1"/>
        <v>75000</v>
      </c>
      <c r="F13" s="1056">
        <f t="shared" si="9"/>
        <v>75000</v>
      </c>
      <c r="G13" s="1101"/>
      <c r="H13" s="1050">
        <f t="shared" si="2"/>
        <v>5880</v>
      </c>
      <c r="I13" s="1121">
        <f t="shared" si="10"/>
        <v>1912.4999999999998</v>
      </c>
      <c r="J13" s="1121">
        <f t="shared" si="3"/>
        <v>1087.5</v>
      </c>
      <c r="K13" s="1121">
        <f t="shared" si="4"/>
        <v>945</v>
      </c>
      <c r="L13" s="1121">
        <f t="shared" si="5"/>
        <v>1275</v>
      </c>
      <c r="M13" s="1050">
        <f t="shared" si="6"/>
        <v>8.4</v>
      </c>
      <c r="O13" s="1121">
        <f t="shared" si="7"/>
        <v>5228.3999999999996</v>
      </c>
      <c r="P13" s="1121">
        <f t="shared" si="8"/>
        <v>80228.399999999994</v>
      </c>
    </row>
    <row r="14" spans="1:16" ht="15.5" x14ac:dyDescent="0.35">
      <c r="A14" s="1052" t="s">
        <v>639</v>
      </c>
      <c r="B14" s="1053">
        <v>1</v>
      </c>
      <c r="C14" s="1054">
        <v>70000</v>
      </c>
      <c r="D14" s="1054">
        <f t="shared" si="0"/>
        <v>95000</v>
      </c>
      <c r="E14" s="1055">
        <f t="shared" si="1"/>
        <v>75000</v>
      </c>
      <c r="F14" s="1056">
        <f t="shared" si="9"/>
        <v>75000</v>
      </c>
      <c r="G14" s="1101"/>
      <c r="H14" s="1050">
        <f t="shared" si="2"/>
        <v>5880</v>
      </c>
      <c r="I14" s="1121">
        <f t="shared" si="10"/>
        <v>1912.4999999999998</v>
      </c>
      <c r="J14" s="1121">
        <f t="shared" si="3"/>
        <v>1087.5</v>
      </c>
      <c r="K14" s="1121">
        <f t="shared" si="4"/>
        <v>945</v>
      </c>
      <c r="L14" s="1121">
        <f t="shared" si="5"/>
        <v>1275</v>
      </c>
      <c r="M14" s="1050">
        <f t="shared" si="6"/>
        <v>8.4</v>
      </c>
      <c r="O14" s="1121">
        <f t="shared" si="7"/>
        <v>5228.3999999999996</v>
      </c>
      <c r="P14" s="1121">
        <f t="shared" si="8"/>
        <v>80228.399999999994</v>
      </c>
    </row>
    <row r="15" spans="1:16" ht="15.5" x14ac:dyDescent="0.35">
      <c r="A15" s="1052" t="s">
        <v>742</v>
      </c>
      <c r="B15" s="1053">
        <v>1</v>
      </c>
      <c r="C15" s="1054">
        <v>75000</v>
      </c>
      <c r="D15" s="1054">
        <f t="shared" si="0"/>
        <v>100000</v>
      </c>
      <c r="E15" s="1055">
        <f t="shared" si="1"/>
        <v>80000</v>
      </c>
      <c r="F15" s="1056">
        <f t="shared" si="9"/>
        <v>80000</v>
      </c>
      <c r="G15" s="1101"/>
      <c r="H15" s="1050">
        <f t="shared" si="2"/>
        <v>5880</v>
      </c>
      <c r="I15" s="1121">
        <f t="shared" si="10"/>
        <v>2039.9999999999998</v>
      </c>
      <c r="J15" s="1121">
        <f t="shared" si="3"/>
        <v>1160</v>
      </c>
      <c r="K15" s="1121">
        <f t="shared" si="4"/>
        <v>1008</v>
      </c>
      <c r="L15" s="1121">
        <f t="shared" si="5"/>
        <v>1360</v>
      </c>
      <c r="M15" s="1050">
        <f t="shared" si="6"/>
        <v>8.4</v>
      </c>
      <c r="O15" s="1121">
        <f t="shared" si="7"/>
        <v>5576.4</v>
      </c>
      <c r="P15" s="1121">
        <f t="shared" si="8"/>
        <v>85576.4</v>
      </c>
    </row>
    <row r="16" spans="1:16" ht="15.5" x14ac:dyDescent="0.35">
      <c r="A16" s="1052" t="s">
        <v>641</v>
      </c>
      <c r="B16" s="1053">
        <v>1</v>
      </c>
      <c r="C16" s="1054">
        <v>72000</v>
      </c>
      <c r="D16" s="1054">
        <f t="shared" si="0"/>
        <v>97000</v>
      </c>
      <c r="E16" s="1055">
        <f t="shared" si="1"/>
        <v>77000</v>
      </c>
      <c r="F16" s="1056">
        <f t="shared" si="9"/>
        <v>77000</v>
      </c>
      <c r="G16" s="1101"/>
      <c r="H16" s="1050">
        <f t="shared" si="2"/>
        <v>5880</v>
      </c>
      <c r="I16" s="1121">
        <f t="shared" si="10"/>
        <v>1963.4999999999998</v>
      </c>
      <c r="J16" s="1121">
        <f t="shared" si="3"/>
        <v>1116.5</v>
      </c>
      <c r="K16" s="1121">
        <f t="shared" si="4"/>
        <v>970.2</v>
      </c>
      <c r="L16" s="1121">
        <f t="shared" si="5"/>
        <v>1309</v>
      </c>
      <c r="M16" s="1050">
        <f t="shared" si="6"/>
        <v>8.4</v>
      </c>
      <c r="O16" s="1121">
        <f t="shared" si="7"/>
        <v>5367.5999999999995</v>
      </c>
      <c r="P16" s="1121">
        <f t="shared" si="8"/>
        <v>82367.600000000006</v>
      </c>
    </row>
    <row r="17" spans="1:16" x14ac:dyDescent="0.35">
      <c r="A17" s="1175" t="s">
        <v>743</v>
      </c>
      <c r="B17" s="1053">
        <v>1</v>
      </c>
      <c r="C17" s="1054">
        <v>70000</v>
      </c>
      <c r="D17" s="1054">
        <v>0</v>
      </c>
      <c r="E17" s="1055">
        <v>70000</v>
      </c>
      <c r="F17" s="1056">
        <v>0</v>
      </c>
      <c r="G17" s="1061">
        <v>70000</v>
      </c>
      <c r="H17" s="1050">
        <f t="shared" si="2"/>
        <v>5880</v>
      </c>
      <c r="I17" s="1121">
        <f t="shared" si="10"/>
        <v>0</v>
      </c>
      <c r="J17" s="1121">
        <f t="shared" si="3"/>
        <v>0</v>
      </c>
      <c r="K17" s="1121">
        <f t="shared" si="4"/>
        <v>0</v>
      </c>
      <c r="L17" s="1121">
        <f t="shared" si="5"/>
        <v>0</v>
      </c>
      <c r="M17" s="1050">
        <f t="shared" si="6"/>
        <v>8.4</v>
      </c>
      <c r="O17" s="1121">
        <f t="shared" si="7"/>
        <v>8.4</v>
      </c>
      <c r="P17" s="1121">
        <f t="shared" si="8"/>
        <v>8.4</v>
      </c>
    </row>
    <row r="18" spans="1:16" ht="15.5" x14ac:dyDescent="0.35">
      <c r="A18" s="1052" t="s">
        <v>744</v>
      </c>
      <c r="B18" s="1053">
        <v>1</v>
      </c>
      <c r="C18" s="1054">
        <v>70000</v>
      </c>
      <c r="D18" s="1054">
        <f t="shared" si="0"/>
        <v>95000</v>
      </c>
      <c r="E18" s="1055">
        <f t="shared" si="1"/>
        <v>75000</v>
      </c>
      <c r="F18" s="1056">
        <f t="shared" si="9"/>
        <v>75000</v>
      </c>
      <c r="G18" s="1101"/>
      <c r="H18" s="1050">
        <f t="shared" si="2"/>
        <v>5880</v>
      </c>
      <c r="I18" s="1121">
        <f t="shared" si="10"/>
        <v>1912.4999999999998</v>
      </c>
      <c r="J18" s="1121">
        <f t="shared" si="3"/>
        <v>1087.5</v>
      </c>
      <c r="K18" s="1121">
        <f t="shared" si="4"/>
        <v>945</v>
      </c>
      <c r="L18" s="1121">
        <f t="shared" si="5"/>
        <v>1275</v>
      </c>
      <c r="M18" s="1050">
        <f t="shared" si="6"/>
        <v>8.4</v>
      </c>
      <c r="O18" s="1121">
        <f t="shared" si="7"/>
        <v>5228.3999999999996</v>
      </c>
      <c r="P18" s="1121">
        <f t="shared" si="8"/>
        <v>80228.399999999994</v>
      </c>
    </row>
    <row r="19" spans="1:16" ht="15.5" x14ac:dyDescent="0.35">
      <c r="A19" s="1052" t="s">
        <v>745</v>
      </c>
      <c r="B19" s="1053">
        <v>1</v>
      </c>
      <c r="C19" s="1054">
        <v>70000</v>
      </c>
      <c r="D19" s="1054">
        <f t="shared" si="0"/>
        <v>95000</v>
      </c>
      <c r="E19" s="1055">
        <f t="shared" si="1"/>
        <v>75000</v>
      </c>
      <c r="F19" s="1056">
        <f t="shared" si="9"/>
        <v>75000</v>
      </c>
      <c r="G19" s="1101"/>
      <c r="H19" s="1050">
        <f t="shared" si="2"/>
        <v>5880</v>
      </c>
      <c r="I19" s="1121">
        <f t="shared" si="10"/>
        <v>1912.4999999999998</v>
      </c>
      <c r="J19" s="1121">
        <f t="shared" si="3"/>
        <v>1087.5</v>
      </c>
      <c r="K19" s="1121">
        <f t="shared" si="4"/>
        <v>945</v>
      </c>
      <c r="L19" s="1121">
        <f t="shared" si="5"/>
        <v>1275</v>
      </c>
      <c r="M19" s="1050">
        <f t="shared" si="6"/>
        <v>8.4</v>
      </c>
      <c r="O19" s="1121">
        <f t="shared" si="7"/>
        <v>5228.3999999999996</v>
      </c>
      <c r="P19" s="1121">
        <f t="shared" si="8"/>
        <v>80228.399999999994</v>
      </c>
    </row>
    <row r="20" spans="1:16" ht="15.5" x14ac:dyDescent="0.35">
      <c r="A20" s="1052" t="s">
        <v>645</v>
      </c>
      <c r="B20" s="1053">
        <v>1</v>
      </c>
      <c r="C20" s="1054">
        <v>72000</v>
      </c>
      <c r="D20" s="1054">
        <f t="shared" si="0"/>
        <v>97000</v>
      </c>
      <c r="E20" s="1055">
        <f t="shared" si="1"/>
        <v>77000</v>
      </c>
      <c r="F20" s="1056">
        <f t="shared" si="9"/>
        <v>77000</v>
      </c>
      <c r="G20" s="1101"/>
      <c r="H20" s="1050">
        <f t="shared" si="2"/>
        <v>5880</v>
      </c>
      <c r="I20" s="1121">
        <f t="shared" si="10"/>
        <v>1963.4999999999998</v>
      </c>
      <c r="J20" s="1121">
        <f t="shared" si="3"/>
        <v>1116.5</v>
      </c>
      <c r="K20" s="1121">
        <f t="shared" si="4"/>
        <v>970.2</v>
      </c>
      <c r="L20" s="1121">
        <f t="shared" si="5"/>
        <v>1309</v>
      </c>
      <c r="M20" s="1050">
        <f t="shared" si="6"/>
        <v>8.4</v>
      </c>
      <c r="O20" s="1121">
        <f t="shared" si="7"/>
        <v>5367.5999999999995</v>
      </c>
      <c r="P20" s="1121">
        <f t="shared" si="8"/>
        <v>82367.600000000006</v>
      </c>
    </row>
    <row r="21" spans="1:16" x14ac:dyDescent="0.35">
      <c r="A21" s="1175" t="s">
        <v>746</v>
      </c>
      <c r="B21" s="1053">
        <v>1</v>
      </c>
      <c r="C21" s="1054">
        <v>70000</v>
      </c>
      <c r="D21" s="1054">
        <v>0</v>
      </c>
      <c r="E21" s="1055">
        <v>70000</v>
      </c>
      <c r="F21" s="1056">
        <v>0</v>
      </c>
      <c r="G21" s="1061">
        <v>70000</v>
      </c>
      <c r="H21" s="1050">
        <f t="shared" si="2"/>
        <v>5880</v>
      </c>
      <c r="I21" s="1121">
        <f t="shared" si="10"/>
        <v>0</v>
      </c>
      <c r="J21" s="1121">
        <f t="shared" si="3"/>
        <v>0</v>
      </c>
      <c r="K21" s="1121">
        <f t="shared" si="4"/>
        <v>0</v>
      </c>
      <c r="L21" s="1121">
        <f t="shared" si="5"/>
        <v>0</v>
      </c>
      <c r="M21" s="1050">
        <f t="shared" si="6"/>
        <v>8.4</v>
      </c>
      <c r="O21" s="1121">
        <f t="shared" si="7"/>
        <v>8.4</v>
      </c>
      <c r="P21" s="1121">
        <f t="shared" si="8"/>
        <v>8.4</v>
      </c>
    </row>
    <row r="22" spans="1:16" ht="15.5" x14ac:dyDescent="0.35">
      <c r="A22" s="1052" t="s">
        <v>646</v>
      </c>
      <c r="B22" s="1053">
        <v>1</v>
      </c>
      <c r="C22" s="1054">
        <v>70000</v>
      </c>
      <c r="D22" s="1054">
        <f t="shared" si="0"/>
        <v>95000</v>
      </c>
      <c r="E22" s="1055">
        <f t="shared" si="1"/>
        <v>75000</v>
      </c>
      <c r="F22" s="1056">
        <f t="shared" si="9"/>
        <v>75000</v>
      </c>
      <c r="G22" s="1101"/>
      <c r="H22" s="1050">
        <f t="shared" si="2"/>
        <v>5880</v>
      </c>
      <c r="I22" s="1121">
        <f t="shared" si="10"/>
        <v>1912.4999999999998</v>
      </c>
      <c r="J22" s="1121">
        <f t="shared" si="3"/>
        <v>1087.5</v>
      </c>
      <c r="K22" s="1121">
        <f t="shared" si="4"/>
        <v>945</v>
      </c>
      <c r="L22" s="1121">
        <f t="shared" si="5"/>
        <v>1275</v>
      </c>
      <c r="M22" s="1050">
        <f t="shared" si="6"/>
        <v>8.4</v>
      </c>
      <c r="O22" s="1121">
        <f t="shared" si="7"/>
        <v>5228.3999999999996</v>
      </c>
      <c r="P22" s="1121">
        <f t="shared" si="8"/>
        <v>80228.399999999994</v>
      </c>
    </row>
    <row r="23" spans="1:16" ht="15.5" x14ac:dyDescent="0.35">
      <c r="A23" s="1052" t="s">
        <v>747</v>
      </c>
      <c r="B23" s="1053">
        <v>1</v>
      </c>
      <c r="C23" s="1054">
        <v>70000</v>
      </c>
      <c r="D23" s="1054">
        <f t="shared" si="0"/>
        <v>95000</v>
      </c>
      <c r="E23" s="1055">
        <f t="shared" si="1"/>
        <v>75000</v>
      </c>
      <c r="F23" s="1056">
        <f t="shared" si="9"/>
        <v>75000</v>
      </c>
      <c r="G23" s="1101"/>
      <c r="H23" s="1050">
        <f t="shared" si="2"/>
        <v>5880</v>
      </c>
      <c r="I23" s="1121">
        <f t="shared" si="10"/>
        <v>1912.4999999999998</v>
      </c>
      <c r="J23" s="1121">
        <f t="shared" si="3"/>
        <v>1087.5</v>
      </c>
      <c r="K23" s="1121">
        <f t="shared" si="4"/>
        <v>945</v>
      </c>
      <c r="L23" s="1121">
        <f t="shared" si="5"/>
        <v>1275</v>
      </c>
      <c r="M23" s="1050">
        <f t="shared" si="6"/>
        <v>8.4</v>
      </c>
      <c r="O23" s="1121">
        <f t="shared" si="7"/>
        <v>5228.3999999999996</v>
      </c>
      <c r="P23" s="1121">
        <f t="shared" si="8"/>
        <v>80228.399999999994</v>
      </c>
    </row>
    <row r="24" spans="1:16" ht="15.5" x14ac:dyDescent="0.35">
      <c r="A24" s="1052" t="s">
        <v>748</v>
      </c>
      <c r="B24" s="1053">
        <v>1</v>
      </c>
      <c r="C24" s="1054">
        <v>75000</v>
      </c>
      <c r="D24" s="1054">
        <f t="shared" si="0"/>
        <v>100000</v>
      </c>
      <c r="E24" s="1055">
        <f t="shared" si="1"/>
        <v>80000</v>
      </c>
      <c r="F24" s="1056">
        <f t="shared" si="9"/>
        <v>80000</v>
      </c>
      <c r="G24" s="1101"/>
      <c r="H24" s="1050">
        <f t="shared" si="2"/>
        <v>5880</v>
      </c>
      <c r="I24" s="1121">
        <f t="shared" si="10"/>
        <v>2039.9999999999998</v>
      </c>
      <c r="J24" s="1121">
        <f t="shared" si="3"/>
        <v>1160</v>
      </c>
      <c r="K24" s="1121">
        <f t="shared" si="4"/>
        <v>1008</v>
      </c>
      <c r="L24" s="1121">
        <f t="shared" si="5"/>
        <v>1360</v>
      </c>
      <c r="M24" s="1050">
        <f t="shared" si="6"/>
        <v>8.4</v>
      </c>
      <c r="O24" s="1121">
        <f t="shared" si="7"/>
        <v>5576.4</v>
      </c>
      <c r="P24" s="1121">
        <f t="shared" si="8"/>
        <v>85576.4</v>
      </c>
    </row>
    <row r="25" spans="1:16" ht="15.5" x14ac:dyDescent="0.35">
      <c r="A25" s="1052" t="s">
        <v>650</v>
      </c>
      <c r="B25" s="1053">
        <v>1</v>
      </c>
      <c r="C25" s="1054">
        <v>75000</v>
      </c>
      <c r="D25" s="1054">
        <f t="shared" si="0"/>
        <v>100000</v>
      </c>
      <c r="E25" s="1055">
        <f t="shared" si="1"/>
        <v>80000</v>
      </c>
      <c r="F25" s="1056">
        <f t="shared" si="9"/>
        <v>80000</v>
      </c>
      <c r="G25" s="1101"/>
      <c r="H25" s="1050">
        <f t="shared" si="2"/>
        <v>5880</v>
      </c>
      <c r="I25" s="1121">
        <f t="shared" si="10"/>
        <v>2039.9999999999998</v>
      </c>
      <c r="J25" s="1121">
        <f t="shared" si="3"/>
        <v>1160</v>
      </c>
      <c r="K25" s="1121">
        <f t="shared" si="4"/>
        <v>1008</v>
      </c>
      <c r="L25" s="1121">
        <f t="shared" si="5"/>
        <v>1360</v>
      </c>
      <c r="M25" s="1050">
        <f t="shared" si="6"/>
        <v>8.4</v>
      </c>
      <c r="O25" s="1121">
        <f t="shared" si="7"/>
        <v>5576.4</v>
      </c>
      <c r="P25" s="1121">
        <f t="shared" si="8"/>
        <v>85576.4</v>
      </c>
    </row>
    <row r="26" spans="1:16" x14ac:dyDescent="0.35">
      <c r="A26" s="1175" t="s">
        <v>749</v>
      </c>
      <c r="B26" s="1053">
        <v>1</v>
      </c>
      <c r="C26" s="1054">
        <v>70000</v>
      </c>
      <c r="D26" s="1054">
        <v>0</v>
      </c>
      <c r="E26" s="1055">
        <v>70000</v>
      </c>
      <c r="F26" s="1056">
        <v>0</v>
      </c>
      <c r="G26" s="1061">
        <v>70000</v>
      </c>
      <c r="H26" s="1050">
        <f t="shared" si="2"/>
        <v>5880</v>
      </c>
      <c r="I26" s="1121">
        <f t="shared" si="10"/>
        <v>0</v>
      </c>
      <c r="J26" s="1121">
        <f t="shared" si="3"/>
        <v>0</v>
      </c>
      <c r="K26" s="1121">
        <f t="shared" si="4"/>
        <v>0</v>
      </c>
      <c r="L26" s="1121">
        <f t="shared" si="5"/>
        <v>0</v>
      </c>
      <c r="M26" s="1050">
        <f t="shared" si="6"/>
        <v>8.4</v>
      </c>
      <c r="O26" s="1121">
        <f t="shared" si="7"/>
        <v>8.4</v>
      </c>
      <c r="P26" s="1121">
        <f t="shared" si="8"/>
        <v>8.4</v>
      </c>
    </row>
    <row r="27" spans="1:16" ht="15.5" x14ac:dyDescent="0.35">
      <c r="A27" s="1052" t="s">
        <v>651</v>
      </c>
      <c r="B27" s="1053">
        <v>1</v>
      </c>
      <c r="C27" s="1054">
        <v>70000</v>
      </c>
      <c r="D27" s="1054">
        <f t="shared" si="0"/>
        <v>95000</v>
      </c>
      <c r="E27" s="1055">
        <f t="shared" si="1"/>
        <v>75000</v>
      </c>
      <c r="F27" s="1056">
        <f t="shared" si="9"/>
        <v>75000</v>
      </c>
      <c r="G27" s="1101"/>
      <c r="H27" s="1050">
        <f t="shared" si="2"/>
        <v>5880</v>
      </c>
      <c r="I27" s="1121">
        <f t="shared" si="10"/>
        <v>1912.4999999999998</v>
      </c>
      <c r="J27" s="1121">
        <f t="shared" si="3"/>
        <v>1087.5</v>
      </c>
      <c r="K27" s="1121">
        <f t="shared" si="4"/>
        <v>945</v>
      </c>
      <c r="L27" s="1121">
        <f t="shared" si="5"/>
        <v>1275</v>
      </c>
      <c r="M27" s="1050">
        <f t="shared" si="6"/>
        <v>8.4</v>
      </c>
      <c r="O27" s="1121">
        <f t="shared" si="7"/>
        <v>5228.3999999999996</v>
      </c>
      <c r="P27" s="1121">
        <f t="shared" si="8"/>
        <v>80228.399999999994</v>
      </c>
    </row>
    <row r="28" spans="1:16" ht="15.5" x14ac:dyDescent="0.35">
      <c r="A28" s="1052" t="s">
        <v>750</v>
      </c>
      <c r="B28" s="1053">
        <v>1</v>
      </c>
      <c r="C28" s="1054">
        <v>70000</v>
      </c>
      <c r="D28" s="1054">
        <f t="shared" si="0"/>
        <v>95000</v>
      </c>
      <c r="E28" s="1055">
        <f t="shared" si="1"/>
        <v>75000</v>
      </c>
      <c r="F28" s="1056">
        <f t="shared" si="9"/>
        <v>75000</v>
      </c>
      <c r="G28" s="1101"/>
      <c r="H28" s="1050">
        <f t="shared" si="2"/>
        <v>5880</v>
      </c>
      <c r="I28" s="1121">
        <f t="shared" si="10"/>
        <v>1912.4999999999998</v>
      </c>
      <c r="J28" s="1121">
        <f t="shared" si="3"/>
        <v>1087.5</v>
      </c>
      <c r="K28" s="1121">
        <f t="shared" si="4"/>
        <v>945</v>
      </c>
      <c r="L28" s="1121">
        <f t="shared" si="5"/>
        <v>1275</v>
      </c>
      <c r="M28" s="1050">
        <f t="shared" si="6"/>
        <v>8.4</v>
      </c>
      <c r="O28" s="1121">
        <f t="shared" si="7"/>
        <v>5228.3999999999996</v>
      </c>
      <c r="P28" s="1121">
        <f t="shared" si="8"/>
        <v>80228.399999999994</v>
      </c>
    </row>
    <row r="29" spans="1:16" ht="15.5" x14ac:dyDescent="0.35">
      <c r="A29" s="1052" t="s">
        <v>751</v>
      </c>
      <c r="B29" s="1053">
        <v>2</v>
      </c>
      <c r="C29" s="1054">
        <v>60000</v>
      </c>
      <c r="D29" s="1054">
        <f t="shared" si="0"/>
        <v>85000</v>
      </c>
      <c r="E29" s="1055">
        <f t="shared" si="1"/>
        <v>65000</v>
      </c>
      <c r="F29" s="1056">
        <f t="shared" si="9"/>
        <v>130000</v>
      </c>
      <c r="G29" s="1101"/>
      <c r="H29" s="1050">
        <f t="shared" si="2"/>
        <v>11760</v>
      </c>
      <c r="I29" s="1121">
        <f t="shared" si="10"/>
        <v>3315</v>
      </c>
      <c r="J29" s="1121">
        <f t="shared" si="3"/>
        <v>1885</v>
      </c>
      <c r="K29" s="1121">
        <f t="shared" si="4"/>
        <v>1638</v>
      </c>
      <c r="L29" s="1121">
        <f t="shared" si="5"/>
        <v>2210</v>
      </c>
      <c r="M29" s="1050">
        <f t="shared" si="6"/>
        <v>16.8</v>
      </c>
      <c r="O29" s="1121">
        <f t="shared" si="7"/>
        <v>9064.7999999999993</v>
      </c>
      <c r="P29" s="1121">
        <f t="shared" si="8"/>
        <v>139064.79999999999</v>
      </c>
    </row>
    <row r="30" spans="1:16" ht="15.5" x14ac:dyDescent="0.35">
      <c r="A30" s="1052" t="s">
        <v>752</v>
      </c>
      <c r="B30" s="1053">
        <v>2</v>
      </c>
      <c r="C30" s="1054">
        <v>75000</v>
      </c>
      <c r="D30" s="1054">
        <f t="shared" si="0"/>
        <v>100000</v>
      </c>
      <c r="E30" s="1055">
        <f t="shared" si="1"/>
        <v>80000</v>
      </c>
      <c r="F30" s="1056">
        <f t="shared" si="9"/>
        <v>160000</v>
      </c>
      <c r="G30" s="1101"/>
      <c r="H30" s="1050">
        <f t="shared" si="2"/>
        <v>11760</v>
      </c>
      <c r="I30" s="1121">
        <f t="shared" si="10"/>
        <v>4079.9999999999995</v>
      </c>
      <c r="J30" s="1121">
        <f t="shared" si="3"/>
        <v>2320</v>
      </c>
      <c r="K30" s="1121">
        <f t="shared" si="4"/>
        <v>2016</v>
      </c>
      <c r="L30" s="1121">
        <f t="shared" si="5"/>
        <v>2720</v>
      </c>
      <c r="M30" s="1050">
        <f t="shared" si="6"/>
        <v>16.8</v>
      </c>
      <c r="O30" s="1121">
        <f t="shared" si="7"/>
        <v>11152.8</v>
      </c>
      <c r="P30" s="1121">
        <f t="shared" si="8"/>
        <v>171152.8</v>
      </c>
    </row>
    <row r="31" spans="1:16" ht="15.5" x14ac:dyDescent="0.35">
      <c r="A31" s="1052" t="s">
        <v>753</v>
      </c>
      <c r="B31" s="1053">
        <v>6</v>
      </c>
      <c r="C31" s="1054">
        <v>53000</v>
      </c>
      <c r="D31" s="1054">
        <f t="shared" si="0"/>
        <v>78000</v>
      </c>
      <c r="E31" s="1055">
        <f t="shared" si="1"/>
        <v>58000</v>
      </c>
      <c r="F31" s="1056">
        <f t="shared" si="9"/>
        <v>348000</v>
      </c>
      <c r="G31" s="1101"/>
      <c r="H31" s="1050">
        <f t="shared" si="2"/>
        <v>35280</v>
      </c>
      <c r="I31" s="1121">
        <f t="shared" si="10"/>
        <v>8874</v>
      </c>
      <c r="J31" s="1121">
        <f t="shared" si="3"/>
        <v>5046</v>
      </c>
      <c r="K31" s="1121">
        <f t="shared" si="4"/>
        <v>4384.8</v>
      </c>
      <c r="L31" s="1121">
        <f t="shared" si="5"/>
        <v>5916</v>
      </c>
      <c r="M31" s="1050">
        <f t="shared" si="6"/>
        <v>50.400000000000006</v>
      </c>
      <c r="O31" s="1121">
        <f t="shared" si="7"/>
        <v>24271.200000000001</v>
      </c>
      <c r="P31" s="1121">
        <f t="shared" si="8"/>
        <v>372271.2</v>
      </c>
    </row>
    <row r="32" spans="1:16" ht="15.5" x14ac:dyDescent="0.35">
      <c r="A32" s="1052" t="s">
        <v>664</v>
      </c>
      <c r="B32" s="1057">
        <v>3</v>
      </c>
      <c r="C32" s="1054">
        <v>62000</v>
      </c>
      <c r="D32" s="1054">
        <f t="shared" si="0"/>
        <v>87000</v>
      </c>
      <c r="E32" s="1058">
        <v>64000</v>
      </c>
      <c r="F32" s="1056">
        <f t="shared" si="9"/>
        <v>192000</v>
      </c>
      <c r="G32" s="1101"/>
      <c r="H32" s="1050">
        <f t="shared" si="2"/>
        <v>17640</v>
      </c>
      <c r="I32" s="1121">
        <f t="shared" si="10"/>
        <v>4896</v>
      </c>
      <c r="J32" s="1121">
        <f t="shared" si="3"/>
        <v>2784</v>
      </c>
      <c r="K32" s="1121">
        <f t="shared" si="4"/>
        <v>2419.1999999999998</v>
      </c>
      <c r="L32" s="1121">
        <f t="shared" si="5"/>
        <v>3264.0000000000005</v>
      </c>
      <c r="M32" s="1050">
        <f t="shared" si="6"/>
        <v>25.200000000000003</v>
      </c>
      <c r="O32" s="1121">
        <f t="shared" si="7"/>
        <v>13388.400000000001</v>
      </c>
      <c r="P32" s="1121">
        <f t="shared" si="8"/>
        <v>205388.4</v>
      </c>
    </row>
    <row r="33" spans="1:16" x14ac:dyDescent="0.35">
      <c r="B33" s="1057"/>
      <c r="C33" s="1060"/>
      <c r="D33" s="1060"/>
      <c r="E33" s="1061"/>
      <c r="F33" s="1056"/>
      <c r="H33" s="1161">
        <f>SUM(H4:H32)</f>
        <v>258720</v>
      </c>
      <c r="I33" s="1161">
        <f t="shared" ref="I33:P33" si="11">SUM(I4:I32)</f>
        <v>70048.5</v>
      </c>
      <c r="J33" s="1161">
        <f t="shared" si="11"/>
        <v>39831.5</v>
      </c>
      <c r="K33" s="1161">
        <f t="shared" si="11"/>
        <v>34612.199999999997</v>
      </c>
      <c r="L33" s="1161">
        <f t="shared" si="11"/>
        <v>46699</v>
      </c>
      <c r="M33" s="1161">
        <f t="shared" si="11"/>
        <v>369.60000000000008</v>
      </c>
      <c r="N33" s="1161">
        <f t="shared" si="11"/>
        <v>0</v>
      </c>
      <c r="O33" s="1161">
        <f t="shared" si="11"/>
        <v>191560.79999999993</v>
      </c>
      <c r="P33" s="1161">
        <f t="shared" si="11"/>
        <v>2938560.7999999989</v>
      </c>
    </row>
    <row r="34" spans="1:16" ht="15.5" x14ac:dyDescent="0.35">
      <c r="B34" s="1059">
        <f>SUM(B4:B32)</f>
        <v>44</v>
      </c>
      <c r="C34" s="1060"/>
      <c r="D34" s="1060"/>
      <c r="E34" s="1061"/>
      <c r="F34" s="1062">
        <f>SUM(F4:F32)</f>
        <v>2747000</v>
      </c>
      <c r="G34" s="1103">
        <f>SUM(G4:G33)</f>
        <v>210000</v>
      </c>
      <c r="I34" s="1062">
        <f>F34+G34</f>
        <v>2957000</v>
      </c>
      <c r="K34" s="1121"/>
    </row>
    <row r="35" spans="1:16" x14ac:dyDescent="0.35">
      <c r="B35" s="1063"/>
      <c r="C35" s="1060"/>
      <c r="D35" s="1060"/>
      <c r="E35" s="1061"/>
      <c r="K35" s="1121"/>
    </row>
    <row r="36" spans="1:16" x14ac:dyDescent="0.35">
      <c r="B36" s="1063"/>
      <c r="C36" s="1060"/>
      <c r="D36" s="1060"/>
      <c r="E36" s="1061"/>
      <c r="K36" s="1121"/>
    </row>
    <row r="37" spans="1:16" x14ac:dyDescent="0.35">
      <c r="B37" s="1063"/>
      <c r="C37" s="1060"/>
      <c r="D37" s="1060"/>
      <c r="E37" s="1061"/>
      <c r="K37" s="1121"/>
    </row>
    <row r="38" spans="1:16" x14ac:dyDescent="0.35">
      <c r="A38" s="1052" t="s">
        <v>665</v>
      </c>
      <c r="B38" s="1053">
        <v>2</v>
      </c>
      <c r="C38" s="1054">
        <v>70000</v>
      </c>
      <c r="D38" s="1054">
        <f>C38+25000</f>
        <v>95000</v>
      </c>
      <c r="E38" s="1058">
        <f>C38+5000</f>
        <v>75000</v>
      </c>
      <c r="F38" s="1056">
        <f t="shared" ref="F38" si="12">B38*E38</f>
        <v>150000</v>
      </c>
      <c r="H38" s="1050">
        <f>+$H$3*B38</f>
        <v>11760</v>
      </c>
      <c r="I38" s="1121">
        <f t="shared" ref="I38:I39" si="13">+$I$3*F38</f>
        <v>3824.9999999999995</v>
      </c>
      <c r="J38" s="1121">
        <f>+$J$3*F38</f>
        <v>2175</v>
      </c>
      <c r="K38" s="1121">
        <f>+$K$3*F38</f>
        <v>1890</v>
      </c>
      <c r="L38" s="1121">
        <f>+$L$3*F38</f>
        <v>2550</v>
      </c>
      <c r="M38" s="1050">
        <f>+$M$3*B38</f>
        <v>16.8</v>
      </c>
      <c r="O38" s="1121">
        <f>SUM(I38:N38)</f>
        <v>10456.799999999999</v>
      </c>
      <c r="P38" s="1121">
        <f>+O38+F38</f>
        <v>160456.79999999999</v>
      </c>
    </row>
    <row r="39" spans="1:16" x14ac:dyDescent="0.35">
      <c r="A39" s="1064" t="s">
        <v>754</v>
      </c>
      <c r="B39" s="1053">
        <v>1</v>
      </c>
      <c r="C39" s="1065">
        <v>53000</v>
      </c>
      <c r="D39" s="1065">
        <f t="shared" ref="D39" si="14">C39+25000</f>
        <v>78000</v>
      </c>
      <c r="E39" s="1066">
        <f t="shared" ref="E39" si="15">C39+5000</f>
        <v>58000</v>
      </c>
      <c r="F39" s="1066">
        <f>B39*E39</f>
        <v>58000</v>
      </c>
      <c r="H39" s="1050">
        <f>+$H$3*B39</f>
        <v>5880</v>
      </c>
      <c r="I39" s="1121">
        <f t="shared" si="13"/>
        <v>1479</v>
      </c>
      <c r="J39" s="1121">
        <f>+$J$3*F39</f>
        <v>841</v>
      </c>
      <c r="K39" s="1121">
        <f>+$K$3*F39</f>
        <v>730.8</v>
      </c>
      <c r="L39" s="1121">
        <f>+$L$3*F39</f>
        <v>986.00000000000011</v>
      </c>
      <c r="M39" s="1050">
        <f>+$M$3*B39</f>
        <v>8.4</v>
      </c>
      <c r="O39" s="1121">
        <f>SUM(I39:N39)</f>
        <v>4045.2000000000003</v>
      </c>
      <c r="P39" s="1121">
        <f>+O39+F39</f>
        <v>62045.2</v>
      </c>
    </row>
    <row r="40" spans="1:16" ht="15.5" x14ac:dyDescent="0.35">
      <c r="B40" s="1059">
        <f>SUM(B38:B39)</f>
        <v>3</v>
      </c>
      <c r="F40" s="1062">
        <f>SUM(F38:F39)</f>
        <v>208000</v>
      </c>
      <c r="H40" s="1050">
        <f>SUM(H38:H39)</f>
        <v>17640</v>
      </c>
      <c r="J40" s="1121"/>
      <c r="K40" s="1121"/>
      <c r="L40" s="1121"/>
      <c r="O40" s="1121">
        <f>SUM(O38:O39)</f>
        <v>14502</v>
      </c>
      <c r="P40" s="1121"/>
    </row>
    <row r="41" spans="1:16" x14ac:dyDescent="0.35">
      <c r="B41" s="1067"/>
      <c r="K41" s="1121"/>
    </row>
    <row r="42" spans="1:16" x14ac:dyDescent="0.35">
      <c r="K42" s="1121"/>
    </row>
    <row r="43" spans="1:16" x14ac:dyDescent="0.35">
      <c r="A43" s="1052" t="s">
        <v>666</v>
      </c>
      <c r="B43" s="1068">
        <v>1</v>
      </c>
      <c r="E43" s="1058">
        <v>130000</v>
      </c>
      <c r="F43" s="1056">
        <f>B43*E43</f>
        <v>130000</v>
      </c>
      <c r="H43" s="1050">
        <f t="shared" ref="H43:H51" si="16">+$H$3*B43</f>
        <v>5880</v>
      </c>
      <c r="I43" s="1121">
        <f t="shared" ref="I43:I51" si="17">+$I$3*F43</f>
        <v>3315</v>
      </c>
      <c r="J43" s="1121">
        <f t="shared" ref="J43:J51" si="18">+$J$3*F43</f>
        <v>1885</v>
      </c>
      <c r="K43" s="1121">
        <f t="shared" ref="K43:K51" si="19">+$K$3*F43</f>
        <v>1638</v>
      </c>
      <c r="L43" s="1121">
        <f t="shared" ref="L43:L51" si="20">+$L$3*F43</f>
        <v>2210</v>
      </c>
      <c r="M43" s="1050">
        <f t="shared" ref="M43:M51" si="21">+$M$3*B43</f>
        <v>8.4</v>
      </c>
      <c r="O43" s="1121">
        <f t="shared" ref="O43:O51" si="22">SUM(I43:N43)</f>
        <v>9056.4</v>
      </c>
      <c r="P43" s="1121">
        <f t="shared" ref="P43:P52" si="23">+O43+F43</f>
        <v>139056.4</v>
      </c>
    </row>
    <row r="44" spans="1:16" x14ac:dyDescent="0.35">
      <c r="A44" s="1052" t="s">
        <v>755</v>
      </c>
      <c r="B44" s="1068">
        <v>1</v>
      </c>
      <c r="E44" s="1058">
        <v>85000</v>
      </c>
      <c r="F44" s="1056">
        <f t="shared" ref="F44:F51" si="24">B44*E44</f>
        <v>85000</v>
      </c>
      <c r="H44" s="1050">
        <f t="shared" si="16"/>
        <v>5880</v>
      </c>
      <c r="I44" s="1121">
        <f t="shared" si="17"/>
        <v>2167.5</v>
      </c>
      <c r="J44" s="1121">
        <f t="shared" si="18"/>
        <v>1232.5</v>
      </c>
      <c r="K44" s="1121">
        <f t="shared" si="19"/>
        <v>1071</v>
      </c>
      <c r="L44" s="1121">
        <f t="shared" si="20"/>
        <v>1445</v>
      </c>
      <c r="M44" s="1050">
        <f t="shared" si="21"/>
        <v>8.4</v>
      </c>
      <c r="O44" s="1121">
        <f t="shared" si="22"/>
        <v>5924.4</v>
      </c>
      <c r="P44" s="1121">
        <f t="shared" si="23"/>
        <v>90924.4</v>
      </c>
    </row>
    <row r="45" spans="1:16" x14ac:dyDescent="0.35">
      <c r="A45" s="1052" t="s">
        <v>755</v>
      </c>
      <c r="B45" s="1068">
        <v>1</v>
      </c>
      <c r="E45" s="1058">
        <v>85000</v>
      </c>
      <c r="F45" s="1056">
        <f t="shared" si="24"/>
        <v>85000</v>
      </c>
      <c r="H45" s="1050">
        <f t="shared" si="16"/>
        <v>5880</v>
      </c>
      <c r="I45" s="1121">
        <f t="shared" si="17"/>
        <v>2167.5</v>
      </c>
      <c r="J45" s="1121">
        <f t="shared" si="18"/>
        <v>1232.5</v>
      </c>
      <c r="K45" s="1121">
        <f t="shared" si="19"/>
        <v>1071</v>
      </c>
      <c r="L45" s="1121">
        <f t="shared" si="20"/>
        <v>1445</v>
      </c>
      <c r="M45" s="1050">
        <f t="shared" si="21"/>
        <v>8.4</v>
      </c>
      <c r="O45" s="1121">
        <f t="shared" si="22"/>
        <v>5924.4</v>
      </c>
      <c r="P45" s="1121">
        <f t="shared" si="23"/>
        <v>90924.4</v>
      </c>
    </row>
    <row r="46" spans="1:16" x14ac:dyDescent="0.35">
      <c r="A46" s="1052" t="s">
        <v>756</v>
      </c>
      <c r="B46" s="1068">
        <v>0</v>
      </c>
      <c r="E46" s="1058">
        <v>80000</v>
      </c>
      <c r="F46" s="1056">
        <f t="shared" si="24"/>
        <v>0</v>
      </c>
      <c r="H46" s="1050">
        <f t="shared" si="16"/>
        <v>0</v>
      </c>
      <c r="I46" s="1121">
        <f t="shared" si="17"/>
        <v>0</v>
      </c>
      <c r="J46" s="1121">
        <f t="shared" si="18"/>
        <v>0</v>
      </c>
      <c r="K46" s="1121">
        <f t="shared" si="19"/>
        <v>0</v>
      </c>
      <c r="L46" s="1121">
        <f t="shared" si="20"/>
        <v>0</v>
      </c>
      <c r="M46" s="1050">
        <f t="shared" si="21"/>
        <v>0</v>
      </c>
      <c r="O46" s="1121">
        <f t="shared" si="22"/>
        <v>0</v>
      </c>
      <c r="P46" s="1121">
        <f t="shared" si="23"/>
        <v>0</v>
      </c>
    </row>
    <row r="47" spans="1:16" x14ac:dyDescent="0.35">
      <c r="A47" s="1052" t="s">
        <v>757</v>
      </c>
      <c r="B47" s="1068">
        <v>1</v>
      </c>
      <c r="E47" s="1058">
        <v>55000</v>
      </c>
      <c r="F47" s="1056">
        <f t="shared" si="24"/>
        <v>55000</v>
      </c>
      <c r="H47" s="1050">
        <f t="shared" si="16"/>
        <v>5880</v>
      </c>
      <c r="I47" s="1121">
        <f t="shared" si="17"/>
        <v>1402.5</v>
      </c>
      <c r="J47" s="1121">
        <f t="shared" si="18"/>
        <v>797.5</v>
      </c>
      <c r="K47" s="1121">
        <f t="shared" si="19"/>
        <v>693</v>
      </c>
      <c r="L47" s="1121">
        <f t="shared" si="20"/>
        <v>935.00000000000011</v>
      </c>
      <c r="M47" s="1050">
        <f t="shared" si="21"/>
        <v>8.4</v>
      </c>
      <c r="O47" s="1121">
        <f t="shared" si="22"/>
        <v>3836.4</v>
      </c>
      <c r="P47" s="1121">
        <f t="shared" si="23"/>
        <v>58836.4</v>
      </c>
    </row>
    <row r="48" spans="1:16" x14ac:dyDescent="0.35">
      <c r="A48" s="1052" t="s">
        <v>758</v>
      </c>
      <c r="B48" s="1068">
        <v>1</v>
      </c>
      <c r="E48" s="1058">
        <v>40000</v>
      </c>
      <c r="F48" s="1056">
        <f t="shared" si="24"/>
        <v>40000</v>
      </c>
      <c r="H48" s="1050">
        <f t="shared" si="16"/>
        <v>5880</v>
      </c>
      <c r="I48" s="1121">
        <f t="shared" si="17"/>
        <v>1019.9999999999999</v>
      </c>
      <c r="J48" s="1121">
        <f t="shared" si="18"/>
        <v>580</v>
      </c>
      <c r="K48" s="1121">
        <f t="shared" si="19"/>
        <v>504</v>
      </c>
      <c r="L48" s="1121">
        <f t="shared" si="20"/>
        <v>680</v>
      </c>
      <c r="M48" s="1050">
        <f t="shared" si="21"/>
        <v>8.4</v>
      </c>
      <c r="O48" s="1121">
        <f t="shared" si="22"/>
        <v>2792.4</v>
      </c>
      <c r="P48" s="1121">
        <f t="shared" si="23"/>
        <v>42792.4</v>
      </c>
    </row>
    <row r="49" spans="1:16" x14ac:dyDescent="0.35">
      <c r="A49" s="1052" t="s">
        <v>759</v>
      </c>
      <c r="B49" s="1068">
        <v>0.5</v>
      </c>
      <c r="E49" s="1058">
        <v>35000</v>
      </c>
      <c r="F49" s="1056">
        <f t="shared" si="24"/>
        <v>17500</v>
      </c>
      <c r="H49" s="1050">
        <f t="shared" si="16"/>
        <v>2940</v>
      </c>
      <c r="I49" s="1121">
        <f t="shared" si="17"/>
        <v>446.24999999999994</v>
      </c>
      <c r="J49" s="1121">
        <f t="shared" si="18"/>
        <v>253.75</v>
      </c>
      <c r="K49" s="1121">
        <f t="shared" si="19"/>
        <v>220.5</v>
      </c>
      <c r="L49" s="1121">
        <f t="shared" si="20"/>
        <v>297.5</v>
      </c>
      <c r="M49" s="1050">
        <f t="shared" si="21"/>
        <v>4.2</v>
      </c>
      <c r="O49" s="1121">
        <f t="shared" si="22"/>
        <v>1222.2</v>
      </c>
      <c r="P49" s="1121">
        <f t="shared" si="23"/>
        <v>18722.2</v>
      </c>
    </row>
    <row r="50" spans="1:16" x14ac:dyDescent="0.35">
      <c r="A50" s="1052" t="s">
        <v>760</v>
      </c>
      <c r="B50" s="1068">
        <v>0.5</v>
      </c>
      <c r="E50" s="1058">
        <v>35000</v>
      </c>
      <c r="F50" s="1056">
        <f t="shared" si="24"/>
        <v>17500</v>
      </c>
      <c r="H50" s="1050">
        <f t="shared" si="16"/>
        <v>2940</v>
      </c>
      <c r="I50" s="1121">
        <f t="shared" si="17"/>
        <v>446.24999999999994</v>
      </c>
      <c r="J50" s="1121">
        <f t="shared" si="18"/>
        <v>253.75</v>
      </c>
      <c r="K50" s="1121">
        <f t="shared" si="19"/>
        <v>220.5</v>
      </c>
      <c r="L50" s="1121">
        <f t="shared" si="20"/>
        <v>297.5</v>
      </c>
      <c r="M50" s="1050">
        <f t="shared" si="21"/>
        <v>4.2</v>
      </c>
      <c r="O50" s="1121">
        <f t="shared" si="22"/>
        <v>1222.2</v>
      </c>
      <c r="P50" s="1121">
        <f t="shared" si="23"/>
        <v>18722.2</v>
      </c>
    </row>
    <row r="51" spans="1:16" x14ac:dyDescent="0.35">
      <c r="A51" s="1052" t="s">
        <v>674</v>
      </c>
      <c r="B51" s="1068">
        <v>1</v>
      </c>
      <c r="E51" s="1058">
        <v>35000</v>
      </c>
      <c r="F51" s="1056">
        <f t="shared" si="24"/>
        <v>35000</v>
      </c>
      <c r="H51" s="1050">
        <f t="shared" si="16"/>
        <v>5880</v>
      </c>
      <c r="I51" s="1121">
        <f t="shared" si="17"/>
        <v>892.49999999999989</v>
      </c>
      <c r="J51" s="1121">
        <f t="shared" si="18"/>
        <v>507.5</v>
      </c>
      <c r="K51" s="1121">
        <f t="shared" si="19"/>
        <v>441</v>
      </c>
      <c r="L51" s="1121">
        <f t="shared" si="20"/>
        <v>595</v>
      </c>
      <c r="M51" s="1050">
        <f t="shared" si="21"/>
        <v>8.4</v>
      </c>
      <c r="O51" s="1121">
        <f t="shared" si="22"/>
        <v>2444.4</v>
      </c>
      <c r="P51" s="1121">
        <f t="shared" si="23"/>
        <v>37444.400000000001</v>
      </c>
    </row>
    <row r="52" spans="1:16" ht="15.5" x14ac:dyDescent="0.35">
      <c r="B52" s="1069">
        <f>SUM(B43:B51)</f>
        <v>7</v>
      </c>
      <c r="F52" s="1062">
        <f>SUM(F43:F51)</f>
        <v>465000</v>
      </c>
      <c r="H52" s="1050">
        <f>SUM(H43:H51)</f>
        <v>41160</v>
      </c>
      <c r="O52" s="1121">
        <f>SUM(O43:O51)</f>
        <v>32422.800000000003</v>
      </c>
      <c r="P52" s="1050">
        <f t="shared" si="23"/>
        <v>497422.8</v>
      </c>
    </row>
    <row r="53" spans="1:16" x14ac:dyDescent="0.35">
      <c r="B53" s="1070"/>
    </row>
    <row r="55" spans="1:16" ht="15.5" x14ac:dyDescent="0.35">
      <c r="B55" s="1071">
        <f>B34+B40+B52</f>
        <v>54</v>
      </c>
      <c r="F55" s="1072">
        <f>F34+F40+F52</f>
        <v>3420000</v>
      </c>
    </row>
  </sheetData>
  <mergeCells count="7">
    <mergeCell ref="G2:G3"/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  <pageSetup scale="8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F2F9-A9A0-4699-B18B-BEACD7F309A7}">
  <dimension ref="A1:O53"/>
  <sheetViews>
    <sheetView topLeftCell="A32" zoomScaleNormal="100" zoomScaleSheetLayoutView="99" workbookViewId="0">
      <selection activeCell="H30" sqref="H30:M30"/>
    </sheetView>
  </sheetViews>
  <sheetFormatPr defaultColWidth="9" defaultRowHeight="14.5" x14ac:dyDescent="0.35"/>
  <cols>
    <col min="1" max="1" width="28.54296875" style="138" customWidth="1"/>
    <col min="2" max="2" width="9.453125" style="138" customWidth="1"/>
    <col min="3" max="4" width="16.54296875" style="138" customWidth="1"/>
    <col min="5" max="5" width="22" style="138" customWidth="1"/>
    <col min="6" max="6" width="18.54296875" style="138" customWidth="1"/>
    <col min="7" max="7" width="9" style="138"/>
    <col min="8" max="8" width="12.7265625" style="138" customWidth="1"/>
    <col min="9" max="9" width="13" style="138" customWidth="1"/>
    <col min="10" max="10" width="12.453125" style="138" customWidth="1"/>
    <col min="11" max="13" width="9" style="138"/>
    <col min="14" max="14" width="13.453125" style="138" bestFit="1" customWidth="1"/>
    <col min="15" max="15" width="15.1796875" style="138" bestFit="1" customWidth="1"/>
    <col min="16" max="16384" width="9" style="138"/>
  </cols>
  <sheetData>
    <row r="1" spans="1:15" ht="21" x14ac:dyDescent="0.35">
      <c r="A1" s="1270" t="s">
        <v>763</v>
      </c>
      <c r="B1" s="1270"/>
      <c r="C1" s="1270"/>
      <c r="D1" s="1270"/>
      <c r="E1" s="1270"/>
      <c r="F1" s="1270"/>
    </row>
    <row r="2" spans="1:15" ht="27" customHeight="1" x14ac:dyDescent="0.35">
      <c r="A2" s="1264" t="s">
        <v>584</v>
      </c>
      <c r="B2" s="1281" t="s">
        <v>764</v>
      </c>
      <c r="C2" s="1283" t="s">
        <v>623</v>
      </c>
      <c r="D2" s="1284"/>
      <c r="E2" s="1267" t="s">
        <v>765</v>
      </c>
      <c r="F2" s="1269" t="s">
        <v>625</v>
      </c>
      <c r="G2" s="1173" t="s">
        <v>585</v>
      </c>
      <c r="H2" s="1173" t="s">
        <v>736</v>
      </c>
      <c r="I2" s="1173" t="s">
        <v>587</v>
      </c>
      <c r="J2" s="1173" t="s">
        <v>588</v>
      </c>
      <c r="K2" s="1173" t="s">
        <v>589</v>
      </c>
      <c r="L2" s="1173" t="s">
        <v>590</v>
      </c>
      <c r="M2" s="1173" t="s">
        <v>737</v>
      </c>
      <c r="N2" s="1173" t="s">
        <v>738</v>
      </c>
      <c r="O2" s="1124" t="s">
        <v>592</v>
      </c>
    </row>
    <row r="3" spans="1:15" ht="27" customHeight="1" x14ac:dyDescent="0.35">
      <c r="A3" s="1265"/>
      <c r="B3" s="1282"/>
      <c r="C3" s="139" t="s">
        <v>627</v>
      </c>
      <c r="D3" s="139" t="s">
        <v>628</v>
      </c>
      <c r="E3" s="1268"/>
      <c r="F3" s="1269"/>
      <c r="G3" s="1174">
        <f>(0.9*7200)-(50*12)</f>
        <v>5880</v>
      </c>
      <c r="H3" s="1123">
        <f>0.018+0.0075</f>
        <v>2.5499999999999998E-2</v>
      </c>
      <c r="I3" s="1123">
        <v>1.4500000000000001E-2</v>
      </c>
      <c r="J3" s="1123">
        <v>1.26E-2</v>
      </c>
      <c r="K3" s="1123">
        <v>1.7000000000000001E-2</v>
      </c>
      <c r="L3" s="1123">
        <v>8.4</v>
      </c>
      <c r="M3" s="1123"/>
      <c r="N3" s="1123"/>
      <c r="O3" s="1125" t="s">
        <v>594</v>
      </c>
    </row>
    <row r="4" spans="1:15" x14ac:dyDescent="0.35">
      <c r="A4" s="140" t="s">
        <v>650</v>
      </c>
      <c r="B4" s="141">
        <v>3</v>
      </c>
      <c r="C4" s="142">
        <v>72000</v>
      </c>
      <c r="D4" s="142">
        <f t="shared" ref="D4:D28" si="0">C4+25000</f>
        <v>97000</v>
      </c>
      <c r="E4" s="143">
        <f t="shared" ref="E4:E26" si="1">C4+5000</f>
        <v>77000</v>
      </c>
      <c r="F4" s="143">
        <f t="shared" ref="F4:F28" si="2">B4*E4</f>
        <v>231000</v>
      </c>
      <c r="G4" s="138">
        <f>+$G$3*B4</f>
        <v>17640</v>
      </c>
      <c r="H4" s="1118">
        <f>+$H$3*F4</f>
        <v>5890.5</v>
      </c>
      <c r="I4" s="1118">
        <f>+$I$3*F4</f>
        <v>3349.5</v>
      </c>
      <c r="J4" s="1118">
        <f>+$J$3*F4</f>
        <v>2910.6</v>
      </c>
      <c r="K4" s="149">
        <f>+$K$3*F4</f>
        <v>3927.0000000000005</v>
      </c>
      <c r="L4" s="138">
        <f>+$L$3*B4</f>
        <v>25.200000000000003</v>
      </c>
      <c r="N4" s="1118">
        <f>SUM(H4:L4)</f>
        <v>16102.800000000001</v>
      </c>
      <c r="O4" s="1118">
        <f>+F4+G4+N4</f>
        <v>264742.8</v>
      </c>
    </row>
    <row r="5" spans="1:15" x14ac:dyDescent="0.35">
      <c r="A5" s="176" t="s">
        <v>766</v>
      </c>
      <c r="B5" s="141">
        <v>1</v>
      </c>
      <c r="C5" s="142">
        <v>72000</v>
      </c>
      <c r="D5" s="142">
        <f t="shared" si="0"/>
        <v>97000</v>
      </c>
      <c r="E5" s="143">
        <f t="shared" si="1"/>
        <v>77000</v>
      </c>
      <c r="F5" s="177">
        <f>E5+12000</f>
        <v>89000</v>
      </c>
      <c r="G5" s="138">
        <f t="shared" ref="G5:G28" si="3">+$G$3*B5</f>
        <v>5880</v>
      </c>
      <c r="H5" s="1118">
        <f t="shared" ref="H5:H28" si="4">+$H$3*F5</f>
        <v>2269.5</v>
      </c>
      <c r="I5" s="1118">
        <f t="shared" ref="I5:I28" si="5">+$I$3*F5</f>
        <v>1290.5</v>
      </c>
      <c r="J5" s="1118">
        <f t="shared" ref="J5:J28" si="6">+$J$3*F5</f>
        <v>1121.4000000000001</v>
      </c>
      <c r="K5" s="149">
        <f t="shared" ref="K5:K28" si="7">+$K$3*F5</f>
        <v>1513</v>
      </c>
      <c r="L5" s="138">
        <f t="shared" ref="L5:L28" si="8">+$L$3*B5</f>
        <v>8.4</v>
      </c>
      <c r="N5" s="1118">
        <f t="shared" ref="N5:N28" si="9">SUM(H5:L5)</f>
        <v>6202.7999999999993</v>
      </c>
      <c r="O5" s="1118">
        <f t="shared" ref="O5:O28" si="10">+F5+G5+N5</f>
        <v>101082.8</v>
      </c>
    </row>
    <row r="6" spans="1:15" x14ac:dyDescent="0.35">
      <c r="A6" s="140" t="s">
        <v>651</v>
      </c>
      <c r="B6" s="141">
        <v>5</v>
      </c>
      <c r="C6" s="142">
        <v>68000</v>
      </c>
      <c r="D6" s="142">
        <f t="shared" si="0"/>
        <v>93000</v>
      </c>
      <c r="E6" s="143">
        <f t="shared" si="1"/>
        <v>73000</v>
      </c>
      <c r="F6" s="143">
        <f t="shared" si="2"/>
        <v>365000</v>
      </c>
      <c r="G6" s="138">
        <f t="shared" si="3"/>
        <v>29400</v>
      </c>
      <c r="H6" s="1118">
        <f t="shared" si="4"/>
        <v>9307.5</v>
      </c>
      <c r="I6" s="1118">
        <f t="shared" si="5"/>
        <v>5292.5</v>
      </c>
      <c r="J6" s="1118">
        <f t="shared" si="6"/>
        <v>4599</v>
      </c>
      <c r="K6" s="149">
        <f t="shared" si="7"/>
        <v>6205</v>
      </c>
      <c r="L6" s="138">
        <f t="shared" si="8"/>
        <v>42</v>
      </c>
      <c r="N6" s="1118">
        <f t="shared" si="9"/>
        <v>25446</v>
      </c>
      <c r="O6" s="1118">
        <f t="shared" si="10"/>
        <v>419846</v>
      </c>
    </row>
    <row r="7" spans="1:15" x14ac:dyDescent="0.35">
      <c r="A7" s="140" t="s">
        <v>750</v>
      </c>
      <c r="B7" s="141">
        <v>1</v>
      </c>
      <c r="C7" s="142">
        <v>68000</v>
      </c>
      <c r="D7" s="142">
        <f t="shared" si="0"/>
        <v>93000</v>
      </c>
      <c r="E7" s="143">
        <f t="shared" si="1"/>
        <v>73000</v>
      </c>
      <c r="F7" s="143">
        <f t="shared" si="2"/>
        <v>73000</v>
      </c>
      <c r="G7" s="138">
        <f t="shared" si="3"/>
        <v>5880</v>
      </c>
      <c r="H7" s="1118">
        <f t="shared" si="4"/>
        <v>1861.4999999999998</v>
      </c>
      <c r="I7" s="1118">
        <f t="shared" si="5"/>
        <v>1058.5</v>
      </c>
      <c r="J7" s="1118">
        <f t="shared" si="6"/>
        <v>919.8</v>
      </c>
      <c r="K7" s="149">
        <f t="shared" si="7"/>
        <v>1241</v>
      </c>
      <c r="L7" s="138">
        <f t="shared" si="8"/>
        <v>8.4</v>
      </c>
      <c r="N7" s="1118">
        <f t="shared" si="9"/>
        <v>5089.2</v>
      </c>
      <c r="O7" s="1118">
        <f t="shared" si="10"/>
        <v>83969.2</v>
      </c>
    </row>
    <row r="8" spans="1:15" x14ac:dyDescent="0.35">
      <c r="A8" s="176" t="s">
        <v>767</v>
      </c>
      <c r="B8" s="141">
        <v>1</v>
      </c>
      <c r="C8" s="142">
        <v>68000</v>
      </c>
      <c r="D8" s="142">
        <f t="shared" si="0"/>
        <v>93000</v>
      </c>
      <c r="E8" s="143">
        <f t="shared" si="1"/>
        <v>73000</v>
      </c>
      <c r="F8" s="177">
        <v>85000</v>
      </c>
      <c r="G8" s="138">
        <f t="shared" si="3"/>
        <v>5880</v>
      </c>
      <c r="H8" s="1118">
        <f t="shared" si="4"/>
        <v>2167.5</v>
      </c>
      <c r="I8" s="1118">
        <f t="shared" si="5"/>
        <v>1232.5</v>
      </c>
      <c r="J8" s="1118">
        <f t="shared" si="6"/>
        <v>1071</v>
      </c>
      <c r="K8" s="149">
        <f t="shared" si="7"/>
        <v>1445</v>
      </c>
      <c r="L8" s="138">
        <f t="shared" si="8"/>
        <v>8.4</v>
      </c>
      <c r="N8" s="1118">
        <f t="shared" si="9"/>
        <v>5924.4</v>
      </c>
      <c r="O8" s="1118">
        <f t="shared" si="10"/>
        <v>96804.4</v>
      </c>
    </row>
    <row r="9" spans="1:15" x14ac:dyDescent="0.35">
      <c r="A9" s="178" t="s">
        <v>768</v>
      </c>
      <c r="B9" s="141">
        <v>1</v>
      </c>
      <c r="C9" s="142">
        <v>72000</v>
      </c>
      <c r="D9" s="142">
        <f t="shared" si="0"/>
        <v>97000</v>
      </c>
      <c r="E9" s="143">
        <f t="shared" si="1"/>
        <v>77000</v>
      </c>
      <c r="F9" s="177">
        <v>89000</v>
      </c>
      <c r="G9" s="138">
        <f t="shared" si="3"/>
        <v>5880</v>
      </c>
      <c r="H9" s="1118">
        <f t="shared" si="4"/>
        <v>2269.5</v>
      </c>
      <c r="I9" s="1118">
        <f t="shared" si="5"/>
        <v>1290.5</v>
      </c>
      <c r="J9" s="1118">
        <f t="shared" si="6"/>
        <v>1121.4000000000001</v>
      </c>
      <c r="K9" s="149">
        <f t="shared" si="7"/>
        <v>1513</v>
      </c>
      <c r="L9" s="138">
        <f t="shared" si="8"/>
        <v>8.4</v>
      </c>
      <c r="N9" s="1118">
        <f t="shared" si="9"/>
        <v>6202.7999999999993</v>
      </c>
      <c r="O9" s="1118">
        <f t="shared" si="10"/>
        <v>101082.8</v>
      </c>
    </row>
    <row r="10" spans="1:15" x14ac:dyDescent="0.35">
      <c r="A10" s="178" t="s">
        <v>769</v>
      </c>
      <c r="B10" s="141">
        <v>2</v>
      </c>
      <c r="C10" s="142">
        <v>72000</v>
      </c>
      <c r="D10" s="142">
        <f t="shared" si="0"/>
        <v>97000</v>
      </c>
      <c r="E10" s="143">
        <f t="shared" si="1"/>
        <v>77000</v>
      </c>
      <c r="F10" s="143">
        <f t="shared" si="2"/>
        <v>154000</v>
      </c>
      <c r="G10" s="138">
        <f t="shared" si="3"/>
        <v>11760</v>
      </c>
      <c r="H10" s="1118">
        <f t="shared" si="4"/>
        <v>3926.9999999999995</v>
      </c>
      <c r="I10" s="1118">
        <f t="shared" si="5"/>
        <v>2233</v>
      </c>
      <c r="J10" s="1118">
        <f t="shared" si="6"/>
        <v>1940.4</v>
      </c>
      <c r="K10" s="149">
        <f t="shared" si="7"/>
        <v>2618</v>
      </c>
      <c r="L10" s="138">
        <f t="shared" si="8"/>
        <v>16.8</v>
      </c>
      <c r="N10" s="1118">
        <f t="shared" si="9"/>
        <v>10735.199999999999</v>
      </c>
      <c r="O10" s="1118">
        <f t="shared" si="10"/>
        <v>176495.2</v>
      </c>
    </row>
    <row r="11" spans="1:15" x14ac:dyDescent="0.35">
      <c r="A11" s="144" t="s">
        <v>770</v>
      </c>
      <c r="B11" s="161">
        <v>3</v>
      </c>
      <c r="C11" s="142">
        <v>64000</v>
      </c>
      <c r="D11" s="142">
        <f t="shared" si="0"/>
        <v>89000</v>
      </c>
      <c r="E11" s="143">
        <f t="shared" si="1"/>
        <v>69000</v>
      </c>
      <c r="F11" s="143">
        <f t="shared" si="2"/>
        <v>207000</v>
      </c>
      <c r="G11" s="138">
        <f t="shared" si="3"/>
        <v>17640</v>
      </c>
      <c r="H11" s="1118">
        <f t="shared" si="4"/>
        <v>5278.5</v>
      </c>
      <c r="I11" s="1118">
        <f t="shared" si="5"/>
        <v>3001.5</v>
      </c>
      <c r="J11" s="1118">
        <f t="shared" si="6"/>
        <v>2608.1999999999998</v>
      </c>
      <c r="K11" s="149">
        <f t="shared" si="7"/>
        <v>3519.0000000000005</v>
      </c>
      <c r="L11" s="138">
        <f t="shared" si="8"/>
        <v>25.200000000000003</v>
      </c>
      <c r="N11" s="1118">
        <f t="shared" si="9"/>
        <v>14432.400000000001</v>
      </c>
      <c r="O11" s="1118">
        <f t="shared" si="10"/>
        <v>239072.4</v>
      </c>
    </row>
    <row r="12" spans="1:15" x14ac:dyDescent="0.35">
      <c r="A12" s="140" t="s">
        <v>652</v>
      </c>
      <c r="B12" s="141">
        <v>5</v>
      </c>
      <c r="C12" s="142">
        <v>72000</v>
      </c>
      <c r="D12" s="142">
        <f t="shared" si="0"/>
        <v>97000</v>
      </c>
      <c r="E12" s="143">
        <f t="shared" si="1"/>
        <v>77000</v>
      </c>
      <c r="F12" s="143">
        <f t="shared" si="2"/>
        <v>385000</v>
      </c>
      <c r="G12" s="138">
        <f t="shared" si="3"/>
        <v>29400</v>
      </c>
      <c r="H12" s="1118">
        <f t="shared" si="4"/>
        <v>9817.5</v>
      </c>
      <c r="I12" s="1118">
        <f t="shared" si="5"/>
        <v>5582.5</v>
      </c>
      <c r="J12" s="1118">
        <f t="shared" si="6"/>
        <v>4851</v>
      </c>
      <c r="K12" s="149">
        <f t="shared" si="7"/>
        <v>6545.0000000000009</v>
      </c>
      <c r="L12" s="138">
        <f t="shared" si="8"/>
        <v>42</v>
      </c>
      <c r="N12" s="1118">
        <f t="shared" si="9"/>
        <v>26838</v>
      </c>
      <c r="O12" s="1118">
        <f t="shared" si="10"/>
        <v>441238</v>
      </c>
    </row>
    <row r="13" spans="1:15" x14ac:dyDescent="0.35">
      <c r="A13" s="140" t="s">
        <v>653</v>
      </c>
      <c r="B13" s="141">
        <v>5</v>
      </c>
      <c r="C13" s="142">
        <v>68000</v>
      </c>
      <c r="D13" s="142">
        <f t="shared" si="0"/>
        <v>93000</v>
      </c>
      <c r="E13" s="143">
        <f t="shared" si="1"/>
        <v>73000</v>
      </c>
      <c r="F13" s="143">
        <f t="shared" si="2"/>
        <v>365000</v>
      </c>
      <c r="G13" s="138">
        <f t="shared" si="3"/>
        <v>29400</v>
      </c>
      <c r="H13" s="1118">
        <f t="shared" si="4"/>
        <v>9307.5</v>
      </c>
      <c r="I13" s="1118">
        <f t="shared" si="5"/>
        <v>5292.5</v>
      </c>
      <c r="J13" s="1118">
        <f t="shared" si="6"/>
        <v>4599</v>
      </c>
      <c r="K13" s="149">
        <f t="shared" si="7"/>
        <v>6205</v>
      </c>
      <c r="L13" s="138">
        <f t="shared" si="8"/>
        <v>42</v>
      </c>
      <c r="N13" s="1118">
        <f t="shared" si="9"/>
        <v>25446</v>
      </c>
      <c r="O13" s="1118">
        <f t="shared" si="10"/>
        <v>419846</v>
      </c>
    </row>
    <row r="14" spans="1:15" x14ac:dyDescent="0.35">
      <c r="A14" s="140" t="s">
        <v>771</v>
      </c>
      <c r="B14" s="141">
        <v>3</v>
      </c>
      <c r="C14" s="142">
        <v>68000</v>
      </c>
      <c r="D14" s="142">
        <f t="shared" si="0"/>
        <v>93000</v>
      </c>
      <c r="E14" s="143">
        <f t="shared" si="1"/>
        <v>73000</v>
      </c>
      <c r="F14" s="143">
        <f t="shared" si="2"/>
        <v>219000</v>
      </c>
      <c r="G14" s="138">
        <f t="shared" si="3"/>
        <v>17640</v>
      </c>
      <c r="H14" s="1118">
        <f t="shared" si="4"/>
        <v>5584.5</v>
      </c>
      <c r="I14" s="1118">
        <f t="shared" si="5"/>
        <v>3175.5</v>
      </c>
      <c r="J14" s="1118">
        <f t="shared" si="6"/>
        <v>2759.4</v>
      </c>
      <c r="K14" s="149">
        <f t="shared" si="7"/>
        <v>3723.0000000000005</v>
      </c>
      <c r="L14" s="138">
        <f t="shared" si="8"/>
        <v>25.200000000000003</v>
      </c>
      <c r="N14" s="1118">
        <f t="shared" si="9"/>
        <v>15267.6</v>
      </c>
      <c r="O14" s="1118">
        <f t="shared" si="10"/>
        <v>251907.6</v>
      </c>
    </row>
    <row r="15" spans="1:15" x14ac:dyDescent="0.35">
      <c r="A15" s="144" t="s">
        <v>772</v>
      </c>
      <c r="B15" s="141">
        <v>3</v>
      </c>
      <c r="C15" s="142">
        <v>72000</v>
      </c>
      <c r="D15" s="142">
        <f t="shared" si="0"/>
        <v>97000</v>
      </c>
      <c r="E15" s="143">
        <f t="shared" si="1"/>
        <v>77000</v>
      </c>
      <c r="F15" s="143">
        <f t="shared" si="2"/>
        <v>231000</v>
      </c>
      <c r="G15" s="138">
        <f t="shared" si="3"/>
        <v>17640</v>
      </c>
      <c r="H15" s="1118">
        <f t="shared" si="4"/>
        <v>5890.5</v>
      </c>
      <c r="I15" s="1118">
        <f t="shared" si="5"/>
        <v>3349.5</v>
      </c>
      <c r="J15" s="1118">
        <f t="shared" si="6"/>
        <v>2910.6</v>
      </c>
      <c r="K15" s="149">
        <f t="shared" si="7"/>
        <v>3927.0000000000005</v>
      </c>
      <c r="L15" s="138">
        <f t="shared" si="8"/>
        <v>25.200000000000003</v>
      </c>
      <c r="N15" s="1118">
        <f t="shared" si="9"/>
        <v>16102.800000000001</v>
      </c>
      <c r="O15" s="1118">
        <f t="shared" si="10"/>
        <v>264742.8</v>
      </c>
    </row>
    <row r="16" spans="1:15" x14ac:dyDescent="0.35">
      <c r="A16" s="144" t="s">
        <v>773</v>
      </c>
      <c r="B16" s="161">
        <v>3</v>
      </c>
      <c r="C16" s="142">
        <v>64000</v>
      </c>
      <c r="D16" s="142">
        <f t="shared" si="0"/>
        <v>89000</v>
      </c>
      <c r="E16" s="143">
        <f t="shared" si="1"/>
        <v>69000</v>
      </c>
      <c r="F16" s="143">
        <f t="shared" si="2"/>
        <v>207000</v>
      </c>
      <c r="G16" s="138">
        <f t="shared" si="3"/>
        <v>17640</v>
      </c>
      <c r="H16" s="1118">
        <f t="shared" si="4"/>
        <v>5278.5</v>
      </c>
      <c r="I16" s="1118">
        <f t="shared" si="5"/>
        <v>3001.5</v>
      </c>
      <c r="J16" s="1118">
        <f t="shared" si="6"/>
        <v>2608.1999999999998</v>
      </c>
      <c r="K16" s="149">
        <f t="shared" si="7"/>
        <v>3519.0000000000005</v>
      </c>
      <c r="L16" s="138">
        <f t="shared" si="8"/>
        <v>25.200000000000003</v>
      </c>
      <c r="N16" s="1118">
        <f t="shared" si="9"/>
        <v>14432.400000000001</v>
      </c>
      <c r="O16" s="1118">
        <f t="shared" si="10"/>
        <v>239072.4</v>
      </c>
    </row>
    <row r="17" spans="1:15" x14ac:dyDescent="0.35">
      <c r="A17" s="140" t="s">
        <v>774</v>
      </c>
      <c r="B17" s="141">
        <v>5</v>
      </c>
      <c r="C17" s="142">
        <v>72000</v>
      </c>
      <c r="D17" s="142">
        <f t="shared" si="0"/>
        <v>97000</v>
      </c>
      <c r="E17" s="143">
        <f t="shared" si="1"/>
        <v>77000</v>
      </c>
      <c r="F17" s="143">
        <f t="shared" si="2"/>
        <v>385000</v>
      </c>
      <c r="G17" s="138">
        <f t="shared" si="3"/>
        <v>29400</v>
      </c>
      <c r="H17" s="1118">
        <f t="shared" si="4"/>
        <v>9817.5</v>
      </c>
      <c r="I17" s="1118">
        <f t="shared" si="5"/>
        <v>5582.5</v>
      </c>
      <c r="J17" s="1118">
        <f t="shared" si="6"/>
        <v>4851</v>
      </c>
      <c r="K17" s="149">
        <f t="shared" si="7"/>
        <v>6545.0000000000009</v>
      </c>
      <c r="L17" s="138">
        <f t="shared" si="8"/>
        <v>42</v>
      </c>
      <c r="N17" s="1118">
        <f t="shared" si="9"/>
        <v>26838</v>
      </c>
      <c r="O17" s="1118">
        <f t="shared" si="10"/>
        <v>441238</v>
      </c>
    </row>
    <row r="18" spans="1:15" x14ac:dyDescent="0.35">
      <c r="A18" s="176" t="s">
        <v>775</v>
      </c>
      <c r="B18" s="141">
        <v>1</v>
      </c>
      <c r="C18" s="142">
        <v>68000</v>
      </c>
      <c r="D18" s="142">
        <f t="shared" si="0"/>
        <v>93000</v>
      </c>
      <c r="E18" s="143">
        <f t="shared" si="1"/>
        <v>73000</v>
      </c>
      <c r="F18" s="177">
        <v>85000</v>
      </c>
      <c r="G18" s="138">
        <f t="shared" si="3"/>
        <v>5880</v>
      </c>
      <c r="H18" s="1118">
        <f t="shared" si="4"/>
        <v>2167.5</v>
      </c>
      <c r="I18" s="1118">
        <f t="shared" si="5"/>
        <v>1232.5</v>
      </c>
      <c r="J18" s="1118">
        <f t="shared" si="6"/>
        <v>1071</v>
      </c>
      <c r="K18" s="149">
        <f t="shared" si="7"/>
        <v>1445</v>
      </c>
      <c r="L18" s="138">
        <f t="shared" si="8"/>
        <v>8.4</v>
      </c>
      <c r="N18" s="1118">
        <f t="shared" si="9"/>
        <v>5924.4</v>
      </c>
      <c r="O18" s="1118">
        <f t="shared" si="10"/>
        <v>96804.4</v>
      </c>
    </row>
    <row r="19" spans="1:15" x14ac:dyDescent="0.35">
      <c r="A19" s="176" t="s">
        <v>776</v>
      </c>
      <c r="B19" s="141">
        <v>3</v>
      </c>
      <c r="C19" s="142">
        <v>68000</v>
      </c>
      <c r="D19" s="142">
        <f t="shared" si="0"/>
        <v>93000</v>
      </c>
      <c r="E19" s="143">
        <f t="shared" si="1"/>
        <v>73000</v>
      </c>
      <c r="F19" s="143">
        <f t="shared" si="2"/>
        <v>219000</v>
      </c>
      <c r="G19" s="138">
        <f t="shared" si="3"/>
        <v>17640</v>
      </c>
      <c r="H19" s="1118">
        <f t="shared" si="4"/>
        <v>5584.5</v>
      </c>
      <c r="I19" s="1118">
        <f t="shared" si="5"/>
        <v>3175.5</v>
      </c>
      <c r="J19" s="1118">
        <f t="shared" si="6"/>
        <v>2759.4</v>
      </c>
      <c r="K19" s="149">
        <f t="shared" si="7"/>
        <v>3723.0000000000005</v>
      </c>
      <c r="L19" s="138">
        <f t="shared" si="8"/>
        <v>25.200000000000003</v>
      </c>
      <c r="N19" s="1118">
        <f t="shared" si="9"/>
        <v>15267.6</v>
      </c>
      <c r="O19" s="1118">
        <f t="shared" si="10"/>
        <v>251907.6</v>
      </c>
    </row>
    <row r="20" spans="1:15" x14ac:dyDescent="0.35">
      <c r="A20" s="140" t="s">
        <v>777</v>
      </c>
      <c r="B20" s="141">
        <v>3</v>
      </c>
      <c r="C20" s="142">
        <v>68000</v>
      </c>
      <c r="D20" s="142">
        <f t="shared" si="0"/>
        <v>93000</v>
      </c>
      <c r="E20" s="143">
        <f t="shared" si="1"/>
        <v>73000</v>
      </c>
      <c r="F20" s="143">
        <f t="shared" si="2"/>
        <v>219000</v>
      </c>
      <c r="G20" s="138">
        <f t="shared" si="3"/>
        <v>17640</v>
      </c>
      <c r="H20" s="1118">
        <f t="shared" si="4"/>
        <v>5584.5</v>
      </c>
      <c r="I20" s="1118">
        <f t="shared" si="5"/>
        <v>3175.5</v>
      </c>
      <c r="J20" s="1118">
        <f t="shared" si="6"/>
        <v>2759.4</v>
      </c>
      <c r="K20" s="149">
        <f t="shared" si="7"/>
        <v>3723.0000000000005</v>
      </c>
      <c r="L20" s="138">
        <f t="shared" si="8"/>
        <v>25.200000000000003</v>
      </c>
      <c r="N20" s="1118">
        <f t="shared" si="9"/>
        <v>15267.6</v>
      </c>
      <c r="O20" s="1118">
        <f t="shared" si="10"/>
        <v>251907.6</v>
      </c>
    </row>
    <row r="21" spans="1:15" x14ac:dyDescent="0.35">
      <c r="A21" s="178" t="s">
        <v>778</v>
      </c>
      <c r="B21" s="141">
        <v>1</v>
      </c>
      <c r="C21" s="142">
        <v>72000</v>
      </c>
      <c r="D21" s="142">
        <f t="shared" si="0"/>
        <v>97000</v>
      </c>
      <c r="E21" s="143">
        <f t="shared" si="1"/>
        <v>77000</v>
      </c>
      <c r="F21" s="177">
        <v>89000</v>
      </c>
      <c r="G21" s="138">
        <f t="shared" si="3"/>
        <v>5880</v>
      </c>
      <c r="H21" s="1118">
        <f t="shared" si="4"/>
        <v>2269.5</v>
      </c>
      <c r="I21" s="1118">
        <f t="shared" si="5"/>
        <v>1290.5</v>
      </c>
      <c r="J21" s="1118">
        <f t="shared" si="6"/>
        <v>1121.4000000000001</v>
      </c>
      <c r="K21" s="149">
        <f t="shared" si="7"/>
        <v>1513</v>
      </c>
      <c r="L21" s="138">
        <f t="shared" si="8"/>
        <v>8.4</v>
      </c>
      <c r="N21" s="1118">
        <f t="shared" si="9"/>
        <v>6202.7999999999993</v>
      </c>
      <c r="O21" s="1118">
        <f t="shared" si="10"/>
        <v>101082.8</v>
      </c>
    </row>
    <row r="22" spans="1:15" x14ac:dyDescent="0.35">
      <c r="A22" s="178" t="s">
        <v>779</v>
      </c>
      <c r="B22" s="141">
        <v>2</v>
      </c>
      <c r="C22" s="142">
        <v>72000</v>
      </c>
      <c r="D22" s="142">
        <f t="shared" ref="D22" si="11">C22+25000</f>
        <v>97000</v>
      </c>
      <c r="E22" s="143">
        <f t="shared" ref="E22" si="12">C22+5000</f>
        <v>77000</v>
      </c>
      <c r="F22" s="143">
        <f t="shared" si="2"/>
        <v>154000</v>
      </c>
      <c r="G22" s="138">
        <f t="shared" si="3"/>
        <v>11760</v>
      </c>
      <c r="H22" s="1118">
        <f t="shared" si="4"/>
        <v>3926.9999999999995</v>
      </c>
      <c r="I22" s="1118">
        <f t="shared" si="5"/>
        <v>2233</v>
      </c>
      <c r="J22" s="1118">
        <f t="shared" si="6"/>
        <v>1940.4</v>
      </c>
      <c r="K22" s="149">
        <f t="shared" si="7"/>
        <v>2618</v>
      </c>
      <c r="L22" s="138">
        <f t="shared" si="8"/>
        <v>16.8</v>
      </c>
      <c r="N22" s="1118">
        <f t="shared" si="9"/>
        <v>10735.199999999999</v>
      </c>
      <c r="O22" s="1118">
        <f t="shared" si="10"/>
        <v>176495.2</v>
      </c>
    </row>
    <row r="23" spans="1:15" x14ac:dyDescent="0.35">
      <c r="A23" s="144" t="s">
        <v>780</v>
      </c>
      <c r="B23" s="161">
        <v>2</v>
      </c>
      <c r="C23" s="142">
        <v>64000</v>
      </c>
      <c r="D23" s="142">
        <f t="shared" si="0"/>
        <v>89000</v>
      </c>
      <c r="E23" s="143">
        <f t="shared" si="1"/>
        <v>69000</v>
      </c>
      <c r="F23" s="143">
        <f t="shared" si="2"/>
        <v>138000</v>
      </c>
      <c r="G23" s="138">
        <f t="shared" si="3"/>
        <v>11760</v>
      </c>
      <c r="H23" s="1118">
        <f t="shared" si="4"/>
        <v>3519</v>
      </c>
      <c r="I23" s="1118">
        <f t="shared" si="5"/>
        <v>2001</v>
      </c>
      <c r="J23" s="1118">
        <f t="shared" si="6"/>
        <v>1738.8</v>
      </c>
      <c r="K23" s="149">
        <f t="shared" si="7"/>
        <v>2346</v>
      </c>
      <c r="L23" s="138">
        <f t="shared" si="8"/>
        <v>16.8</v>
      </c>
      <c r="N23" s="1118">
        <f t="shared" si="9"/>
        <v>9621.5999999999985</v>
      </c>
      <c r="O23" s="1118">
        <f t="shared" si="10"/>
        <v>159381.6</v>
      </c>
    </row>
    <row r="24" spans="1:15" x14ac:dyDescent="0.35">
      <c r="A24" s="140" t="s">
        <v>751</v>
      </c>
      <c r="B24" s="141">
        <v>7</v>
      </c>
      <c r="C24" s="142">
        <v>60000</v>
      </c>
      <c r="D24" s="142">
        <f t="shared" si="0"/>
        <v>85000</v>
      </c>
      <c r="E24" s="143">
        <f t="shared" si="1"/>
        <v>65000</v>
      </c>
      <c r="F24" s="143">
        <f t="shared" si="2"/>
        <v>455000</v>
      </c>
      <c r="G24" s="138">
        <f t="shared" si="3"/>
        <v>41160</v>
      </c>
      <c r="H24" s="1118">
        <f t="shared" si="4"/>
        <v>11602.5</v>
      </c>
      <c r="I24" s="1118">
        <f t="shared" si="5"/>
        <v>6597.5</v>
      </c>
      <c r="J24" s="1118">
        <f t="shared" si="6"/>
        <v>5733</v>
      </c>
      <c r="K24" s="149">
        <f t="shared" si="7"/>
        <v>7735.0000000000009</v>
      </c>
      <c r="L24" s="138">
        <f t="shared" si="8"/>
        <v>58.800000000000004</v>
      </c>
      <c r="N24" s="1118">
        <f t="shared" si="9"/>
        <v>31726.799999999999</v>
      </c>
      <c r="O24" s="1118">
        <f t="shared" si="10"/>
        <v>527886.80000000005</v>
      </c>
    </row>
    <row r="25" spans="1:15" x14ac:dyDescent="0.35">
      <c r="A25" s="140" t="s">
        <v>781</v>
      </c>
      <c r="B25" s="141">
        <v>2</v>
      </c>
      <c r="C25" s="142">
        <v>70000</v>
      </c>
      <c r="D25" s="142">
        <f t="shared" si="0"/>
        <v>95000</v>
      </c>
      <c r="E25" s="143">
        <f t="shared" si="1"/>
        <v>75000</v>
      </c>
      <c r="F25" s="143">
        <f t="shared" si="2"/>
        <v>150000</v>
      </c>
      <c r="G25" s="138">
        <f t="shared" si="3"/>
        <v>11760</v>
      </c>
      <c r="H25" s="1118">
        <f t="shared" si="4"/>
        <v>3824.9999999999995</v>
      </c>
      <c r="I25" s="1118">
        <f t="shared" si="5"/>
        <v>2175</v>
      </c>
      <c r="J25" s="1118">
        <f t="shared" si="6"/>
        <v>1890</v>
      </c>
      <c r="K25" s="149">
        <f t="shared" si="7"/>
        <v>2550</v>
      </c>
      <c r="L25" s="138">
        <f t="shared" si="8"/>
        <v>16.8</v>
      </c>
      <c r="N25" s="1118">
        <f t="shared" si="9"/>
        <v>10456.799999999999</v>
      </c>
      <c r="O25" s="1118">
        <f t="shared" si="10"/>
        <v>172216.8</v>
      </c>
    </row>
    <row r="26" spans="1:15" x14ac:dyDescent="0.35">
      <c r="A26" s="140" t="s">
        <v>782</v>
      </c>
      <c r="B26" s="141">
        <v>3</v>
      </c>
      <c r="C26" s="142">
        <v>70000</v>
      </c>
      <c r="D26" s="142">
        <f t="shared" si="0"/>
        <v>95000</v>
      </c>
      <c r="E26" s="143">
        <f t="shared" si="1"/>
        <v>75000</v>
      </c>
      <c r="F26" s="143">
        <f t="shared" si="2"/>
        <v>225000</v>
      </c>
      <c r="G26" s="138">
        <f t="shared" si="3"/>
        <v>17640</v>
      </c>
      <c r="H26" s="1118">
        <f t="shared" si="4"/>
        <v>5737.5</v>
      </c>
      <c r="I26" s="1118">
        <f t="shared" si="5"/>
        <v>3262.5</v>
      </c>
      <c r="J26" s="1118">
        <f t="shared" si="6"/>
        <v>2835</v>
      </c>
      <c r="K26" s="149">
        <f t="shared" si="7"/>
        <v>3825.0000000000005</v>
      </c>
      <c r="L26" s="138">
        <f t="shared" si="8"/>
        <v>25.200000000000003</v>
      </c>
      <c r="N26" s="1118">
        <f t="shared" si="9"/>
        <v>15685.2</v>
      </c>
      <c r="O26" s="1118">
        <f t="shared" si="10"/>
        <v>258325.2</v>
      </c>
    </row>
    <row r="27" spans="1:15" x14ac:dyDescent="0.35">
      <c r="A27" s="140" t="s">
        <v>753</v>
      </c>
      <c r="B27" s="141">
        <v>18</v>
      </c>
      <c r="C27" s="142">
        <v>53000</v>
      </c>
      <c r="D27" s="142">
        <f t="shared" si="0"/>
        <v>78000</v>
      </c>
      <c r="E27" s="143">
        <v>55000</v>
      </c>
      <c r="F27" s="143">
        <f t="shared" si="2"/>
        <v>990000</v>
      </c>
      <c r="G27" s="138">
        <f t="shared" si="3"/>
        <v>105840</v>
      </c>
      <c r="H27" s="1118">
        <f t="shared" si="4"/>
        <v>25245</v>
      </c>
      <c r="I27" s="1118">
        <f t="shared" si="5"/>
        <v>14355</v>
      </c>
      <c r="J27" s="1118">
        <f t="shared" si="6"/>
        <v>12474</v>
      </c>
      <c r="K27" s="149">
        <f t="shared" si="7"/>
        <v>16830</v>
      </c>
      <c r="L27" s="138">
        <f t="shared" si="8"/>
        <v>151.20000000000002</v>
      </c>
      <c r="N27" s="1118">
        <f t="shared" si="9"/>
        <v>69055.199999999997</v>
      </c>
      <c r="O27" s="1118">
        <f t="shared" si="10"/>
        <v>1164895.2</v>
      </c>
    </row>
    <row r="28" spans="1:15" x14ac:dyDescent="0.35">
      <c r="A28" s="140" t="s">
        <v>664</v>
      </c>
      <c r="B28" s="141">
        <v>8</v>
      </c>
      <c r="C28" s="142">
        <v>63000</v>
      </c>
      <c r="D28" s="142">
        <f t="shared" si="0"/>
        <v>88000</v>
      </c>
      <c r="E28" s="143">
        <v>63000</v>
      </c>
      <c r="F28" s="143">
        <f t="shared" si="2"/>
        <v>504000</v>
      </c>
      <c r="G28" s="138">
        <f t="shared" si="3"/>
        <v>47040</v>
      </c>
      <c r="H28" s="1118">
        <f t="shared" si="4"/>
        <v>12852</v>
      </c>
      <c r="I28" s="1118">
        <f t="shared" si="5"/>
        <v>7308</v>
      </c>
      <c r="J28" s="1118">
        <f t="shared" si="6"/>
        <v>6350.4</v>
      </c>
      <c r="K28" s="149">
        <f t="shared" si="7"/>
        <v>8568</v>
      </c>
      <c r="L28" s="138">
        <f t="shared" si="8"/>
        <v>67.2</v>
      </c>
      <c r="N28" s="1118">
        <f t="shared" si="9"/>
        <v>35145.599999999999</v>
      </c>
      <c r="O28" s="1118">
        <f t="shared" si="10"/>
        <v>586185.6</v>
      </c>
    </row>
    <row r="29" spans="1:15" x14ac:dyDescent="0.35">
      <c r="B29" s="147"/>
      <c r="F29" s="174"/>
    </row>
    <row r="30" spans="1:15" ht="15.5" x14ac:dyDescent="0.35">
      <c r="B30" s="147">
        <f>SUM(B4:B29)</f>
        <v>91</v>
      </c>
      <c r="F30" s="148">
        <f>SUM(F4:F29)</f>
        <v>6313000</v>
      </c>
      <c r="G30" s="138">
        <f>SUM(G4:G28)</f>
        <v>535080</v>
      </c>
      <c r="H30" s="138">
        <f t="shared" ref="H30:O30" si="13">SUM(H4:H28)</f>
        <v>160981.5</v>
      </c>
      <c r="I30" s="138">
        <f t="shared" si="13"/>
        <v>91538.5</v>
      </c>
      <c r="J30" s="138">
        <f t="shared" si="13"/>
        <v>79543.8</v>
      </c>
      <c r="K30" s="138">
        <f t="shared" si="13"/>
        <v>107321</v>
      </c>
      <c r="L30" s="138">
        <f t="shared" si="13"/>
        <v>764.40000000000009</v>
      </c>
      <c r="M30" s="138">
        <f t="shared" si="13"/>
        <v>0</v>
      </c>
      <c r="N30" s="138">
        <f t="shared" si="13"/>
        <v>440149.19999999995</v>
      </c>
      <c r="O30" s="138">
        <f t="shared" si="13"/>
        <v>7288229.1999999993</v>
      </c>
    </row>
    <row r="31" spans="1:15" x14ac:dyDescent="0.35">
      <c r="B31" s="147"/>
    </row>
    <row r="32" spans="1:15" x14ac:dyDescent="0.35">
      <c r="A32" s="140" t="s">
        <v>665</v>
      </c>
      <c r="B32" s="141">
        <v>4</v>
      </c>
      <c r="C32" s="142">
        <v>70000</v>
      </c>
      <c r="D32" s="142">
        <f>C32+25000</f>
        <v>95000</v>
      </c>
      <c r="E32" s="143">
        <f>C32+5000</f>
        <v>75000</v>
      </c>
      <c r="F32" s="143">
        <f>B32*E32</f>
        <v>300000</v>
      </c>
      <c r="G32" s="138">
        <f t="shared" ref="G32:G34" si="14">+$G$3*B32</f>
        <v>23520</v>
      </c>
      <c r="H32" s="1118">
        <f t="shared" ref="H32:H34" si="15">+$H$3*F32</f>
        <v>7649.9999999999991</v>
      </c>
      <c r="I32" s="1118">
        <f t="shared" ref="I32:I34" si="16">+$I$3*F32</f>
        <v>4350</v>
      </c>
      <c r="J32" s="1118">
        <f t="shared" ref="J32:J34" si="17">+$J$3*F32</f>
        <v>3780</v>
      </c>
      <c r="K32" s="149">
        <f t="shared" ref="K32:K34" si="18">+$K$3*F32</f>
        <v>5100</v>
      </c>
      <c r="L32" s="138">
        <f t="shared" ref="L32:L34" si="19">+$L$3*B32</f>
        <v>33.6</v>
      </c>
      <c r="N32" s="1118">
        <f t="shared" ref="N32:N34" si="20">SUM(H32:L32)</f>
        <v>20913.599999999999</v>
      </c>
      <c r="O32" s="1118">
        <f t="shared" ref="O32:O34" si="21">+F32+G32+N32</f>
        <v>344433.6</v>
      </c>
    </row>
    <row r="33" spans="1:15" x14ac:dyDescent="0.35">
      <c r="A33" s="140" t="s">
        <v>783</v>
      </c>
      <c r="B33" s="141">
        <v>2</v>
      </c>
      <c r="C33" s="142">
        <v>50000</v>
      </c>
      <c r="D33" s="142">
        <f>C33+25000</f>
        <v>75000</v>
      </c>
      <c r="E33" s="143">
        <f>C33+5000</f>
        <v>55000</v>
      </c>
      <c r="F33" s="143">
        <f>B33*E33</f>
        <v>110000</v>
      </c>
      <c r="G33" s="138">
        <f t="shared" si="14"/>
        <v>11760</v>
      </c>
      <c r="H33" s="1118">
        <f t="shared" si="15"/>
        <v>2805</v>
      </c>
      <c r="I33" s="1118">
        <f t="shared" si="16"/>
        <v>1595</v>
      </c>
      <c r="J33" s="1118">
        <f t="shared" si="17"/>
        <v>1386</v>
      </c>
      <c r="K33" s="149">
        <f t="shared" si="18"/>
        <v>1870.0000000000002</v>
      </c>
      <c r="L33" s="138">
        <f t="shared" si="19"/>
        <v>16.8</v>
      </c>
      <c r="N33" s="1118">
        <f t="shared" si="20"/>
        <v>7672.8</v>
      </c>
      <c r="O33" s="1118">
        <f t="shared" si="21"/>
        <v>129432.8</v>
      </c>
    </row>
    <row r="34" spans="1:15" x14ac:dyDescent="0.35">
      <c r="A34" s="140" t="s">
        <v>784</v>
      </c>
      <c r="B34" s="141">
        <v>1</v>
      </c>
      <c r="C34" s="142">
        <v>42000</v>
      </c>
      <c r="D34" s="142">
        <f>C34+25000</f>
        <v>67000</v>
      </c>
      <c r="E34" s="143">
        <f>C34+5000</f>
        <v>47000</v>
      </c>
      <c r="F34" s="143">
        <f>B34*E34</f>
        <v>47000</v>
      </c>
      <c r="G34" s="138">
        <f t="shared" si="14"/>
        <v>5880</v>
      </c>
      <c r="H34" s="1118">
        <f t="shared" si="15"/>
        <v>1198.5</v>
      </c>
      <c r="I34" s="1118">
        <f t="shared" si="16"/>
        <v>681.5</v>
      </c>
      <c r="J34" s="1118">
        <f t="shared" si="17"/>
        <v>592.20000000000005</v>
      </c>
      <c r="K34" s="149">
        <f t="shared" si="18"/>
        <v>799.00000000000011</v>
      </c>
      <c r="L34" s="138">
        <f t="shared" si="19"/>
        <v>8.4</v>
      </c>
      <c r="N34" s="1118">
        <f t="shared" si="20"/>
        <v>3279.6</v>
      </c>
      <c r="O34" s="1118">
        <f t="shared" si="21"/>
        <v>56159.6</v>
      </c>
    </row>
    <row r="35" spans="1:15" x14ac:dyDescent="0.35">
      <c r="B35" s="147"/>
      <c r="G35" s="138">
        <f>SUM(G32:G34)</f>
        <v>41160</v>
      </c>
      <c r="H35" s="138">
        <f t="shared" ref="H35:O35" si="22">SUM(H32:H34)</f>
        <v>11653.5</v>
      </c>
      <c r="I35" s="138">
        <f t="shared" si="22"/>
        <v>6626.5</v>
      </c>
      <c r="J35" s="138">
        <f t="shared" si="22"/>
        <v>5758.2</v>
      </c>
      <c r="K35" s="138">
        <f t="shared" si="22"/>
        <v>7769</v>
      </c>
      <c r="L35" s="138">
        <f t="shared" si="22"/>
        <v>58.800000000000004</v>
      </c>
      <c r="M35" s="138">
        <f t="shared" si="22"/>
        <v>0</v>
      </c>
      <c r="N35" s="138">
        <f t="shared" si="22"/>
        <v>31865.999999999996</v>
      </c>
      <c r="O35" s="138">
        <f t="shared" si="22"/>
        <v>530026</v>
      </c>
    </row>
    <row r="36" spans="1:15" ht="15.5" x14ac:dyDescent="0.35">
      <c r="B36" s="147">
        <f>SUM(B32:B35)</f>
        <v>7</v>
      </c>
      <c r="F36" s="148">
        <f>SUM(F32:F35)</f>
        <v>457000</v>
      </c>
    </row>
    <row r="37" spans="1:15" x14ac:dyDescent="0.35">
      <c r="B37" s="147"/>
    </row>
    <row r="38" spans="1:15" x14ac:dyDescent="0.35">
      <c r="B38" s="147"/>
    </row>
    <row r="39" spans="1:15" x14ac:dyDescent="0.35">
      <c r="A39" s="140" t="s">
        <v>666</v>
      </c>
      <c r="B39" s="141">
        <v>1</v>
      </c>
      <c r="C39" s="143">
        <v>140000</v>
      </c>
      <c r="F39" s="162">
        <f t="shared" ref="F39:F47" si="23">B39*C39</f>
        <v>140000</v>
      </c>
      <c r="G39" s="138">
        <f t="shared" ref="G39:G47" si="24">+$G$3*B39</f>
        <v>5880</v>
      </c>
      <c r="H39" s="1118">
        <f t="shared" ref="H39:H47" si="25">+$H$3*F39</f>
        <v>3569.9999999999995</v>
      </c>
      <c r="I39" s="1118">
        <f t="shared" ref="I39:I47" si="26">+$I$3*F39</f>
        <v>2030</v>
      </c>
      <c r="J39" s="1118">
        <f t="shared" ref="J39:J47" si="27">+$J$3*F39</f>
        <v>1764</v>
      </c>
      <c r="K39" s="149">
        <f t="shared" ref="K39:K47" si="28">+$K$3*F39</f>
        <v>2380</v>
      </c>
      <c r="L39" s="138">
        <f t="shared" ref="L39:L47" si="29">+$L$3*B39</f>
        <v>8.4</v>
      </c>
      <c r="N39" s="1118">
        <f t="shared" ref="N39:N47" si="30">SUM(H39:L39)</f>
        <v>9752.4</v>
      </c>
      <c r="O39" s="1118">
        <f t="shared" ref="O39:O47" si="31">+F39+G39+N39</f>
        <v>155632.4</v>
      </c>
    </row>
    <row r="40" spans="1:15" x14ac:dyDescent="0.35">
      <c r="A40" s="140" t="s">
        <v>755</v>
      </c>
      <c r="B40" s="141">
        <v>3</v>
      </c>
      <c r="C40" s="143">
        <v>90000</v>
      </c>
      <c r="F40" s="162">
        <f t="shared" si="23"/>
        <v>270000</v>
      </c>
      <c r="G40" s="138">
        <f t="shared" si="24"/>
        <v>17640</v>
      </c>
      <c r="H40" s="1118">
        <f t="shared" si="25"/>
        <v>6885</v>
      </c>
      <c r="I40" s="1118">
        <f t="shared" si="26"/>
        <v>3915</v>
      </c>
      <c r="J40" s="1118">
        <f t="shared" si="27"/>
        <v>3402</v>
      </c>
      <c r="K40" s="149">
        <f t="shared" si="28"/>
        <v>4590</v>
      </c>
      <c r="L40" s="138">
        <f t="shared" si="29"/>
        <v>25.200000000000003</v>
      </c>
      <c r="N40" s="1118">
        <f t="shared" si="30"/>
        <v>18817.2</v>
      </c>
      <c r="O40" s="1118">
        <f t="shared" si="31"/>
        <v>306457.2</v>
      </c>
    </row>
    <row r="41" spans="1:15" x14ac:dyDescent="0.35">
      <c r="A41" s="140" t="s">
        <v>755</v>
      </c>
      <c r="B41" s="141">
        <v>4</v>
      </c>
      <c r="C41" s="143">
        <v>85000</v>
      </c>
      <c r="F41" s="162">
        <f t="shared" si="23"/>
        <v>340000</v>
      </c>
      <c r="G41" s="138">
        <f t="shared" si="24"/>
        <v>23520</v>
      </c>
      <c r="H41" s="1118">
        <f t="shared" si="25"/>
        <v>8670</v>
      </c>
      <c r="I41" s="1118">
        <f t="shared" si="26"/>
        <v>4930</v>
      </c>
      <c r="J41" s="1118">
        <f t="shared" si="27"/>
        <v>4284</v>
      </c>
      <c r="K41" s="149">
        <f t="shared" si="28"/>
        <v>5780</v>
      </c>
      <c r="L41" s="138">
        <f t="shared" si="29"/>
        <v>33.6</v>
      </c>
      <c r="N41" s="1118">
        <f t="shared" si="30"/>
        <v>23697.599999999999</v>
      </c>
      <c r="O41" s="1118">
        <f t="shared" si="31"/>
        <v>387217.6</v>
      </c>
    </row>
    <row r="42" spans="1:15" x14ac:dyDescent="0.35">
      <c r="A42" s="140" t="s">
        <v>785</v>
      </c>
      <c r="B42" s="141">
        <v>2</v>
      </c>
      <c r="C42" s="143">
        <v>65000</v>
      </c>
      <c r="F42" s="162">
        <f t="shared" si="23"/>
        <v>130000</v>
      </c>
      <c r="G42" s="138">
        <f t="shared" si="24"/>
        <v>11760</v>
      </c>
      <c r="H42" s="1118">
        <f t="shared" si="25"/>
        <v>3315</v>
      </c>
      <c r="I42" s="1118">
        <f t="shared" si="26"/>
        <v>1885</v>
      </c>
      <c r="J42" s="1118">
        <f t="shared" si="27"/>
        <v>1638</v>
      </c>
      <c r="K42" s="149">
        <f t="shared" si="28"/>
        <v>2210</v>
      </c>
      <c r="L42" s="138">
        <f t="shared" si="29"/>
        <v>16.8</v>
      </c>
      <c r="N42" s="1118">
        <f t="shared" si="30"/>
        <v>9064.7999999999993</v>
      </c>
      <c r="O42" s="1118">
        <f t="shared" si="31"/>
        <v>150824.79999999999</v>
      </c>
    </row>
    <row r="43" spans="1:15" x14ac:dyDescent="0.35">
      <c r="A43" s="140" t="s">
        <v>786</v>
      </c>
      <c r="B43" s="141">
        <v>1</v>
      </c>
      <c r="C43" s="143">
        <v>65000</v>
      </c>
      <c r="F43" s="162">
        <f t="shared" si="23"/>
        <v>65000</v>
      </c>
      <c r="G43" s="138">
        <f t="shared" si="24"/>
        <v>5880</v>
      </c>
      <c r="H43" s="1118">
        <f t="shared" si="25"/>
        <v>1657.5</v>
      </c>
      <c r="I43" s="1118">
        <f t="shared" si="26"/>
        <v>942.5</v>
      </c>
      <c r="J43" s="1118">
        <f t="shared" si="27"/>
        <v>819</v>
      </c>
      <c r="K43" s="149">
        <f t="shared" si="28"/>
        <v>1105</v>
      </c>
      <c r="L43" s="138">
        <f t="shared" si="29"/>
        <v>8.4</v>
      </c>
      <c r="N43" s="1118">
        <f t="shared" si="30"/>
        <v>4532.3999999999996</v>
      </c>
      <c r="O43" s="1118">
        <f t="shared" si="31"/>
        <v>75412.399999999994</v>
      </c>
    </row>
    <row r="44" spans="1:15" x14ac:dyDescent="0.35">
      <c r="A44" s="140" t="s">
        <v>787</v>
      </c>
      <c r="B44" s="141">
        <v>1</v>
      </c>
      <c r="C44" s="143">
        <v>60000</v>
      </c>
      <c r="F44" s="162">
        <f t="shared" si="23"/>
        <v>60000</v>
      </c>
      <c r="G44" s="138">
        <f t="shared" si="24"/>
        <v>5880</v>
      </c>
      <c r="H44" s="1118">
        <f t="shared" si="25"/>
        <v>1530</v>
      </c>
      <c r="I44" s="1118">
        <f t="shared" si="26"/>
        <v>870</v>
      </c>
      <c r="J44" s="1118">
        <f t="shared" si="27"/>
        <v>756</v>
      </c>
      <c r="K44" s="149">
        <f t="shared" si="28"/>
        <v>1020.0000000000001</v>
      </c>
      <c r="L44" s="138">
        <f t="shared" si="29"/>
        <v>8.4</v>
      </c>
      <c r="N44" s="1118">
        <f t="shared" si="30"/>
        <v>4184.3999999999996</v>
      </c>
      <c r="O44" s="1118">
        <f t="shared" si="31"/>
        <v>70064.399999999994</v>
      </c>
    </row>
    <row r="45" spans="1:15" x14ac:dyDescent="0.35">
      <c r="A45" s="1165" t="s">
        <v>788</v>
      </c>
      <c r="B45" s="731">
        <v>1</v>
      </c>
      <c r="C45" s="177">
        <v>82000</v>
      </c>
      <c r="F45" s="162">
        <f t="shared" si="23"/>
        <v>82000</v>
      </c>
      <c r="G45" s="138">
        <f t="shared" si="24"/>
        <v>5880</v>
      </c>
      <c r="H45" s="1118">
        <f t="shared" si="25"/>
        <v>2091</v>
      </c>
      <c r="I45" s="1118">
        <f t="shared" si="26"/>
        <v>1189</v>
      </c>
      <c r="J45" s="1118">
        <f t="shared" si="27"/>
        <v>1033.2</v>
      </c>
      <c r="K45" s="149">
        <f t="shared" si="28"/>
        <v>1394</v>
      </c>
      <c r="L45" s="138">
        <f t="shared" si="29"/>
        <v>8.4</v>
      </c>
      <c r="N45" s="1118">
        <f t="shared" si="30"/>
        <v>5715.5999999999995</v>
      </c>
      <c r="O45" s="1118">
        <f t="shared" si="31"/>
        <v>93595.6</v>
      </c>
    </row>
    <row r="46" spans="1:15" x14ac:dyDescent="0.35">
      <c r="A46" s="140" t="s">
        <v>757</v>
      </c>
      <c r="B46" s="141">
        <v>1</v>
      </c>
      <c r="C46" s="143">
        <v>55000</v>
      </c>
      <c r="F46" s="162">
        <f t="shared" si="23"/>
        <v>55000</v>
      </c>
      <c r="G46" s="138">
        <f t="shared" si="24"/>
        <v>5880</v>
      </c>
      <c r="H46" s="1118">
        <f t="shared" si="25"/>
        <v>1402.5</v>
      </c>
      <c r="I46" s="1118">
        <f t="shared" si="26"/>
        <v>797.5</v>
      </c>
      <c r="J46" s="1118">
        <f t="shared" si="27"/>
        <v>693</v>
      </c>
      <c r="K46" s="149">
        <f t="shared" si="28"/>
        <v>935.00000000000011</v>
      </c>
      <c r="L46" s="138">
        <f t="shared" si="29"/>
        <v>8.4</v>
      </c>
      <c r="N46" s="1118">
        <f t="shared" si="30"/>
        <v>3836.4</v>
      </c>
      <c r="O46" s="1118">
        <f t="shared" si="31"/>
        <v>64716.4</v>
      </c>
    </row>
    <row r="47" spans="1:15" x14ac:dyDescent="0.35">
      <c r="A47" s="140" t="s">
        <v>758</v>
      </c>
      <c r="B47" s="141">
        <v>3</v>
      </c>
      <c r="C47" s="143">
        <v>35000</v>
      </c>
      <c r="F47" s="162">
        <f t="shared" si="23"/>
        <v>105000</v>
      </c>
      <c r="G47" s="138">
        <f t="shared" si="24"/>
        <v>17640</v>
      </c>
      <c r="H47" s="1118">
        <f t="shared" si="25"/>
        <v>2677.5</v>
      </c>
      <c r="I47" s="1118">
        <f t="shared" si="26"/>
        <v>1522.5</v>
      </c>
      <c r="J47" s="1118">
        <f t="shared" si="27"/>
        <v>1323</v>
      </c>
      <c r="K47" s="149">
        <f t="shared" si="28"/>
        <v>1785.0000000000002</v>
      </c>
      <c r="L47" s="138">
        <f t="shared" si="29"/>
        <v>25.200000000000003</v>
      </c>
      <c r="N47" s="1118">
        <f t="shared" si="30"/>
        <v>7333.2</v>
      </c>
      <c r="O47" s="1118">
        <f t="shared" si="31"/>
        <v>129973.2</v>
      </c>
    </row>
    <row r="48" spans="1:15" x14ac:dyDescent="0.35">
      <c r="B48" s="147"/>
    </row>
    <row r="49" spans="2:15" ht="15.5" x14ac:dyDescent="0.35">
      <c r="B49" s="147">
        <f>SUM(B39:B48)</f>
        <v>17</v>
      </c>
      <c r="F49" s="148">
        <f>SUM(F39:F48)</f>
        <v>1247000</v>
      </c>
      <c r="G49" s="138">
        <f>SUM(G39:G48)</f>
        <v>99960</v>
      </c>
      <c r="H49" s="138">
        <f t="shared" ref="H49:O49" si="32">SUM(H39:H48)</f>
        <v>31798.5</v>
      </c>
      <c r="I49" s="138">
        <f t="shared" si="32"/>
        <v>18081.5</v>
      </c>
      <c r="J49" s="138">
        <f t="shared" si="32"/>
        <v>15712.2</v>
      </c>
      <c r="K49" s="138">
        <f t="shared" si="32"/>
        <v>21199</v>
      </c>
      <c r="L49" s="138">
        <f t="shared" si="32"/>
        <v>142.80000000000001</v>
      </c>
      <c r="M49" s="138">
        <f t="shared" si="32"/>
        <v>0</v>
      </c>
      <c r="N49" s="138">
        <f t="shared" si="32"/>
        <v>86933.999999999985</v>
      </c>
      <c r="O49" s="138">
        <f t="shared" si="32"/>
        <v>1433893.9999999998</v>
      </c>
    </row>
    <row r="50" spans="2:15" x14ac:dyDescent="0.35">
      <c r="B50" s="147"/>
    </row>
    <row r="51" spans="2:15" ht="18.5" x14ac:dyDescent="0.35">
      <c r="B51" s="179" t="s">
        <v>620</v>
      </c>
    </row>
    <row r="52" spans="2:15" x14ac:dyDescent="0.35">
      <c r="B52" s="147"/>
    </row>
    <row r="53" spans="2:15" ht="15.5" x14ac:dyDescent="0.35">
      <c r="B53" s="169">
        <f>B30+B36+B49</f>
        <v>115</v>
      </c>
      <c r="F53" s="175">
        <f>F30+F36+F49</f>
        <v>8017000</v>
      </c>
    </row>
  </sheetData>
  <mergeCells count="6"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  <pageSetup scale="77" orientation="portrait" r:id="rId1"/>
  <ignoredErrors>
    <ignoredError sqref="F5" formula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1D06-C112-49F2-BDF5-C065E73A4137}">
  <sheetPr>
    <tabColor theme="7" tint="0.79998168889431442"/>
  </sheetPr>
  <dimension ref="A1:N95"/>
  <sheetViews>
    <sheetView topLeftCell="B25" zoomScale="91" zoomScaleNormal="91" zoomScaleSheetLayoutView="104" workbookViewId="0">
      <selection activeCell="E27" sqref="E27"/>
    </sheetView>
  </sheetViews>
  <sheetFormatPr defaultColWidth="9" defaultRowHeight="14.5" x14ac:dyDescent="0.35"/>
  <cols>
    <col min="1" max="1" width="0" style="74" hidden="1" customWidth="1"/>
    <col min="2" max="2" width="32.1796875" style="74" bestFit="1" customWidth="1"/>
    <col min="3" max="3" width="48" style="74" bestFit="1" customWidth="1"/>
    <col min="4" max="4" width="15.54296875" style="111" customWidth="1"/>
    <col min="5" max="5" width="15.54296875" style="74" customWidth="1"/>
    <col min="6" max="9" width="15.54296875" style="74" hidden="1" customWidth="1"/>
    <col min="10" max="10" width="9" style="74"/>
    <col min="11" max="11" width="32.81640625" style="74" bestFit="1" customWidth="1"/>
    <col min="12" max="16384" width="9" style="74"/>
  </cols>
  <sheetData>
    <row r="1" spans="1:11" ht="31.9" customHeight="1" x14ac:dyDescent="0.35">
      <c r="B1" s="1285" t="s">
        <v>789</v>
      </c>
      <c r="C1" s="1285"/>
      <c r="D1" s="1285"/>
      <c r="E1" s="1285"/>
      <c r="F1" s="1285"/>
      <c r="G1" s="1285"/>
      <c r="H1" s="1285"/>
      <c r="I1" s="1285"/>
    </row>
    <row r="2" spans="1:11" ht="15.65" customHeight="1" x14ac:dyDescent="0.35">
      <c r="B2" s="137" t="s">
        <v>790</v>
      </c>
      <c r="C2" s="137"/>
      <c r="D2" s="137"/>
      <c r="E2" s="296" t="s">
        <v>535</v>
      </c>
      <c r="F2" s="137"/>
      <c r="G2" s="137"/>
      <c r="H2" s="137"/>
      <c r="I2" s="137"/>
    </row>
    <row r="3" spans="1:11" x14ac:dyDescent="0.35">
      <c r="C3" s="75"/>
      <c r="D3" s="108"/>
      <c r="E3" s="129" t="s">
        <v>536</v>
      </c>
    </row>
    <row r="4" spans="1:11" x14ac:dyDescent="0.35">
      <c r="A4" s="1176" t="s">
        <v>537</v>
      </c>
      <c r="B4" s="76" t="s">
        <v>93</v>
      </c>
      <c r="C4" s="77" t="s">
        <v>94</v>
      </c>
      <c r="D4" s="50" t="s">
        <v>598</v>
      </c>
      <c r="E4" s="50" t="s">
        <v>96</v>
      </c>
      <c r="F4" s="78" t="s">
        <v>538</v>
      </c>
      <c r="G4" s="78" t="s">
        <v>539</v>
      </c>
      <c r="H4" s="78" t="s">
        <v>540</v>
      </c>
      <c r="I4" s="78" t="s">
        <v>541</v>
      </c>
    </row>
    <row r="5" spans="1:11" ht="15.65" customHeight="1" x14ac:dyDescent="0.35">
      <c r="B5" s="79"/>
      <c r="C5" s="92" t="s">
        <v>599</v>
      </c>
      <c r="D5" s="112">
        <v>0.94</v>
      </c>
      <c r="E5" s="112">
        <v>0.94</v>
      </c>
    </row>
    <row r="6" spans="1:11" x14ac:dyDescent="0.35">
      <c r="B6" s="79"/>
      <c r="C6" s="80" t="s">
        <v>348</v>
      </c>
      <c r="D6" s="114">
        <v>360</v>
      </c>
      <c r="E6" s="114">
        <v>360</v>
      </c>
      <c r="F6" s="57">
        <v>400</v>
      </c>
      <c r="G6" s="57">
        <v>425</v>
      </c>
      <c r="H6" s="57">
        <v>450</v>
      </c>
      <c r="I6" s="57">
        <v>475</v>
      </c>
    </row>
    <row r="7" spans="1:11" x14ac:dyDescent="0.35">
      <c r="B7" s="79"/>
      <c r="C7" s="80" t="s">
        <v>349</v>
      </c>
      <c r="D7" s="115">
        <f>D6*D5</f>
        <v>338.4</v>
      </c>
      <c r="E7" s="115">
        <f>E6*E5</f>
        <v>338.4</v>
      </c>
      <c r="F7" s="81">
        <f>F6*0.95</f>
        <v>380</v>
      </c>
      <c r="G7" s="81">
        <f>G6*0.95</f>
        <v>403.75</v>
      </c>
      <c r="H7" s="81">
        <f>H6*0.95</f>
        <v>427.5</v>
      </c>
      <c r="I7" s="81">
        <f>I6*0.95</f>
        <v>451.25</v>
      </c>
    </row>
    <row r="8" spans="1:11" x14ac:dyDescent="0.35">
      <c r="B8" s="79"/>
      <c r="C8" s="19" t="s">
        <v>724</v>
      </c>
      <c r="D8" s="109">
        <f>(D12+D13)/D7</f>
        <v>10902.703900709221</v>
      </c>
      <c r="E8" s="109">
        <f>(E12+E13)/E7</f>
        <v>10902.703900709221</v>
      </c>
      <c r="F8" s="70">
        <f>D8+(D8*0.03)</f>
        <v>11229.785017730497</v>
      </c>
      <c r="G8" s="70">
        <f>F8+(F8*0.03)</f>
        <v>11566.678568262412</v>
      </c>
      <c r="H8" s="70">
        <f>G8+(G8*0.03)</f>
        <v>11913.678925310285</v>
      </c>
      <c r="I8" s="70">
        <f>H8+(H8*0.03)</f>
        <v>12271.089293069594</v>
      </c>
    </row>
    <row r="9" spans="1:11" customFormat="1" x14ac:dyDescent="0.35">
      <c r="B9" s="2"/>
      <c r="C9" s="19" t="s">
        <v>725</v>
      </c>
      <c r="D9" s="107">
        <f>(D12+D13)/D6</f>
        <v>10248.541666666666</v>
      </c>
      <c r="E9" s="107">
        <f>(E12+E13)/E6</f>
        <v>10248.541666666666</v>
      </c>
      <c r="F9" s="70"/>
      <c r="G9" s="70"/>
      <c r="H9" s="70"/>
      <c r="I9" s="70"/>
    </row>
    <row r="10" spans="1:11" x14ac:dyDescent="0.35">
      <c r="B10" s="79"/>
      <c r="C10" s="75"/>
      <c r="D10" s="108"/>
      <c r="E10" s="106"/>
    </row>
    <row r="11" spans="1:11" x14ac:dyDescent="0.35">
      <c r="A11" s="74">
        <v>1</v>
      </c>
      <c r="B11" s="292" t="s">
        <v>7</v>
      </c>
      <c r="C11" s="293" t="s">
        <v>7</v>
      </c>
      <c r="D11" s="294">
        <v>0</v>
      </c>
      <c r="E11" s="294">
        <v>0</v>
      </c>
      <c r="F11" s="34">
        <f>D90</f>
        <v>481619</v>
      </c>
      <c r="G11" s="34">
        <f>F90</f>
        <v>2648882.3067375887</v>
      </c>
      <c r="H11" s="34">
        <f>G90</f>
        <v>2947173.5219359491</v>
      </c>
      <c r="I11" s="34">
        <f>H90</f>
        <v>3214154.7320701461</v>
      </c>
    </row>
    <row r="12" spans="1:11" x14ac:dyDescent="0.35">
      <c r="A12" s="74">
        <v>2</v>
      </c>
      <c r="B12" s="79" t="s">
        <v>102</v>
      </c>
      <c r="C12" s="75" t="s">
        <v>258</v>
      </c>
      <c r="D12" s="1157">
        <v>3343346</v>
      </c>
      <c r="E12" s="1158">
        <v>3343346</v>
      </c>
      <c r="F12" s="64">
        <f>F7*F8</f>
        <v>4267318.3067375887</v>
      </c>
      <c r="G12" s="64">
        <f>G7*G8</f>
        <v>4670046.4719359493</v>
      </c>
      <c r="H12" s="64">
        <f>H7*H8</f>
        <v>5093097.7405701466</v>
      </c>
      <c r="I12" s="64">
        <f>I7*I8</f>
        <v>5537329.0434976537</v>
      </c>
      <c r="K12" s="1177" t="s">
        <v>791</v>
      </c>
    </row>
    <row r="13" spans="1:11" x14ac:dyDescent="0.35">
      <c r="A13" s="74">
        <v>3</v>
      </c>
      <c r="B13" s="79" t="s">
        <v>102</v>
      </c>
      <c r="C13" s="75" t="s">
        <v>6</v>
      </c>
      <c r="D13" s="1157">
        <v>346129</v>
      </c>
      <c r="E13" s="1158">
        <v>346129</v>
      </c>
      <c r="F13" s="1178">
        <v>346129</v>
      </c>
      <c r="G13" s="1178">
        <v>346129</v>
      </c>
      <c r="H13" s="1178">
        <v>346129</v>
      </c>
      <c r="I13" s="1178">
        <v>346129</v>
      </c>
      <c r="K13" s="300">
        <f>E12+E13</f>
        <v>3689475</v>
      </c>
    </row>
    <row r="14" spans="1:11" x14ac:dyDescent="0.35">
      <c r="A14" s="74">
        <v>4</v>
      </c>
      <c r="B14" s="79" t="s">
        <v>102</v>
      </c>
      <c r="C14" s="75" t="s">
        <v>20</v>
      </c>
      <c r="D14" s="110"/>
      <c r="E14" s="110"/>
      <c r="F14" s="65"/>
      <c r="G14" s="65">
        <v>50000</v>
      </c>
      <c r="H14" s="65">
        <v>50000</v>
      </c>
      <c r="I14" s="65">
        <v>50000</v>
      </c>
      <c r="K14" s="1177" t="s">
        <v>792</v>
      </c>
    </row>
    <row r="15" spans="1:11" x14ac:dyDescent="0.35">
      <c r="A15" s="74">
        <v>5</v>
      </c>
      <c r="B15" s="79" t="s">
        <v>110</v>
      </c>
      <c r="C15" s="16" t="s">
        <v>218</v>
      </c>
      <c r="D15" s="110">
        <v>299381</v>
      </c>
      <c r="E15" s="110">
        <v>299381</v>
      </c>
      <c r="F15" s="34"/>
      <c r="G15" s="34"/>
      <c r="H15" s="34"/>
      <c r="I15" s="34"/>
    </row>
    <row r="16" spans="1:11" x14ac:dyDescent="0.35">
      <c r="A16" s="74">
        <v>6</v>
      </c>
      <c r="B16" s="79" t="s">
        <v>110</v>
      </c>
      <c r="C16" s="16" t="s">
        <v>230</v>
      </c>
      <c r="D16" s="110"/>
      <c r="E16" s="110"/>
      <c r="F16" s="34"/>
      <c r="G16" s="34"/>
      <c r="H16" s="34"/>
      <c r="I16" s="34"/>
    </row>
    <row r="17" spans="1:9" x14ac:dyDescent="0.35">
      <c r="A17" s="74">
        <v>7</v>
      </c>
      <c r="B17" s="79" t="s">
        <v>110</v>
      </c>
      <c r="C17" s="16" t="s">
        <v>726</v>
      </c>
      <c r="D17" s="110"/>
      <c r="E17" s="110"/>
      <c r="F17" s="34"/>
      <c r="G17" s="34"/>
      <c r="H17" s="34"/>
      <c r="I17" s="34"/>
    </row>
    <row r="18" spans="1:9" x14ac:dyDescent="0.35">
      <c r="A18" s="74">
        <v>8</v>
      </c>
      <c r="B18" s="79" t="s">
        <v>110</v>
      </c>
      <c r="C18" s="16" t="s">
        <v>260</v>
      </c>
      <c r="D18" s="110"/>
      <c r="E18" s="110"/>
      <c r="F18" s="34"/>
      <c r="G18" s="34"/>
      <c r="H18" s="34"/>
      <c r="I18" s="34"/>
    </row>
    <row r="19" spans="1:9" x14ac:dyDescent="0.35">
      <c r="A19" s="74">
        <v>9</v>
      </c>
      <c r="B19" s="79" t="s">
        <v>110</v>
      </c>
      <c r="C19" s="75" t="s">
        <v>727</v>
      </c>
      <c r="D19" s="110"/>
      <c r="E19" s="110"/>
      <c r="F19" s="34"/>
      <c r="G19" s="34"/>
      <c r="H19" s="34"/>
      <c r="I19" s="34"/>
    </row>
    <row r="20" spans="1:9" x14ac:dyDescent="0.35">
      <c r="A20" s="74">
        <v>10</v>
      </c>
      <c r="B20" s="79" t="s">
        <v>102</v>
      </c>
      <c r="C20" s="75" t="s">
        <v>14</v>
      </c>
      <c r="D20" s="110"/>
      <c r="E20" s="110"/>
      <c r="F20" s="34"/>
      <c r="G20" s="34"/>
      <c r="H20" s="34"/>
      <c r="I20" s="34"/>
    </row>
    <row r="21" spans="1:9" x14ac:dyDescent="0.35">
      <c r="A21" s="74">
        <v>11</v>
      </c>
      <c r="B21" s="79" t="s">
        <v>110</v>
      </c>
      <c r="C21" s="75" t="s">
        <v>261</v>
      </c>
      <c r="D21" s="110">
        <v>147123</v>
      </c>
      <c r="E21" s="110">
        <v>147123</v>
      </c>
      <c r="F21" s="34"/>
      <c r="G21" s="34"/>
      <c r="H21" s="34"/>
      <c r="I21" s="34"/>
    </row>
    <row r="22" spans="1:9" x14ac:dyDescent="0.35">
      <c r="A22" s="74">
        <v>12</v>
      </c>
      <c r="B22" s="79" t="s">
        <v>98</v>
      </c>
      <c r="C22" s="75" t="s">
        <v>13</v>
      </c>
      <c r="D22" s="110">
        <v>0</v>
      </c>
      <c r="E22" s="110">
        <v>0</v>
      </c>
      <c r="F22" s="82">
        <v>70000</v>
      </c>
      <c r="G22" s="82">
        <v>70000</v>
      </c>
      <c r="H22" s="82">
        <v>70000</v>
      </c>
      <c r="I22" s="82">
        <v>70000</v>
      </c>
    </row>
    <row r="23" spans="1:9" x14ac:dyDescent="0.35">
      <c r="A23" s="74">
        <v>13</v>
      </c>
      <c r="B23" s="79" t="s">
        <v>110</v>
      </c>
      <c r="C23" s="79" t="s">
        <v>8</v>
      </c>
      <c r="D23" s="110">
        <v>200000</v>
      </c>
      <c r="E23" s="110">
        <v>200000</v>
      </c>
      <c r="F23" s="34"/>
      <c r="G23" s="34"/>
      <c r="H23" s="34"/>
      <c r="I23" s="34"/>
    </row>
    <row r="24" spans="1:9" x14ac:dyDescent="0.35">
      <c r="A24" s="74">
        <v>14</v>
      </c>
      <c r="B24" s="79" t="s">
        <v>110</v>
      </c>
      <c r="C24" s="79" t="s">
        <v>9</v>
      </c>
      <c r="D24" s="110"/>
      <c r="E24" s="110"/>
      <c r="F24" s="34"/>
      <c r="G24" s="34"/>
      <c r="H24" s="34"/>
      <c r="I24" s="34"/>
    </row>
    <row r="25" spans="1:9" x14ac:dyDescent="0.35">
      <c r="A25" s="74">
        <v>15</v>
      </c>
      <c r="B25" s="79" t="s">
        <v>102</v>
      </c>
      <c r="C25" s="75" t="s">
        <v>262</v>
      </c>
      <c r="D25" s="110">
        <v>900000</v>
      </c>
      <c r="E25" s="110">
        <v>900000</v>
      </c>
      <c r="F25" s="34"/>
      <c r="G25" s="34"/>
      <c r="H25" s="34"/>
      <c r="I25" s="34"/>
    </row>
    <row r="26" spans="1:9" x14ac:dyDescent="0.35">
      <c r="A26" s="74">
        <v>16</v>
      </c>
      <c r="B26" s="79" t="s">
        <v>102</v>
      </c>
      <c r="C26" s="75" t="s">
        <v>263</v>
      </c>
      <c r="D26" s="110"/>
      <c r="E26" s="110"/>
      <c r="F26" s="34"/>
      <c r="G26" s="34"/>
      <c r="H26" s="34"/>
      <c r="I26" s="34"/>
    </row>
    <row r="27" spans="1:9" x14ac:dyDescent="0.35">
      <c r="B27" s="79" t="s">
        <v>102</v>
      </c>
      <c r="C27" s="75" t="s">
        <v>368</v>
      </c>
      <c r="D27" s="110"/>
      <c r="E27" s="110" t="e">
        <f>#REF!</f>
        <v>#REF!</v>
      </c>
      <c r="F27" s="34"/>
      <c r="G27" s="34"/>
      <c r="H27" s="34"/>
      <c r="I27" s="34"/>
    </row>
    <row r="28" spans="1:9" x14ac:dyDescent="0.35">
      <c r="A28" s="74">
        <v>17</v>
      </c>
      <c r="B28" s="74" t="s">
        <v>100</v>
      </c>
      <c r="C28" s="75" t="s">
        <v>101</v>
      </c>
      <c r="D28" s="110">
        <v>300000</v>
      </c>
      <c r="E28" s="301">
        <v>400000</v>
      </c>
      <c r="F28" s="34"/>
      <c r="G28" s="34"/>
      <c r="H28" s="34"/>
      <c r="I28" s="34"/>
    </row>
    <row r="29" spans="1:9" x14ac:dyDescent="0.35">
      <c r="A29" s="74">
        <v>18</v>
      </c>
      <c r="B29" s="79" t="s">
        <v>100</v>
      </c>
      <c r="C29" s="75" t="s">
        <v>16</v>
      </c>
      <c r="D29" s="110">
        <v>200000</v>
      </c>
      <c r="E29" s="110">
        <v>200000</v>
      </c>
      <c r="F29" s="64">
        <v>200000</v>
      </c>
      <c r="G29" s="64">
        <v>200000</v>
      </c>
      <c r="H29" s="64">
        <v>200000</v>
      </c>
      <c r="I29" s="64">
        <v>200000</v>
      </c>
    </row>
    <row r="30" spans="1:9" x14ac:dyDescent="0.35">
      <c r="A30" s="74">
        <v>19</v>
      </c>
      <c r="B30" s="79" t="s">
        <v>100</v>
      </c>
      <c r="C30" s="75" t="s">
        <v>265</v>
      </c>
      <c r="D30" s="110">
        <v>80000</v>
      </c>
      <c r="E30" s="110">
        <v>80000</v>
      </c>
      <c r="F30" s="82">
        <v>80000</v>
      </c>
      <c r="G30" s="82">
        <v>80000</v>
      </c>
      <c r="H30" s="82">
        <v>80000</v>
      </c>
      <c r="I30" s="82">
        <v>80000</v>
      </c>
    </row>
    <row r="31" spans="1:9" customFormat="1" x14ac:dyDescent="0.35">
      <c r="B31" s="2" t="s">
        <v>102</v>
      </c>
      <c r="C31" s="16" t="s">
        <v>728</v>
      </c>
      <c r="D31" s="127"/>
      <c r="E31" s="127" t="e">
        <f>E47</f>
        <v>#REF!</v>
      </c>
      <c r="F31" s="64"/>
      <c r="G31" s="64"/>
      <c r="H31" s="64"/>
      <c r="I31" s="64"/>
    </row>
    <row r="32" spans="1:9" ht="15" thickBot="1" x14ac:dyDescent="0.4">
      <c r="A32" s="74">
        <v>20</v>
      </c>
      <c r="B32" s="79" t="s">
        <v>98</v>
      </c>
      <c r="C32" s="75" t="s">
        <v>17</v>
      </c>
      <c r="D32" s="203"/>
      <c r="E32" s="203"/>
      <c r="F32" s="34"/>
      <c r="G32" s="34"/>
      <c r="H32" s="34"/>
      <c r="I32" s="34"/>
    </row>
    <row r="33" spans="1:13" ht="16" thickBot="1" x14ac:dyDescent="0.4">
      <c r="B33" s="204"/>
      <c r="C33" s="205"/>
      <c r="D33" s="206">
        <f t="shared" ref="D33:I33" si="0">SUM(D12:D32)</f>
        <v>5815979</v>
      </c>
      <c r="E33" s="207" t="e">
        <f t="shared" si="0"/>
        <v>#REF!</v>
      </c>
      <c r="F33" s="202">
        <f t="shared" si="0"/>
        <v>4963447.3067375887</v>
      </c>
      <c r="G33" s="66">
        <f t="shared" si="0"/>
        <v>5416175.4719359493</v>
      </c>
      <c r="H33" s="66">
        <f t="shared" si="0"/>
        <v>5839226.7405701466</v>
      </c>
      <c r="I33" s="66">
        <f t="shared" si="0"/>
        <v>6283458.0434976537</v>
      </c>
    </row>
    <row r="34" spans="1:13" ht="15" thickBot="1" x14ac:dyDescent="0.4">
      <c r="D34" s="1179"/>
      <c r="E34" s="1180"/>
    </row>
    <row r="35" spans="1:13" customFormat="1" x14ac:dyDescent="0.35">
      <c r="A35">
        <v>1</v>
      </c>
      <c r="B35" s="494" t="s">
        <v>122</v>
      </c>
      <c r="C35" s="495" t="s">
        <v>123</v>
      </c>
      <c r="D35" s="496">
        <v>2022000</v>
      </c>
      <c r="E35" s="497" t="e">
        <f>#REF!</f>
        <v>#REF!</v>
      </c>
      <c r="F35" s="492">
        <f>D35+(D35*0.03)</f>
        <v>2082660</v>
      </c>
      <c r="G35" s="35">
        <f>F35+(F35*0.04)</f>
        <v>2165966.4</v>
      </c>
      <c r="H35" s="52">
        <f>G35+(G35*0.04)+220000</f>
        <v>2472605.0559999999</v>
      </c>
      <c r="I35" s="34">
        <f>H35+(H35*0.04)</f>
        <v>2571509.2582399999</v>
      </c>
    </row>
    <row r="36" spans="1:13" customFormat="1" x14ac:dyDescent="0.35">
      <c r="A36">
        <v>2</v>
      </c>
      <c r="B36" s="453" t="s">
        <v>122</v>
      </c>
      <c r="C36" t="s">
        <v>153</v>
      </c>
      <c r="D36" s="117">
        <v>15000</v>
      </c>
      <c r="E36" s="498">
        <v>15000</v>
      </c>
      <c r="F36" s="492">
        <f>D36+(D36*0.03)</f>
        <v>15450</v>
      </c>
      <c r="G36" s="34">
        <f t="shared" ref="G36:I45" si="1">F36+(F36*0.03)</f>
        <v>15913.5</v>
      </c>
      <c r="H36" s="34">
        <f t="shared" si="1"/>
        <v>16390.904999999999</v>
      </c>
      <c r="I36" s="34">
        <f t="shared" si="1"/>
        <v>16882.632149999998</v>
      </c>
    </row>
    <row r="37" spans="1:13" customFormat="1" x14ac:dyDescent="0.35">
      <c r="A37">
        <v>3</v>
      </c>
      <c r="B37" s="453" t="s">
        <v>122</v>
      </c>
      <c r="C37" s="2" t="s">
        <v>154</v>
      </c>
      <c r="D37" s="119">
        <v>0</v>
      </c>
      <c r="E37" s="499">
        <v>0</v>
      </c>
      <c r="F37" s="492">
        <f>D37+(D37*0.03)</f>
        <v>0</v>
      </c>
      <c r="G37" s="34">
        <f t="shared" si="1"/>
        <v>0</v>
      </c>
      <c r="H37" s="34">
        <f t="shared" si="1"/>
        <v>0</v>
      </c>
      <c r="I37" s="34">
        <f t="shared" si="1"/>
        <v>0</v>
      </c>
    </row>
    <row r="38" spans="1:13" customFormat="1" x14ac:dyDescent="0.35">
      <c r="A38">
        <v>4</v>
      </c>
      <c r="B38" s="453" t="s">
        <v>155</v>
      </c>
      <c r="C38" t="s">
        <v>606</v>
      </c>
      <c r="D38" s="119">
        <v>325088</v>
      </c>
      <c r="E38" s="500" t="e">
        <f>#REF!</f>
        <v>#REF!</v>
      </c>
      <c r="F38" s="492">
        <v>0</v>
      </c>
      <c r="G38" s="34">
        <v>0</v>
      </c>
      <c r="H38" s="34">
        <v>0</v>
      </c>
      <c r="I38" s="34">
        <v>0</v>
      </c>
      <c r="M38" s="125"/>
    </row>
    <row r="39" spans="1:13" customFormat="1" x14ac:dyDescent="0.35">
      <c r="A39">
        <v>10</v>
      </c>
      <c r="B39" s="453" t="s">
        <v>122</v>
      </c>
      <c r="C39" t="s">
        <v>378</v>
      </c>
      <c r="D39" s="119">
        <v>318000</v>
      </c>
      <c r="E39" s="501" t="e">
        <f>#REF!</f>
        <v>#REF!</v>
      </c>
      <c r="F39" s="492">
        <f>D39+(D39*0.03)</f>
        <v>327540</v>
      </c>
      <c r="G39" s="34">
        <f t="shared" si="1"/>
        <v>337366.2</v>
      </c>
      <c r="H39" s="34">
        <f t="shared" si="1"/>
        <v>347487.18599999999</v>
      </c>
      <c r="I39" s="34">
        <f t="shared" si="1"/>
        <v>357911.80157999997</v>
      </c>
    </row>
    <row r="40" spans="1:13" customFormat="1" x14ac:dyDescent="0.35">
      <c r="A40">
        <v>11</v>
      </c>
      <c r="B40" s="453" t="s">
        <v>155</v>
      </c>
      <c r="C40" t="s">
        <v>607</v>
      </c>
      <c r="D40" s="117">
        <v>16886</v>
      </c>
      <c r="E40" s="501" t="e">
        <f>#REF!</f>
        <v>#REF!</v>
      </c>
      <c r="F40" s="492">
        <v>0</v>
      </c>
      <c r="G40" s="34">
        <v>0</v>
      </c>
      <c r="H40" s="34">
        <v>0</v>
      </c>
      <c r="I40" s="34">
        <v>0</v>
      </c>
    </row>
    <row r="41" spans="1:13" x14ac:dyDescent="0.35">
      <c r="A41" s="74">
        <v>25</v>
      </c>
      <c r="B41" s="453" t="s">
        <v>122</v>
      </c>
      <c r="C41" s="22" t="s">
        <v>793</v>
      </c>
      <c r="D41" s="110">
        <v>0</v>
      </c>
      <c r="E41" s="260" t="e">
        <f>#REF!</f>
        <v>#REF!</v>
      </c>
      <c r="F41" s="34">
        <f>D41+(D41*0.03)</f>
        <v>0</v>
      </c>
      <c r="G41" s="34">
        <f>F41+(F41*0.03)</f>
        <v>0</v>
      </c>
      <c r="H41" s="34">
        <f>G41+(G41*0.03)</f>
        <v>0</v>
      </c>
      <c r="I41" s="34">
        <f>H41+(H41*0.03)</f>
        <v>0</v>
      </c>
      <c r="K41" s="1176"/>
    </row>
    <row r="42" spans="1:13" x14ac:dyDescent="0.35">
      <c r="B42" s="453" t="s">
        <v>155</v>
      </c>
      <c r="C42" s="22" t="s">
        <v>794</v>
      </c>
      <c r="D42" s="110"/>
      <c r="E42" s="260" t="e">
        <f>#REF!</f>
        <v>#REF!</v>
      </c>
      <c r="F42" s="34"/>
      <c r="G42" s="34"/>
      <c r="H42" s="34"/>
      <c r="I42" s="34"/>
      <c r="K42" s="1176"/>
    </row>
    <row r="43" spans="1:13" customFormat="1" x14ac:dyDescent="0.35">
      <c r="A43">
        <v>13</v>
      </c>
      <c r="B43" s="453" t="s">
        <v>122</v>
      </c>
      <c r="C43" t="s">
        <v>164</v>
      </c>
      <c r="D43" s="117">
        <v>487500</v>
      </c>
      <c r="E43" s="499" t="e">
        <f>#REF!</f>
        <v>#REF!</v>
      </c>
      <c r="F43" s="492">
        <f>D43+(D43*0.03)</f>
        <v>502125</v>
      </c>
      <c r="G43" s="34">
        <f t="shared" si="1"/>
        <v>517188.75</v>
      </c>
      <c r="H43" s="34">
        <f t="shared" si="1"/>
        <v>532704.41249999998</v>
      </c>
      <c r="I43" s="34">
        <f t="shared" si="1"/>
        <v>548685.54487500002</v>
      </c>
    </row>
    <row r="44" spans="1:13" customFormat="1" x14ac:dyDescent="0.35">
      <c r="A44">
        <v>14</v>
      </c>
      <c r="B44" s="453" t="s">
        <v>122</v>
      </c>
      <c r="C44" t="s">
        <v>165</v>
      </c>
      <c r="D44" s="117">
        <v>0</v>
      </c>
      <c r="E44" s="498">
        <v>0</v>
      </c>
      <c r="F44" s="492">
        <v>0</v>
      </c>
      <c r="G44" s="34">
        <v>0</v>
      </c>
      <c r="H44" s="34">
        <v>0</v>
      </c>
      <c r="I44" s="34">
        <v>0</v>
      </c>
    </row>
    <row r="45" spans="1:13" customFormat="1" x14ac:dyDescent="0.35">
      <c r="A45">
        <v>15</v>
      </c>
      <c r="B45" s="453" t="s">
        <v>122</v>
      </c>
      <c r="C45" t="s">
        <v>166</v>
      </c>
      <c r="D45" s="117">
        <v>0</v>
      </c>
      <c r="E45" s="506">
        <v>0</v>
      </c>
      <c r="F45" s="492">
        <f>D45+(D45*0.03)</f>
        <v>0</v>
      </c>
      <c r="G45" s="34">
        <f t="shared" si="1"/>
        <v>0</v>
      </c>
      <c r="H45" s="34">
        <f t="shared" si="1"/>
        <v>0</v>
      </c>
      <c r="I45" s="34">
        <f t="shared" si="1"/>
        <v>0</v>
      </c>
    </row>
    <row r="46" spans="1:13" customFormat="1" x14ac:dyDescent="0.35">
      <c r="B46" s="453" t="s">
        <v>155</v>
      </c>
      <c r="C46" t="s">
        <v>608</v>
      </c>
      <c r="D46" s="117">
        <v>26886</v>
      </c>
      <c r="E46" s="506" t="e">
        <f>#REF!</f>
        <v>#REF!</v>
      </c>
      <c r="F46" s="492"/>
      <c r="G46" s="34"/>
      <c r="H46" s="34"/>
      <c r="I46" s="34"/>
      <c r="L46" s="125"/>
    </row>
    <row r="47" spans="1:13" customFormat="1" ht="15" thickBot="1" x14ac:dyDescent="0.4">
      <c r="A47">
        <v>18</v>
      </c>
      <c r="B47" s="502" t="s">
        <v>155</v>
      </c>
      <c r="C47" s="503" t="s">
        <v>728</v>
      </c>
      <c r="D47" s="504">
        <v>0</v>
      </c>
      <c r="E47" s="507" t="e">
        <f>0.0775*(E35+E39+E43)</f>
        <v>#REF!</v>
      </c>
      <c r="F47" s="492"/>
      <c r="G47" s="34"/>
      <c r="H47" s="34"/>
      <c r="I47" s="34"/>
    </row>
    <row r="48" spans="1:13" x14ac:dyDescent="0.35">
      <c r="A48" s="74">
        <v>33</v>
      </c>
      <c r="B48" s="74" t="s">
        <v>244</v>
      </c>
      <c r="C48" s="75" t="s">
        <v>43</v>
      </c>
      <c r="D48" s="110"/>
      <c r="E48" s="110"/>
      <c r="F48" s="34"/>
      <c r="G48" s="34"/>
      <c r="H48" s="34"/>
      <c r="I48" s="34"/>
    </row>
    <row r="49" spans="1:10" x14ac:dyDescent="0.35">
      <c r="A49" s="74">
        <v>34</v>
      </c>
      <c r="B49" s="79" t="s">
        <v>245</v>
      </c>
      <c r="C49" s="83" t="s">
        <v>275</v>
      </c>
      <c r="D49" s="1157">
        <v>50000</v>
      </c>
      <c r="E49" s="1157">
        <v>50000</v>
      </c>
      <c r="F49" s="51">
        <v>200000</v>
      </c>
      <c r="G49" s="51">
        <v>200000</v>
      </c>
      <c r="H49" s="51">
        <v>200000</v>
      </c>
      <c r="I49" s="34">
        <v>200000</v>
      </c>
    </row>
    <row r="50" spans="1:10" x14ac:dyDescent="0.35">
      <c r="A50" s="74">
        <v>35</v>
      </c>
      <c r="B50" s="79" t="s">
        <v>247</v>
      </c>
      <c r="C50" s="75" t="s">
        <v>82</v>
      </c>
      <c r="D50" s="110">
        <v>20000</v>
      </c>
      <c r="E50" s="110">
        <v>20000</v>
      </c>
      <c r="F50" s="34">
        <f>D50+(D50*0.03)</f>
        <v>20600</v>
      </c>
      <c r="G50" s="34">
        <f>F50+(F50*0.03)</f>
        <v>21218</v>
      </c>
      <c r="H50" s="34">
        <f>G50+(G50*0.03)</f>
        <v>21854.54</v>
      </c>
      <c r="I50" s="34">
        <f>H50+(H50*0.03)</f>
        <v>22510.176200000002</v>
      </c>
    </row>
    <row r="51" spans="1:10" x14ac:dyDescent="0.35">
      <c r="A51" s="74">
        <v>36</v>
      </c>
      <c r="B51" s="79" t="s">
        <v>248</v>
      </c>
      <c r="C51" s="75" t="s">
        <v>276</v>
      </c>
      <c r="D51" s="110">
        <v>100000</v>
      </c>
      <c r="E51" s="110">
        <v>100000</v>
      </c>
      <c r="F51" s="34">
        <f>D51+(D51*0.03)</f>
        <v>103000</v>
      </c>
      <c r="G51" s="34">
        <f t="shared" ref="G51:I52" si="2">F51+(F51*0.03)</f>
        <v>106090</v>
      </c>
      <c r="H51" s="34">
        <f t="shared" si="2"/>
        <v>109272.7</v>
      </c>
      <c r="I51" s="34">
        <f t="shared" si="2"/>
        <v>112550.88099999999</v>
      </c>
    </row>
    <row r="52" spans="1:10" x14ac:dyDescent="0.35">
      <c r="A52" s="74">
        <v>37</v>
      </c>
      <c r="B52" s="79" t="s">
        <v>248</v>
      </c>
      <c r="C52" s="75" t="s">
        <v>277</v>
      </c>
      <c r="D52" s="110">
        <v>80000</v>
      </c>
      <c r="E52" s="110">
        <v>80000</v>
      </c>
      <c r="F52" s="34">
        <f>D52+(D52*0.03)</f>
        <v>82400</v>
      </c>
      <c r="G52" s="34">
        <f t="shared" si="2"/>
        <v>84872</v>
      </c>
      <c r="H52" s="34">
        <f t="shared" si="2"/>
        <v>87418.16</v>
      </c>
      <c r="I52" s="34">
        <f t="shared" si="2"/>
        <v>90040.704800000007</v>
      </c>
    </row>
    <row r="53" spans="1:10" x14ac:dyDescent="0.35">
      <c r="A53" s="74">
        <v>38</v>
      </c>
      <c r="B53" s="310" t="s">
        <v>248</v>
      </c>
      <c r="C53" s="311" t="s">
        <v>36</v>
      </c>
      <c r="D53" s="110">
        <v>300000</v>
      </c>
      <c r="E53" s="301">
        <f>J53*(E12+E13)</f>
        <v>553421.25</v>
      </c>
      <c r="F53" s="34">
        <v>300000</v>
      </c>
      <c r="G53" s="34">
        <v>400000</v>
      </c>
      <c r="H53" s="34">
        <v>500000</v>
      </c>
      <c r="I53" s="34">
        <v>500000</v>
      </c>
      <c r="J53" s="74">
        <v>0.15</v>
      </c>
    </row>
    <row r="54" spans="1:10" x14ac:dyDescent="0.35">
      <c r="A54" s="74">
        <v>39</v>
      </c>
      <c r="B54" s="74" t="s">
        <v>49</v>
      </c>
      <c r="C54" s="75" t="s">
        <v>278</v>
      </c>
      <c r="D54" s="110">
        <v>100000</v>
      </c>
      <c r="E54" s="110">
        <v>100000</v>
      </c>
      <c r="F54" s="34">
        <v>30000</v>
      </c>
      <c r="G54" s="34">
        <f t="shared" ref="G54:I59" si="3">F54+(F54*0.03)</f>
        <v>30900</v>
      </c>
      <c r="H54" s="34">
        <f t="shared" si="3"/>
        <v>31827</v>
      </c>
      <c r="I54" s="34">
        <f t="shared" si="3"/>
        <v>32781.81</v>
      </c>
    </row>
    <row r="55" spans="1:10" x14ac:dyDescent="0.35">
      <c r="A55" s="74">
        <v>40</v>
      </c>
      <c r="B55" s="79" t="s">
        <v>249</v>
      </c>
      <c r="C55" s="84" t="s">
        <v>73</v>
      </c>
      <c r="D55" s="110">
        <v>60000</v>
      </c>
      <c r="E55" s="110">
        <v>60000</v>
      </c>
      <c r="F55" s="34">
        <f>D55+(D55*0.03)</f>
        <v>61800</v>
      </c>
      <c r="G55" s="34">
        <f t="shared" si="3"/>
        <v>63654</v>
      </c>
      <c r="H55" s="34">
        <f t="shared" si="3"/>
        <v>65563.62</v>
      </c>
      <c r="I55" s="34">
        <f t="shared" si="3"/>
        <v>67530.528599999991</v>
      </c>
    </row>
    <row r="56" spans="1:10" x14ac:dyDescent="0.35">
      <c r="A56" s="74">
        <v>41</v>
      </c>
      <c r="B56" s="79" t="s">
        <v>249</v>
      </c>
      <c r="C56" s="84" t="s">
        <v>279</v>
      </c>
      <c r="D56" s="110">
        <v>115000</v>
      </c>
      <c r="E56" s="110">
        <v>115000</v>
      </c>
      <c r="F56" s="34">
        <v>30000</v>
      </c>
      <c r="G56" s="34">
        <f t="shared" si="3"/>
        <v>30900</v>
      </c>
      <c r="H56" s="34">
        <f t="shared" si="3"/>
        <v>31827</v>
      </c>
      <c r="I56" s="34">
        <f t="shared" si="3"/>
        <v>32781.81</v>
      </c>
    </row>
    <row r="57" spans="1:10" x14ac:dyDescent="0.35">
      <c r="A57" s="74">
        <v>42</v>
      </c>
      <c r="B57" s="79" t="s">
        <v>250</v>
      </c>
      <c r="C57" s="84" t="s">
        <v>280</v>
      </c>
      <c r="D57" s="110">
        <v>260000</v>
      </c>
      <c r="E57" s="110">
        <v>260000</v>
      </c>
      <c r="F57" s="34">
        <v>50000</v>
      </c>
      <c r="G57" s="34">
        <f t="shared" si="3"/>
        <v>51500</v>
      </c>
      <c r="H57" s="34">
        <f t="shared" si="3"/>
        <v>53045</v>
      </c>
      <c r="I57" s="34">
        <f t="shared" si="3"/>
        <v>54636.35</v>
      </c>
    </row>
    <row r="58" spans="1:10" x14ac:dyDescent="0.35">
      <c r="A58" s="74">
        <v>43</v>
      </c>
      <c r="B58" s="79" t="s">
        <v>250</v>
      </c>
      <c r="C58" s="79" t="s">
        <v>281</v>
      </c>
      <c r="D58" s="110">
        <v>10000</v>
      </c>
      <c r="E58" s="110">
        <v>10000</v>
      </c>
      <c r="F58" s="34">
        <f t="shared" ref="F58:F64" si="4">D58+(D58*0.03)</f>
        <v>10300</v>
      </c>
      <c r="G58" s="34">
        <f t="shared" si="3"/>
        <v>10609</v>
      </c>
      <c r="H58" s="34">
        <f t="shared" si="3"/>
        <v>10927.27</v>
      </c>
      <c r="I58" s="34">
        <f t="shared" si="3"/>
        <v>11255.088100000001</v>
      </c>
    </row>
    <row r="59" spans="1:10" x14ac:dyDescent="0.35">
      <c r="A59" s="74">
        <v>44</v>
      </c>
      <c r="B59" s="79" t="s">
        <v>250</v>
      </c>
      <c r="C59" s="79" t="s">
        <v>282</v>
      </c>
      <c r="D59" s="110">
        <v>20000</v>
      </c>
      <c r="E59" s="110">
        <v>20000</v>
      </c>
      <c r="F59" s="34">
        <f t="shared" si="4"/>
        <v>20600</v>
      </c>
      <c r="G59" s="34">
        <f t="shared" si="3"/>
        <v>21218</v>
      </c>
      <c r="H59" s="34">
        <f t="shared" si="3"/>
        <v>21854.54</v>
      </c>
      <c r="I59" s="34">
        <f t="shared" si="3"/>
        <v>22510.176200000002</v>
      </c>
    </row>
    <row r="60" spans="1:10" x14ac:dyDescent="0.35">
      <c r="A60" s="74">
        <v>45</v>
      </c>
      <c r="B60" s="79" t="s">
        <v>250</v>
      </c>
      <c r="C60" s="79" t="s">
        <v>283</v>
      </c>
      <c r="D60" s="110">
        <v>50000</v>
      </c>
      <c r="E60" s="110">
        <v>50000</v>
      </c>
      <c r="F60" s="34">
        <f t="shared" si="4"/>
        <v>51500</v>
      </c>
      <c r="G60" s="34">
        <f t="shared" ref="G60:I72" si="5">F60+(F60*0.03)</f>
        <v>53045</v>
      </c>
      <c r="H60" s="34">
        <f t="shared" si="5"/>
        <v>54636.35</v>
      </c>
      <c r="I60" s="34">
        <f t="shared" si="5"/>
        <v>56275.440499999997</v>
      </c>
    </row>
    <row r="61" spans="1:10" x14ac:dyDescent="0.35">
      <c r="A61" s="74">
        <v>46</v>
      </c>
      <c r="B61" s="79" t="s">
        <v>250</v>
      </c>
      <c r="C61" s="79" t="s">
        <v>56</v>
      </c>
      <c r="D61" s="110">
        <v>4000</v>
      </c>
      <c r="E61" s="110">
        <v>4000</v>
      </c>
      <c r="F61" s="34">
        <f t="shared" si="4"/>
        <v>4120</v>
      </c>
      <c r="G61" s="34">
        <f t="shared" si="5"/>
        <v>4243.6000000000004</v>
      </c>
      <c r="H61" s="34">
        <f t="shared" si="5"/>
        <v>4370.9080000000004</v>
      </c>
      <c r="I61" s="34">
        <f t="shared" si="5"/>
        <v>4502.0352400000002</v>
      </c>
    </row>
    <row r="62" spans="1:10" x14ac:dyDescent="0.35">
      <c r="A62" s="74">
        <v>47</v>
      </c>
      <c r="B62" s="79" t="s">
        <v>250</v>
      </c>
      <c r="C62" s="79" t="s">
        <v>53</v>
      </c>
      <c r="D62" s="110">
        <v>50000</v>
      </c>
      <c r="E62" s="110">
        <v>50000</v>
      </c>
      <c r="F62" s="34">
        <f t="shared" si="4"/>
        <v>51500</v>
      </c>
      <c r="G62" s="34">
        <f t="shared" si="5"/>
        <v>53045</v>
      </c>
      <c r="H62" s="34">
        <f t="shared" si="5"/>
        <v>54636.35</v>
      </c>
      <c r="I62" s="34">
        <f t="shared" si="5"/>
        <v>56275.440499999997</v>
      </c>
    </row>
    <row r="63" spans="1:10" x14ac:dyDescent="0.35">
      <c r="A63" s="74">
        <v>48</v>
      </c>
      <c r="B63" s="79" t="s">
        <v>250</v>
      </c>
      <c r="C63" s="79" t="s">
        <v>55</v>
      </c>
      <c r="D63" s="110">
        <v>15000</v>
      </c>
      <c r="E63" s="110">
        <v>15000</v>
      </c>
      <c r="F63" s="34">
        <f t="shared" si="4"/>
        <v>15450</v>
      </c>
      <c r="G63" s="34">
        <f t="shared" si="5"/>
        <v>15913.5</v>
      </c>
      <c r="H63" s="34">
        <f t="shared" si="5"/>
        <v>16390.904999999999</v>
      </c>
      <c r="I63" s="34">
        <f t="shared" si="5"/>
        <v>16882.632149999998</v>
      </c>
    </row>
    <row r="64" spans="1:10" x14ac:dyDescent="0.35">
      <c r="A64" s="74">
        <v>49</v>
      </c>
      <c r="B64" s="79" t="s">
        <v>250</v>
      </c>
      <c r="C64" s="79" t="s">
        <v>54</v>
      </c>
      <c r="D64" s="110">
        <v>4000</v>
      </c>
      <c r="E64" s="110">
        <v>4000</v>
      </c>
      <c r="F64" s="34">
        <f t="shared" si="4"/>
        <v>4120</v>
      </c>
      <c r="G64" s="34">
        <f t="shared" si="5"/>
        <v>4243.6000000000004</v>
      </c>
      <c r="H64" s="34">
        <f t="shared" si="5"/>
        <v>4370.9080000000004</v>
      </c>
      <c r="I64" s="34">
        <f t="shared" si="5"/>
        <v>4502.0352400000002</v>
      </c>
    </row>
    <row r="65" spans="1:9" x14ac:dyDescent="0.35">
      <c r="A65" s="74">
        <v>50</v>
      </c>
      <c r="B65" s="79" t="s">
        <v>250</v>
      </c>
      <c r="C65" s="74" t="s">
        <v>284</v>
      </c>
      <c r="D65" s="1157">
        <v>150000</v>
      </c>
      <c r="E65" s="1157">
        <v>150000</v>
      </c>
      <c r="F65" s="34">
        <v>20000</v>
      </c>
      <c r="G65" s="34">
        <f t="shared" si="5"/>
        <v>20600</v>
      </c>
      <c r="H65" s="34">
        <f t="shared" si="5"/>
        <v>21218</v>
      </c>
      <c r="I65" s="34">
        <f t="shared" si="5"/>
        <v>21854.54</v>
      </c>
    </row>
    <row r="66" spans="1:9" x14ac:dyDescent="0.35">
      <c r="A66" s="74">
        <v>51</v>
      </c>
      <c r="B66" s="79" t="s">
        <v>252</v>
      </c>
      <c r="C66" s="84" t="s">
        <v>285</v>
      </c>
      <c r="D66" s="110">
        <v>250000</v>
      </c>
      <c r="E66" s="110">
        <v>250000</v>
      </c>
      <c r="F66" s="34">
        <f>D66+(D66*0.03)</f>
        <v>257500</v>
      </c>
      <c r="G66" s="34">
        <f t="shared" si="5"/>
        <v>265225</v>
      </c>
      <c r="H66" s="34">
        <f t="shared" si="5"/>
        <v>273181.75</v>
      </c>
      <c r="I66" s="34">
        <f t="shared" si="5"/>
        <v>281377.20250000001</v>
      </c>
    </row>
    <row r="67" spans="1:9" x14ac:dyDescent="0.35">
      <c r="A67" s="74">
        <v>52</v>
      </c>
      <c r="B67" s="79" t="s">
        <v>252</v>
      </c>
      <c r="C67" s="84" t="s">
        <v>46</v>
      </c>
      <c r="D67" s="110"/>
      <c r="E67" s="110"/>
      <c r="F67" s="34"/>
      <c r="G67" s="34"/>
      <c r="H67" s="34"/>
      <c r="I67" s="34"/>
    </row>
    <row r="68" spans="1:9" x14ac:dyDescent="0.35">
      <c r="A68" s="74">
        <v>53</v>
      </c>
      <c r="B68" s="79" t="s">
        <v>252</v>
      </c>
      <c r="C68" s="79" t="s">
        <v>78</v>
      </c>
      <c r="D68" s="110">
        <v>80000</v>
      </c>
      <c r="E68" s="110">
        <v>80000</v>
      </c>
      <c r="F68" s="34">
        <f>D68+(D68*0.03)</f>
        <v>82400</v>
      </c>
      <c r="G68" s="34">
        <f t="shared" si="5"/>
        <v>84872</v>
      </c>
      <c r="H68" s="34">
        <f t="shared" si="5"/>
        <v>87418.16</v>
      </c>
      <c r="I68" s="34">
        <f t="shared" si="5"/>
        <v>90040.704800000007</v>
      </c>
    </row>
    <row r="69" spans="1:9" x14ac:dyDescent="0.35">
      <c r="A69" s="74">
        <v>54</v>
      </c>
      <c r="B69" s="79" t="s">
        <v>252</v>
      </c>
      <c r="C69" s="74" t="s">
        <v>286</v>
      </c>
      <c r="D69" s="1157">
        <v>40000</v>
      </c>
      <c r="E69" s="1157">
        <v>40000</v>
      </c>
      <c r="F69" s="34">
        <f>D69+(D69*0.03)</f>
        <v>41200</v>
      </c>
      <c r="G69" s="34">
        <f t="shared" si="5"/>
        <v>42436</v>
      </c>
      <c r="H69" s="34">
        <f t="shared" si="5"/>
        <v>43709.08</v>
      </c>
      <c r="I69" s="34">
        <f t="shared" si="5"/>
        <v>45020.352400000003</v>
      </c>
    </row>
    <row r="70" spans="1:9" x14ac:dyDescent="0.35">
      <c r="A70" s="74">
        <v>55</v>
      </c>
      <c r="B70" s="79" t="s">
        <v>253</v>
      </c>
      <c r="C70" s="74" t="s">
        <v>79</v>
      </c>
      <c r="D70" s="1157">
        <v>50000</v>
      </c>
      <c r="E70" s="1157">
        <v>50000</v>
      </c>
      <c r="F70" s="34">
        <f>D70+(D70*0.03)</f>
        <v>51500</v>
      </c>
      <c r="G70" s="34">
        <f t="shared" si="5"/>
        <v>53045</v>
      </c>
      <c r="H70" s="34">
        <f t="shared" si="5"/>
        <v>54636.35</v>
      </c>
      <c r="I70" s="34">
        <f t="shared" si="5"/>
        <v>56275.440499999997</v>
      </c>
    </row>
    <row r="71" spans="1:9" x14ac:dyDescent="0.35">
      <c r="A71" s="74">
        <v>56</v>
      </c>
      <c r="B71" s="79" t="s">
        <v>253</v>
      </c>
      <c r="C71" s="74" t="s">
        <v>80</v>
      </c>
      <c r="D71" s="1157">
        <v>20000</v>
      </c>
      <c r="E71" s="1157">
        <v>20000</v>
      </c>
      <c r="F71" s="34">
        <f>D71+(D71*0.03)</f>
        <v>20600</v>
      </c>
      <c r="G71" s="34">
        <f t="shared" si="5"/>
        <v>21218</v>
      </c>
      <c r="H71" s="34">
        <f t="shared" si="5"/>
        <v>21854.54</v>
      </c>
      <c r="I71" s="34">
        <f t="shared" si="5"/>
        <v>22510.176200000002</v>
      </c>
    </row>
    <row r="72" spans="1:9" x14ac:dyDescent="0.35">
      <c r="A72" s="74">
        <v>57</v>
      </c>
      <c r="B72" s="79" t="s">
        <v>253</v>
      </c>
      <c r="C72" s="74" t="s">
        <v>81</v>
      </c>
      <c r="D72" s="1157">
        <v>10000</v>
      </c>
      <c r="E72" s="1157">
        <v>10000</v>
      </c>
      <c r="F72" s="34">
        <f>D72+(D72*0.03)</f>
        <v>10300</v>
      </c>
      <c r="G72" s="34">
        <f t="shared" si="5"/>
        <v>10609</v>
      </c>
      <c r="H72" s="34">
        <f t="shared" si="5"/>
        <v>10927.27</v>
      </c>
      <c r="I72" s="34">
        <f t="shared" si="5"/>
        <v>11255.088100000001</v>
      </c>
    </row>
    <row r="73" spans="1:9" x14ac:dyDescent="0.35">
      <c r="A73" s="74">
        <v>58</v>
      </c>
      <c r="B73" s="79" t="s">
        <v>252</v>
      </c>
      <c r="C73" s="79" t="s">
        <v>42</v>
      </c>
      <c r="D73" s="110"/>
      <c r="E73" s="110"/>
      <c r="F73" s="34"/>
      <c r="G73" s="34"/>
      <c r="H73" s="34"/>
      <c r="I73" s="34"/>
    </row>
    <row r="74" spans="1:9" x14ac:dyDescent="0.35">
      <c r="A74" s="74">
        <v>59</v>
      </c>
      <c r="B74" s="79" t="s">
        <v>252</v>
      </c>
      <c r="C74" s="79" t="s">
        <v>41</v>
      </c>
      <c r="D74" s="110">
        <v>20000</v>
      </c>
      <c r="E74" s="110">
        <v>20000</v>
      </c>
      <c r="F74" s="34">
        <f>D74+(D74*0.03)</f>
        <v>20600</v>
      </c>
      <c r="G74" s="34">
        <f t="shared" ref="G74:I85" si="6">F74+(F74*0.03)</f>
        <v>21218</v>
      </c>
      <c r="H74" s="34">
        <f t="shared" si="6"/>
        <v>21854.54</v>
      </c>
      <c r="I74" s="34">
        <f t="shared" si="6"/>
        <v>22510.176200000002</v>
      </c>
    </row>
    <row r="75" spans="1:9" x14ac:dyDescent="0.35">
      <c r="A75" s="74">
        <v>60</v>
      </c>
      <c r="B75" s="79" t="s">
        <v>252</v>
      </c>
      <c r="C75" s="79" t="s">
        <v>85</v>
      </c>
      <c r="D75" s="110"/>
      <c r="E75" s="110"/>
      <c r="F75" s="34"/>
      <c r="G75" s="34"/>
      <c r="H75" s="34"/>
      <c r="I75" s="34"/>
    </row>
    <row r="76" spans="1:9" x14ac:dyDescent="0.35">
      <c r="A76" s="74">
        <v>61</v>
      </c>
      <c r="B76" s="79" t="s">
        <v>254</v>
      </c>
      <c r="C76" s="79" t="s">
        <v>66</v>
      </c>
      <c r="D76" s="110">
        <v>40000</v>
      </c>
      <c r="E76" s="110">
        <v>40000</v>
      </c>
      <c r="F76" s="34">
        <f>D76+(D76*0.03)</f>
        <v>41200</v>
      </c>
      <c r="G76" s="34">
        <f t="shared" si="6"/>
        <v>42436</v>
      </c>
      <c r="H76" s="34">
        <f t="shared" si="6"/>
        <v>43709.08</v>
      </c>
      <c r="I76" s="34">
        <f t="shared" si="6"/>
        <v>45020.352400000003</v>
      </c>
    </row>
    <row r="77" spans="1:9" x14ac:dyDescent="0.35">
      <c r="A77" s="74">
        <v>62</v>
      </c>
      <c r="B77" s="79" t="s">
        <v>254</v>
      </c>
      <c r="C77" s="75" t="s">
        <v>68</v>
      </c>
      <c r="D77" s="110">
        <v>20000</v>
      </c>
      <c r="E77" s="110">
        <v>20000</v>
      </c>
      <c r="F77" s="34">
        <f>D77+(D77*0.03)</f>
        <v>20600</v>
      </c>
      <c r="G77" s="34">
        <f t="shared" si="6"/>
        <v>21218</v>
      </c>
      <c r="H77" s="34">
        <f t="shared" si="6"/>
        <v>21854.54</v>
      </c>
      <c r="I77" s="34">
        <f t="shared" si="6"/>
        <v>22510.176200000002</v>
      </c>
    </row>
    <row r="78" spans="1:9" x14ac:dyDescent="0.35">
      <c r="A78" s="74">
        <v>63</v>
      </c>
      <c r="B78" s="79" t="s">
        <v>254</v>
      </c>
      <c r="C78" s="79" t="s">
        <v>71</v>
      </c>
      <c r="D78" s="110"/>
      <c r="E78" s="110"/>
      <c r="F78" s="34"/>
      <c r="G78" s="34"/>
      <c r="H78" s="34"/>
      <c r="I78" s="34"/>
    </row>
    <row r="79" spans="1:9" x14ac:dyDescent="0.35">
      <c r="A79" s="74">
        <v>64</v>
      </c>
      <c r="B79" s="79" t="s">
        <v>255</v>
      </c>
      <c r="C79" s="79" t="s">
        <v>70</v>
      </c>
      <c r="D79" s="110"/>
      <c r="E79" s="110"/>
      <c r="F79" s="34"/>
      <c r="G79" s="34"/>
      <c r="H79" s="34"/>
      <c r="I79" s="34"/>
    </row>
    <row r="80" spans="1:9" x14ac:dyDescent="0.35">
      <c r="A80" s="74">
        <v>65</v>
      </c>
      <c r="B80" s="79" t="s">
        <v>248</v>
      </c>
      <c r="C80" s="74" t="s">
        <v>72</v>
      </c>
      <c r="D80" s="1157"/>
      <c r="E80" s="1157"/>
      <c r="F80" s="34"/>
      <c r="G80" s="34"/>
      <c r="H80" s="34"/>
      <c r="I80" s="34"/>
    </row>
    <row r="81" spans="1:14" x14ac:dyDescent="0.35">
      <c r="A81" s="74">
        <v>66</v>
      </c>
      <c r="B81" s="79" t="s">
        <v>255</v>
      </c>
      <c r="C81" s="75" t="s">
        <v>30</v>
      </c>
      <c r="D81" s="110">
        <v>10000</v>
      </c>
      <c r="E81" s="110">
        <v>10000</v>
      </c>
      <c r="F81" s="34">
        <f>D81+(D81*0.03)</f>
        <v>10300</v>
      </c>
      <c r="G81" s="34">
        <f t="shared" si="6"/>
        <v>10609</v>
      </c>
      <c r="H81" s="34">
        <f t="shared" si="6"/>
        <v>10927.27</v>
      </c>
      <c r="I81" s="34">
        <f t="shared" si="6"/>
        <v>11255.088100000001</v>
      </c>
    </row>
    <row r="82" spans="1:14" x14ac:dyDescent="0.35">
      <c r="A82" s="74">
        <v>67</v>
      </c>
      <c r="B82" s="79" t="s">
        <v>248</v>
      </c>
      <c r="C82" s="75" t="s">
        <v>40</v>
      </c>
      <c r="D82" s="110">
        <v>20000</v>
      </c>
      <c r="E82" s="110">
        <v>20000</v>
      </c>
      <c r="F82" s="34">
        <f>D82+(D82*0.03)</f>
        <v>20600</v>
      </c>
      <c r="G82" s="34">
        <f t="shared" si="6"/>
        <v>21218</v>
      </c>
      <c r="H82" s="34">
        <f t="shared" si="6"/>
        <v>21854.54</v>
      </c>
      <c r="I82" s="34">
        <f t="shared" si="6"/>
        <v>22510.176200000002</v>
      </c>
    </row>
    <row r="83" spans="1:14" x14ac:dyDescent="0.35">
      <c r="A83" s="74">
        <v>68</v>
      </c>
      <c r="B83" s="79" t="s">
        <v>256</v>
      </c>
      <c r="C83" s="79" t="s">
        <v>69</v>
      </c>
      <c r="D83" s="110"/>
      <c r="E83" s="110"/>
      <c r="F83" s="34"/>
      <c r="G83" s="34"/>
      <c r="H83" s="34"/>
      <c r="I83" s="34"/>
    </row>
    <row r="84" spans="1:14" x14ac:dyDescent="0.35">
      <c r="A84" s="74">
        <v>69</v>
      </c>
      <c r="B84" s="79" t="s">
        <v>257</v>
      </c>
      <c r="C84" s="79" t="s">
        <v>44</v>
      </c>
      <c r="D84" s="110">
        <v>150000</v>
      </c>
      <c r="E84" s="110">
        <v>150000</v>
      </c>
      <c r="F84" s="34">
        <f>D84+(D84*0.03)</f>
        <v>154500</v>
      </c>
      <c r="G84" s="34">
        <f t="shared" si="6"/>
        <v>159135</v>
      </c>
      <c r="H84" s="34">
        <f t="shared" si="6"/>
        <v>163909.04999999999</v>
      </c>
      <c r="I84" s="34">
        <f t="shared" si="6"/>
        <v>168826.32149999999</v>
      </c>
    </row>
    <row r="85" spans="1:14" ht="15" thickBot="1" x14ac:dyDescent="0.4">
      <c r="A85" s="74">
        <v>70</v>
      </c>
      <c r="B85" s="79" t="s">
        <v>257</v>
      </c>
      <c r="C85" s="79" t="s">
        <v>67</v>
      </c>
      <c r="D85" s="203">
        <v>25000</v>
      </c>
      <c r="E85" s="203">
        <v>25000</v>
      </c>
      <c r="F85" s="34">
        <f>D85+(D85*0.03)</f>
        <v>25750</v>
      </c>
      <c r="G85" s="34">
        <f t="shared" si="6"/>
        <v>26522.5</v>
      </c>
      <c r="H85" s="34">
        <f t="shared" si="6"/>
        <v>27318.174999999999</v>
      </c>
      <c r="I85" s="34">
        <f t="shared" si="6"/>
        <v>28137.720249999998</v>
      </c>
    </row>
    <row r="86" spans="1:14" ht="16" thickBot="1" x14ac:dyDescent="0.4">
      <c r="B86" s="204"/>
      <c r="C86" s="208" t="s">
        <v>518</v>
      </c>
      <c r="D86" s="209">
        <f>SUM(D35:D85)</f>
        <v>5334360</v>
      </c>
      <c r="E86" s="210" t="e">
        <f>SUM(E35:E85)</f>
        <v>#REF!</v>
      </c>
      <c r="F86" s="191">
        <f>SUM(F41:F85)</f>
        <v>2314565</v>
      </c>
      <c r="G86" s="38">
        <f>SUM(G41:G85)</f>
        <v>2469001.9500000002</v>
      </c>
      <c r="H86" s="38">
        <f>SUM(H41:H85)</f>
        <v>2625072.0085000005</v>
      </c>
      <c r="I86" s="38">
        <f>SUM(I41:I85)</f>
        <v>2682824.1687550009</v>
      </c>
    </row>
    <row r="87" spans="1:14" ht="15" thickBot="1" x14ac:dyDescent="0.4">
      <c r="D87" s="1179"/>
      <c r="E87" s="1180"/>
    </row>
    <row r="88" spans="1:14" ht="16" thickBot="1" x14ac:dyDescent="0.4">
      <c r="B88" s="212"/>
      <c r="C88" s="213" t="s">
        <v>558</v>
      </c>
      <c r="D88" s="214">
        <f t="shared" ref="D88:I88" si="7">D33-D86</f>
        <v>481619</v>
      </c>
      <c r="E88" s="230" t="e">
        <f t="shared" si="7"/>
        <v>#REF!</v>
      </c>
      <c r="F88" s="211">
        <f t="shared" si="7"/>
        <v>2648882.3067375887</v>
      </c>
      <c r="G88" s="85">
        <f t="shared" si="7"/>
        <v>2947173.5219359491</v>
      </c>
      <c r="H88" s="85">
        <f t="shared" si="7"/>
        <v>3214154.7320701461</v>
      </c>
      <c r="I88" s="85">
        <f t="shared" si="7"/>
        <v>3600633.8747426528</v>
      </c>
    </row>
    <row r="89" spans="1:14" ht="15" thickBot="1" x14ac:dyDescent="0.4">
      <c r="C89" s="86"/>
      <c r="D89" s="1179"/>
      <c r="E89" s="1179"/>
    </row>
    <row r="90" spans="1:14" ht="16" thickBot="1" x14ac:dyDescent="0.4">
      <c r="B90" s="212"/>
      <c r="C90" s="213" t="s">
        <v>559</v>
      </c>
      <c r="D90" s="216">
        <f t="shared" ref="D90:I90" si="8">D88</f>
        <v>481619</v>
      </c>
      <c r="E90" s="231" t="e">
        <f t="shared" si="8"/>
        <v>#REF!</v>
      </c>
      <c r="F90" s="215">
        <f t="shared" si="8"/>
        <v>2648882.3067375887</v>
      </c>
      <c r="G90" s="87">
        <f t="shared" si="8"/>
        <v>2947173.5219359491</v>
      </c>
      <c r="H90" s="87">
        <f t="shared" si="8"/>
        <v>3214154.7320701461</v>
      </c>
      <c r="I90" s="87">
        <f t="shared" si="8"/>
        <v>3600633.8747426528</v>
      </c>
    </row>
    <row r="92" spans="1:14" x14ac:dyDescent="0.35">
      <c r="B92" s="253" t="s">
        <v>560</v>
      </c>
      <c r="C92" s="253" t="s">
        <v>561</v>
      </c>
      <c r="D92" s="253" t="s">
        <v>562</v>
      </c>
      <c r="E92" s="253" t="s">
        <v>563</v>
      </c>
    </row>
    <row r="93" spans="1:14" x14ac:dyDescent="0.35">
      <c r="B93" t="s">
        <v>7</v>
      </c>
      <c r="C93" s="13">
        <f>E11</f>
        <v>0</v>
      </c>
      <c r="D93" s="480">
        <f>'Master Budgets'!P3</f>
        <v>0</v>
      </c>
      <c r="E93" t="str">
        <f>IF(C93=D93,"YEA","NOPE")</f>
        <v>YEA</v>
      </c>
    </row>
    <row r="94" spans="1:14" x14ac:dyDescent="0.35">
      <c r="B94" t="s">
        <v>564</v>
      </c>
      <c r="C94" s="13" t="e">
        <f>E33</f>
        <v>#REF!</v>
      </c>
      <c r="D94" s="480">
        <f>'Master Budgets'!P42</f>
        <v>5488856</v>
      </c>
      <c r="E94" s="235" t="e">
        <f>IF(C94=D94,"YEA","NOPE")</f>
        <v>#REF!</v>
      </c>
    </row>
    <row r="95" spans="1:14" x14ac:dyDescent="0.35">
      <c r="B95" t="s">
        <v>565</v>
      </c>
      <c r="C95" s="4" t="e">
        <f>E86</f>
        <v>#REF!</v>
      </c>
      <c r="D95" s="480" t="e">
        <f>'Master Budgets'!P176</f>
        <v>#REF!</v>
      </c>
      <c r="E95" t="e">
        <f>IF(C95=D95,"YEA","NOPE")</f>
        <v>#REF!</v>
      </c>
      <c r="N95" s="116"/>
    </row>
  </sheetData>
  <protectedRanges>
    <protectedRange algorithmName="SHA-512" hashValue="sib5Nlt62x8Cjehj5QpvQOfZQRWFyVXdW4ymlOfnLMMNdxZw1XVdONARla6+9R164l5kN77+d8cnUihMlL+w0A==" saltValue="TiYlffcKhraV9z9Br0ykmA==" spinCount="100000" sqref="D35:D40 D43:D47" name="Range1_1"/>
  </protectedRanges>
  <mergeCells count="1">
    <mergeCell ref="B1:I1"/>
  </mergeCells>
  <dataValidations count="1">
    <dataValidation type="list" allowBlank="1" showInputMessage="1" showErrorMessage="1" sqref="B33:B34 B47" xr:uid="{0848D09E-52B1-4BD0-8663-42931F074993}">
      <formula1>#REF!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A527-A6EF-4422-95E3-38418F8343DC}">
  <dimension ref="A1:D167"/>
  <sheetViews>
    <sheetView workbookViewId="0">
      <selection activeCell="K13" sqref="K13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3" width="14.453125" style="560" bestFit="1" customWidth="1"/>
    <col min="4" max="4" width="14.81640625" style="560" bestFit="1" customWidth="1"/>
    <col min="5" max="16384" width="9.1796875" style="319"/>
  </cols>
  <sheetData>
    <row r="1" spans="1:4" s="559" customFormat="1" ht="19" thickBot="1" x14ac:dyDescent="0.5">
      <c r="B1" s="584" t="s">
        <v>473</v>
      </c>
      <c r="C1" s="1246" t="s">
        <v>115</v>
      </c>
      <c r="D1" s="1247"/>
    </row>
    <row r="2" spans="1:4" s="559" customFormat="1" ht="18" customHeight="1" thickBot="1" x14ac:dyDescent="0.4">
      <c r="A2" s="575" t="s">
        <v>520</v>
      </c>
      <c r="B2" s="585" t="s">
        <v>94</v>
      </c>
      <c r="C2" s="600" t="s">
        <v>475</v>
      </c>
      <c r="D2" s="600" t="s">
        <v>96</v>
      </c>
    </row>
    <row r="3" spans="1:4" ht="16" thickBot="1" x14ac:dyDescent="0.4">
      <c r="A3" s="574" t="s">
        <v>521</v>
      </c>
      <c r="B3" s="320" t="s">
        <v>7</v>
      </c>
      <c r="C3" s="591">
        <f>'Mendez FY23-FY27 Budget'!D11</f>
        <v>0</v>
      </c>
      <c r="D3" s="592">
        <f>'Mendez FY23-FY27 Budget'!E11</f>
        <v>0</v>
      </c>
    </row>
    <row r="4" spans="1:4" ht="16" thickBot="1" x14ac:dyDescent="0.4">
      <c r="A4" s="575" t="s">
        <v>522</v>
      </c>
      <c r="B4" s="663" t="s">
        <v>353</v>
      </c>
      <c r="C4" s="556"/>
      <c r="D4" s="558"/>
    </row>
    <row r="5" spans="1:4" s="560" customFormat="1" x14ac:dyDescent="0.35">
      <c r="A5" s="576">
        <v>1</v>
      </c>
      <c r="B5" s="656" t="s">
        <v>99</v>
      </c>
      <c r="C5" s="662"/>
      <c r="D5" s="662"/>
    </row>
    <row r="6" spans="1:4" s="560" customFormat="1" x14ac:dyDescent="0.35">
      <c r="A6" s="577">
        <v>2</v>
      </c>
      <c r="B6" s="645" t="s">
        <v>477</v>
      </c>
      <c r="C6" s="655"/>
      <c r="D6" s="655"/>
    </row>
    <row r="7" spans="1:4" s="560" customFormat="1" x14ac:dyDescent="0.35">
      <c r="A7" s="577">
        <v>3</v>
      </c>
      <c r="B7" s="645" t="s">
        <v>478</v>
      </c>
      <c r="C7" s="655"/>
      <c r="D7" s="655"/>
    </row>
    <row r="8" spans="1:4" s="560" customFormat="1" x14ac:dyDescent="0.35">
      <c r="A8" s="576">
        <v>4</v>
      </c>
      <c r="B8" s="525" t="s">
        <v>101</v>
      </c>
      <c r="C8" s="606"/>
      <c r="D8" s="618"/>
    </row>
    <row r="9" spans="1:4" s="560" customFormat="1" x14ac:dyDescent="0.35">
      <c r="A9" s="576">
        <v>5</v>
      </c>
      <c r="B9" s="525" t="s">
        <v>356</v>
      </c>
      <c r="C9" s="606"/>
      <c r="D9" s="606"/>
    </row>
    <row r="10" spans="1:4" s="560" customFormat="1" x14ac:dyDescent="0.35">
      <c r="A10" s="577">
        <v>6</v>
      </c>
      <c r="B10" s="614" t="s">
        <v>262</v>
      </c>
      <c r="C10" s="606"/>
      <c r="D10" s="606"/>
    </row>
    <row r="11" spans="1:4" s="560" customFormat="1" x14ac:dyDescent="0.35">
      <c r="A11" s="577">
        <v>7</v>
      </c>
      <c r="B11" s="614" t="s">
        <v>19</v>
      </c>
      <c r="C11" s="606"/>
      <c r="D11" s="606"/>
    </row>
    <row r="12" spans="1:4" s="560" customFormat="1" x14ac:dyDescent="0.35">
      <c r="A12" s="577">
        <v>8</v>
      </c>
      <c r="B12" s="614" t="s">
        <v>18</v>
      </c>
      <c r="C12" s="606"/>
      <c r="D12" s="606"/>
    </row>
    <row r="13" spans="1:4" s="560" customFormat="1" x14ac:dyDescent="0.35">
      <c r="A13" s="578">
        <v>9</v>
      </c>
      <c r="B13" s="525" t="s">
        <v>218</v>
      </c>
      <c r="C13" s="606"/>
      <c r="D13" s="606"/>
    </row>
    <row r="14" spans="1:4" s="560" customFormat="1" x14ac:dyDescent="0.35">
      <c r="A14" s="578">
        <v>10</v>
      </c>
      <c r="B14" s="525" t="s">
        <v>357</v>
      </c>
      <c r="C14" s="606"/>
      <c r="D14" s="606"/>
    </row>
    <row r="15" spans="1:4" s="560" customFormat="1" x14ac:dyDescent="0.35">
      <c r="A15" s="578">
        <v>11</v>
      </c>
      <c r="B15" s="525" t="s">
        <v>219</v>
      </c>
      <c r="C15" s="606"/>
      <c r="D15" s="606"/>
    </row>
    <row r="16" spans="1:4" s="560" customFormat="1" x14ac:dyDescent="0.35">
      <c r="A16" s="578">
        <v>12</v>
      </c>
      <c r="B16" s="525" t="s">
        <v>230</v>
      </c>
      <c r="C16" s="606"/>
      <c r="D16" s="606"/>
    </row>
    <row r="17" spans="1:4" s="560" customFormat="1" x14ac:dyDescent="0.35">
      <c r="A17" s="578">
        <v>13</v>
      </c>
      <c r="B17" s="525" t="s">
        <v>359</v>
      </c>
      <c r="C17" s="606"/>
      <c r="D17" s="606"/>
    </row>
    <row r="18" spans="1:4" s="560" customFormat="1" x14ac:dyDescent="0.35">
      <c r="A18" s="578">
        <v>14</v>
      </c>
      <c r="B18" s="525" t="s">
        <v>260</v>
      </c>
      <c r="C18" s="606"/>
      <c r="D18" s="606"/>
    </row>
    <row r="19" spans="1:4" s="560" customFormat="1" x14ac:dyDescent="0.35">
      <c r="A19" s="578">
        <v>15</v>
      </c>
      <c r="B19" s="525" t="s">
        <v>12</v>
      </c>
      <c r="C19" s="606"/>
      <c r="D19" s="606"/>
    </row>
    <row r="20" spans="1:4" s="560" customFormat="1" x14ac:dyDescent="0.35">
      <c r="A20" s="578">
        <v>16</v>
      </c>
      <c r="B20" s="525" t="s">
        <v>220</v>
      </c>
      <c r="C20" s="606"/>
      <c r="D20" s="606"/>
    </row>
    <row r="21" spans="1:4" s="560" customFormat="1" x14ac:dyDescent="0.35">
      <c r="A21" s="578">
        <v>17</v>
      </c>
      <c r="B21" s="525" t="s">
        <v>8</v>
      </c>
      <c r="C21" s="606"/>
      <c r="D21" s="606"/>
    </row>
    <row r="22" spans="1:4" s="560" customFormat="1" x14ac:dyDescent="0.35">
      <c r="A22" s="578">
        <v>18</v>
      </c>
      <c r="B22" s="525" t="s">
        <v>117</v>
      </c>
      <c r="C22" s="606"/>
      <c r="D22" s="606"/>
    </row>
    <row r="23" spans="1:4" s="560" customFormat="1" x14ac:dyDescent="0.35">
      <c r="A23" s="578">
        <v>19</v>
      </c>
      <c r="B23" s="525" t="s">
        <v>118</v>
      </c>
      <c r="C23" s="606"/>
      <c r="D23" s="606"/>
    </row>
    <row r="24" spans="1:4" s="560" customFormat="1" x14ac:dyDescent="0.35">
      <c r="A24" s="576">
        <v>20</v>
      </c>
      <c r="B24" s="525" t="s">
        <v>108</v>
      </c>
      <c r="C24" s="606"/>
      <c r="D24" s="606"/>
    </row>
    <row r="25" spans="1:4" s="560" customFormat="1" x14ac:dyDescent="0.35">
      <c r="A25" s="577">
        <v>21</v>
      </c>
      <c r="B25" s="614" t="s">
        <v>13</v>
      </c>
      <c r="C25" s="606"/>
      <c r="D25" s="606"/>
    </row>
    <row r="26" spans="1:4" s="560" customFormat="1" x14ac:dyDescent="0.35">
      <c r="A26" s="577">
        <v>22</v>
      </c>
      <c r="B26" s="614" t="s">
        <v>20</v>
      </c>
      <c r="C26" s="606"/>
      <c r="D26" s="606"/>
    </row>
    <row r="27" spans="1:4" s="560" customFormat="1" x14ac:dyDescent="0.35">
      <c r="A27" s="576">
        <v>23</v>
      </c>
      <c r="B27" s="525" t="s">
        <v>104</v>
      </c>
      <c r="C27" s="606"/>
      <c r="D27" s="606"/>
    </row>
    <row r="28" spans="1:4" s="560" customFormat="1" x14ac:dyDescent="0.35">
      <c r="A28" s="576">
        <v>24</v>
      </c>
      <c r="B28" s="525" t="s">
        <v>105</v>
      </c>
      <c r="C28" s="606"/>
      <c r="D28" s="606"/>
    </row>
    <row r="29" spans="1:4" s="560" customFormat="1" x14ac:dyDescent="0.35">
      <c r="A29" s="576">
        <v>25</v>
      </c>
      <c r="B29" s="525" t="s">
        <v>106</v>
      </c>
      <c r="C29" s="606"/>
      <c r="D29" s="606"/>
    </row>
    <row r="30" spans="1:4" s="560" customFormat="1" x14ac:dyDescent="0.35">
      <c r="A30" s="576">
        <v>26</v>
      </c>
      <c r="B30" s="525" t="s">
        <v>107</v>
      </c>
      <c r="C30" s="606"/>
      <c r="D30" s="606"/>
    </row>
    <row r="31" spans="1:4" s="560" customFormat="1" x14ac:dyDescent="0.35">
      <c r="A31" s="576">
        <v>27</v>
      </c>
      <c r="B31" s="525" t="s">
        <v>109</v>
      </c>
      <c r="C31" s="606"/>
      <c r="D31" s="606"/>
    </row>
    <row r="32" spans="1:4" s="560" customFormat="1" x14ac:dyDescent="0.35">
      <c r="A32" s="577">
        <v>28</v>
      </c>
      <c r="B32" s="525" t="s">
        <v>222</v>
      </c>
      <c r="C32" s="606"/>
      <c r="D32" s="606"/>
    </row>
    <row r="33" spans="1:4" s="560" customFormat="1" x14ac:dyDescent="0.35">
      <c r="A33" s="578">
        <v>29</v>
      </c>
      <c r="B33" s="525" t="s">
        <v>361</v>
      </c>
      <c r="C33" s="606"/>
      <c r="D33" s="606"/>
    </row>
    <row r="34" spans="1:4" s="560" customFormat="1" x14ac:dyDescent="0.35">
      <c r="A34" s="578">
        <v>30</v>
      </c>
      <c r="B34" s="525" t="s">
        <v>111</v>
      </c>
      <c r="C34" s="606"/>
      <c r="D34" s="606"/>
    </row>
    <row r="35" spans="1:4" s="560" customFormat="1" x14ac:dyDescent="0.35">
      <c r="A35" s="577">
        <v>31</v>
      </c>
      <c r="B35" s="614" t="s">
        <v>261</v>
      </c>
      <c r="C35" s="606"/>
      <c r="D35" s="606"/>
    </row>
    <row r="36" spans="1:4" s="560" customFormat="1" x14ac:dyDescent="0.35">
      <c r="A36" s="576">
        <v>32</v>
      </c>
      <c r="B36" s="525" t="s">
        <v>479</v>
      </c>
      <c r="C36" s="606"/>
      <c r="D36" s="606"/>
    </row>
    <row r="37" spans="1:4" s="560" customFormat="1" x14ac:dyDescent="0.35">
      <c r="A37" s="579">
        <v>33</v>
      </c>
      <c r="B37" s="525" t="s">
        <v>264</v>
      </c>
      <c r="C37" s="606"/>
      <c r="D37" s="606"/>
    </row>
    <row r="38" spans="1:4" s="560" customFormat="1" x14ac:dyDescent="0.35">
      <c r="A38" s="577">
        <v>34</v>
      </c>
      <c r="B38" s="614" t="s">
        <v>14</v>
      </c>
      <c r="C38" s="606"/>
      <c r="D38" s="606"/>
    </row>
    <row r="39" spans="1:4" s="560" customFormat="1" x14ac:dyDescent="0.35">
      <c r="A39" s="577">
        <v>35</v>
      </c>
      <c r="B39" s="617" t="s">
        <v>368</v>
      </c>
      <c r="C39" s="606"/>
      <c r="D39" s="618"/>
    </row>
    <row r="40" spans="1:4" s="560" customFormat="1" x14ac:dyDescent="0.35">
      <c r="A40" s="577">
        <v>36</v>
      </c>
      <c r="B40" s="614" t="s">
        <v>265</v>
      </c>
      <c r="C40" s="606"/>
      <c r="D40" s="606"/>
    </row>
    <row r="41" spans="1:4" s="560" customFormat="1" x14ac:dyDescent="0.35">
      <c r="A41" s="577">
        <v>37</v>
      </c>
      <c r="B41" s="617" t="s">
        <v>480</v>
      </c>
      <c r="C41" s="606"/>
      <c r="D41" s="606"/>
    </row>
    <row r="42" spans="1:4" s="568" customFormat="1" ht="15.5" x14ac:dyDescent="0.35">
      <c r="A42" s="580"/>
      <c r="B42" s="561" t="s">
        <v>371</v>
      </c>
      <c r="C42" s="567"/>
      <c r="D42" s="567"/>
    </row>
    <row r="43" spans="1:4" s="568" customFormat="1" ht="9.75" customHeight="1" x14ac:dyDescent="0.35">
      <c r="A43" s="581"/>
      <c r="B43" s="569"/>
      <c r="C43" s="570"/>
      <c r="D43" s="570"/>
    </row>
    <row r="44" spans="1:4" ht="15.5" x14ac:dyDescent="0.35">
      <c r="A44" s="575"/>
      <c r="B44" s="554" t="s">
        <v>372</v>
      </c>
      <c r="C44" s="554"/>
      <c r="D44" s="554"/>
    </row>
    <row r="45" spans="1:4" x14ac:dyDescent="0.35">
      <c r="A45" s="576">
        <v>1</v>
      </c>
      <c r="B45" s="524" t="s">
        <v>373</v>
      </c>
      <c r="C45" s="606"/>
      <c r="D45" s="606"/>
    </row>
    <row r="46" spans="1:4" x14ac:dyDescent="0.35">
      <c r="A46" s="576">
        <v>2</v>
      </c>
      <c r="B46" s="525" t="s">
        <v>374</v>
      </c>
      <c r="C46" s="606"/>
      <c r="D46" s="606"/>
    </row>
    <row r="47" spans="1:4" x14ac:dyDescent="0.35">
      <c r="A47" s="576">
        <v>3</v>
      </c>
      <c r="B47" s="607" t="s">
        <v>375</v>
      </c>
      <c r="C47" s="606"/>
      <c r="D47" s="606"/>
    </row>
    <row r="48" spans="1:4" x14ac:dyDescent="0.35">
      <c r="A48" s="576">
        <v>4</v>
      </c>
      <c r="B48" s="524" t="s">
        <v>483</v>
      </c>
      <c r="C48" s="606"/>
      <c r="D48" s="606"/>
    </row>
    <row r="49" spans="1:4" x14ac:dyDescent="0.35">
      <c r="A49" s="576">
        <v>5</v>
      </c>
      <c r="B49" s="524" t="s">
        <v>378</v>
      </c>
      <c r="C49" s="606"/>
      <c r="D49" s="606"/>
    </row>
    <row r="50" spans="1:4" x14ac:dyDescent="0.35">
      <c r="A50" s="576">
        <v>8</v>
      </c>
      <c r="B50" s="524" t="s">
        <v>484</v>
      </c>
      <c r="C50" s="606"/>
      <c r="D50" s="606"/>
    </row>
    <row r="51" spans="1:4" x14ac:dyDescent="0.35">
      <c r="A51" s="576">
        <v>6</v>
      </c>
      <c r="B51" s="524" t="s">
        <v>381</v>
      </c>
      <c r="C51" s="606"/>
      <c r="D51" s="606"/>
    </row>
    <row r="52" spans="1:4" x14ac:dyDescent="0.35">
      <c r="A52" s="576">
        <v>7</v>
      </c>
      <c r="B52" s="524" t="s">
        <v>382</v>
      </c>
      <c r="C52" s="606"/>
      <c r="D52" s="606"/>
    </row>
    <row r="53" spans="1:4" x14ac:dyDescent="0.35">
      <c r="A53" s="576">
        <v>9</v>
      </c>
      <c r="B53" s="524" t="s">
        <v>384</v>
      </c>
      <c r="C53" s="606"/>
      <c r="D53" s="606"/>
    </row>
    <row r="54" spans="1:4" x14ac:dyDescent="0.35">
      <c r="A54" s="576">
        <v>10</v>
      </c>
      <c r="B54" s="550" t="s">
        <v>485</v>
      </c>
      <c r="C54" s="606"/>
      <c r="D54" s="606"/>
    </row>
    <row r="55" spans="1:4" x14ac:dyDescent="0.35">
      <c r="A55" s="576">
        <v>11</v>
      </c>
      <c r="B55" s="550" t="s">
        <v>486</v>
      </c>
      <c r="C55" s="606"/>
      <c r="D55" s="606"/>
    </row>
    <row r="56" spans="1:4" x14ac:dyDescent="0.35">
      <c r="A56" s="576">
        <v>12</v>
      </c>
      <c r="B56" s="524" t="s">
        <v>487</v>
      </c>
      <c r="C56" s="606"/>
      <c r="D56" s="606"/>
    </row>
    <row r="57" spans="1:4" x14ac:dyDescent="0.35">
      <c r="A57" s="576">
        <v>13</v>
      </c>
      <c r="B57" s="550" t="s">
        <v>523</v>
      </c>
      <c r="C57" s="606"/>
      <c r="D57" s="606"/>
    </row>
    <row r="58" spans="1:4" x14ac:dyDescent="0.35">
      <c r="A58" s="576">
        <v>14</v>
      </c>
      <c r="B58" s="550" t="s">
        <v>524</v>
      </c>
      <c r="C58" s="606"/>
      <c r="D58" s="606"/>
    </row>
    <row r="59" spans="1:4" x14ac:dyDescent="0.35">
      <c r="A59" s="576">
        <v>15</v>
      </c>
      <c r="B59" s="550" t="s">
        <v>490</v>
      </c>
      <c r="C59" s="606"/>
      <c r="D59" s="606"/>
    </row>
    <row r="60" spans="1:4" x14ac:dyDescent="0.35">
      <c r="A60" s="576">
        <v>16</v>
      </c>
      <c r="B60" s="524" t="s">
        <v>491</v>
      </c>
      <c r="C60" s="606"/>
      <c r="D60" s="606"/>
    </row>
    <row r="61" spans="1:4" x14ac:dyDescent="0.35">
      <c r="A61" s="576">
        <v>17</v>
      </c>
      <c r="B61" s="524" t="s">
        <v>492</v>
      </c>
      <c r="C61" s="606"/>
      <c r="D61" s="606"/>
    </row>
    <row r="62" spans="1:4" x14ac:dyDescent="0.35">
      <c r="A62" s="576">
        <v>18</v>
      </c>
      <c r="B62" s="524" t="s">
        <v>244</v>
      </c>
      <c r="C62" s="606"/>
      <c r="D62" s="606"/>
    </row>
    <row r="63" spans="1:4" x14ac:dyDescent="0.35">
      <c r="A63" s="576">
        <v>19</v>
      </c>
      <c r="B63" s="524" t="s">
        <v>397</v>
      </c>
      <c r="C63" s="606"/>
      <c r="D63" s="606"/>
    </row>
    <row r="64" spans="1:4" x14ac:dyDescent="0.35">
      <c r="A64" s="576">
        <v>20</v>
      </c>
      <c r="B64" s="524" t="s">
        <v>398</v>
      </c>
      <c r="C64" s="606"/>
      <c r="D64" s="606"/>
    </row>
    <row r="65" spans="1:4" x14ac:dyDescent="0.35">
      <c r="A65" s="576">
        <v>21</v>
      </c>
      <c r="B65" s="524" t="s">
        <v>399</v>
      </c>
      <c r="C65" s="606"/>
      <c r="D65" s="606"/>
    </row>
    <row r="66" spans="1:4" x14ac:dyDescent="0.35">
      <c r="A66" s="576">
        <v>22</v>
      </c>
      <c r="B66" s="524" t="s">
        <v>525</v>
      </c>
      <c r="C66" s="606"/>
      <c r="D66" s="606"/>
    </row>
    <row r="67" spans="1:4" x14ac:dyDescent="0.35">
      <c r="A67" s="576">
        <v>23</v>
      </c>
      <c r="B67" s="551" t="s">
        <v>526</v>
      </c>
      <c r="C67" s="606"/>
      <c r="D67" s="606"/>
    </row>
    <row r="68" spans="1:4" x14ac:dyDescent="0.35">
      <c r="A68" s="576">
        <v>24</v>
      </c>
      <c r="B68" s="551" t="s">
        <v>494</v>
      </c>
      <c r="C68" s="606"/>
      <c r="D68" s="606"/>
    </row>
    <row r="69" spans="1:4" s="560" customFormat="1" x14ac:dyDescent="0.35">
      <c r="A69" s="576">
        <v>25</v>
      </c>
      <c r="B69" s="551" t="s">
        <v>171</v>
      </c>
      <c r="C69" s="606"/>
      <c r="D69" s="606"/>
    </row>
    <row r="70" spans="1:4" x14ac:dyDescent="0.35">
      <c r="A70" s="576">
        <v>26</v>
      </c>
      <c r="B70" s="551" t="s">
        <v>314</v>
      </c>
      <c r="C70" s="606"/>
      <c r="D70" s="606"/>
    </row>
    <row r="71" spans="1:4" x14ac:dyDescent="0.35">
      <c r="A71" s="576">
        <v>27</v>
      </c>
      <c r="B71" s="524" t="s">
        <v>195</v>
      </c>
      <c r="C71" s="606"/>
      <c r="D71" s="606"/>
    </row>
    <row r="72" spans="1:4" x14ac:dyDescent="0.35">
      <c r="A72" s="576">
        <v>28</v>
      </c>
      <c r="B72" s="524" t="s">
        <v>495</v>
      </c>
      <c r="C72" s="606"/>
      <c r="D72" s="606"/>
    </row>
    <row r="73" spans="1:4" x14ac:dyDescent="0.35">
      <c r="A73" s="576">
        <v>29</v>
      </c>
      <c r="B73" s="524" t="s">
        <v>527</v>
      </c>
      <c r="C73" s="606"/>
      <c r="D73" s="606"/>
    </row>
    <row r="74" spans="1:4" x14ac:dyDescent="0.35">
      <c r="A74" s="576">
        <v>30</v>
      </c>
      <c r="B74" s="524" t="s">
        <v>505</v>
      </c>
      <c r="C74" s="606"/>
      <c r="D74" s="606"/>
    </row>
    <row r="75" spans="1:4" x14ac:dyDescent="0.35">
      <c r="A75" s="576">
        <v>31</v>
      </c>
      <c r="B75" s="524" t="s">
        <v>507</v>
      </c>
      <c r="C75" s="606"/>
      <c r="D75" s="606"/>
    </row>
    <row r="76" spans="1:4" x14ac:dyDescent="0.35">
      <c r="A76" s="576">
        <v>32</v>
      </c>
      <c r="B76" s="608" t="s">
        <v>511</v>
      </c>
      <c r="C76" s="606"/>
      <c r="D76" s="606"/>
    </row>
    <row r="77" spans="1:4" x14ac:dyDescent="0.35">
      <c r="A77" s="576">
        <v>33</v>
      </c>
      <c r="B77" s="608" t="s">
        <v>512</v>
      </c>
      <c r="C77" s="606"/>
      <c r="D77" s="606"/>
    </row>
    <row r="78" spans="1:4" x14ac:dyDescent="0.35">
      <c r="A78" s="576">
        <v>34</v>
      </c>
      <c r="B78" s="609" t="s">
        <v>202</v>
      </c>
      <c r="C78" s="606"/>
      <c r="D78" s="606"/>
    </row>
    <row r="79" spans="1:4" x14ac:dyDescent="0.35">
      <c r="A79" s="576">
        <v>35</v>
      </c>
      <c r="B79" s="524" t="s">
        <v>508</v>
      </c>
      <c r="C79" s="606"/>
      <c r="D79" s="606"/>
    </row>
    <row r="80" spans="1:4" x14ac:dyDescent="0.35">
      <c r="A80" s="576">
        <v>36</v>
      </c>
      <c r="B80" s="552" t="s">
        <v>528</v>
      </c>
      <c r="C80" s="606"/>
      <c r="D80" s="606"/>
    </row>
    <row r="81" spans="1:4" x14ac:dyDescent="0.35">
      <c r="A81" s="576">
        <v>37</v>
      </c>
      <c r="B81" s="524" t="s">
        <v>198</v>
      </c>
      <c r="C81" s="606"/>
      <c r="D81" s="606"/>
    </row>
    <row r="82" spans="1:4" x14ac:dyDescent="0.35">
      <c r="A82" s="576">
        <v>38</v>
      </c>
      <c r="B82" s="524" t="s">
        <v>316</v>
      </c>
      <c r="C82" s="606"/>
      <c r="D82" s="606"/>
    </row>
    <row r="83" spans="1:4" x14ac:dyDescent="0.35">
      <c r="A83" s="576">
        <v>39</v>
      </c>
      <c r="B83" s="610" t="s">
        <v>317</v>
      </c>
      <c r="C83" s="606"/>
      <c r="D83" s="606"/>
    </row>
    <row r="84" spans="1:4" x14ac:dyDescent="0.35">
      <c r="A84" s="576">
        <v>40</v>
      </c>
      <c r="B84" s="524" t="s">
        <v>404</v>
      </c>
      <c r="C84" s="606"/>
      <c r="D84" s="606"/>
    </row>
    <row r="85" spans="1:4" x14ac:dyDescent="0.35">
      <c r="A85" s="576">
        <v>41</v>
      </c>
      <c r="B85" s="524" t="s">
        <v>496</v>
      </c>
      <c r="C85" s="606"/>
      <c r="D85" s="606"/>
    </row>
    <row r="86" spans="1:4" x14ac:dyDescent="0.35">
      <c r="A86" s="576">
        <v>42</v>
      </c>
      <c r="B86" s="524" t="s">
        <v>497</v>
      </c>
      <c r="C86" s="606"/>
      <c r="D86" s="606"/>
    </row>
    <row r="87" spans="1:4" x14ac:dyDescent="0.35">
      <c r="A87" s="576">
        <v>43</v>
      </c>
      <c r="B87" s="524" t="s">
        <v>173</v>
      </c>
      <c r="C87" s="606"/>
      <c r="D87" s="606"/>
    </row>
    <row r="88" spans="1:4" x14ac:dyDescent="0.35">
      <c r="A88" s="576">
        <v>44</v>
      </c>
      <c r="B88" s="524" t="s">
        <v>179</v>
      </c>
      <c r="C88" s="606"/>
      <c r="D88" s="606"/>
    </row>
    <row r="89" spans="1:4" x14ac:dyDescent="0.35">
      <c r="A89" s="576">
        <v>45</v>
      </c>
      <c r="B89" s="603" t="s">
        <v>529</v>
      </c>
      <c r="C89" s="606"/>
      <c r="D89" s="606"/>
    </row>
    <row r="90" spans="1:4" x14ac:dyDescent="0.35">
      <c r="A90" s="576">
        <v>46</v>
      </c>
      <c r="B90" s="603" t="s">
        <v>174</v>
      </c>
      <c r="C90" s="606"/>
      <c r="D90" s="606"/>
    </row>
    <row r="91" spans="1:4" x14ac:dyDescent="0.35">
      <c r="A91" s="576">
        <v>47</v>
      </c>
      <c r="B91" s="524" t="s">
        <v>175</v>
      </c>
      <c r="C91" s="606"/>
      <c r="D91" s="606"/>
    </row>
    <row r="92" spans="1:4" x14ac:dyDescent="0.35">
      <c r="A92" s="576">
        <v>48</v>
      </c>
      <c r="B92" s="527" t="s">
        <v>406</v>
      </c>
      <c r="C92" s="606"/>
      <c r="D92" s="606"/>
    </row>
    <row r="93" spans="1:4" x14ac:dyDescent="0.35">
      <c r="A93" s="576">
        <v>49</v>
      </c>
      <c r="B93" s="524" t="s">
        <v>176</v>
      </c>
      <c r="C93" s="606"/>
      <c r="D93" s="606"/>
    </row>
    <row r="94" spans="1:4" x14ac:dyDescent="0.35">
      <c r="A94" s="576">
        <v>50</v>
      </c>
      <c r="B94" s="526" t="s">
        <v>407</v>
      </c>
      <c r="C94" s="606"/>
      <c r="D94" s="606"/>
    </row>
    <row r="95" spans="1:4" x14ac:dyDescent="0.35">
      <c r="A95" s="576">
        <v>51</v>
      </c>
      <c r="B95" s="524" t="s">
        <v>125</v>
      </c>
      <c r="C95" s="606"/>
      <c r="D95" s="606"/>
    </row>
    <row r="96" spans="1:4" x14ac:dyDescent="0.35">
      <c r="A96" s="576">
        <v>52</v>
      </c>
      <c r="B96" s="610" t="s">
        <v>498</v>
      </c>
      <c r="C96" s="606"/>
      <c r="D96" s="606"/>
    </row>
    <row r="97" spans="1:4" x14ac:dyDescent="0.35">
      <c r="A97" s="576">
        <v>53</v>
      </c>
      <c r="B97" s="610" t="s">
        <v>178</v>
      </c>
      <c r="C97" s="606"/>
      <c r="D97" s="606"/>
    </row>
    <row r="98" spans="1:4" x14ac:dyDescent="0.35">
      <c r="A98" s="576">
        <v>54</v>
      </c>
      <c r="B98" s="526" t="s">
        <v>410</v>
      </c>
      <c r="C98" s="606"/>
      <c r="D98" s="606"/>
    </row>
    <row r="99" spans="1:4" x14ac:dyDescent="0.35">
      <c r="A99" s="576">
        <v>55</v>
      </c>
      <c r="B99" s="526" t="s">
        <v>411</v>
      </c>
      <c r="C99" s="606"/>
      <c r="D99" s="606"/>
    </row>
    <row r="100" spans="1:4" x14ac:dyDescent="0.35">
      <c r="A100" s="576">
        <v>56</v>
      </c>
      <c r="B100" s="526" t="s">
        <v>412</v>
      </c>
      <c r="C100" s="606"/>
      <c r="D100" s="606"/>
    </row>
    <row r="101" spans="1:4" x14ac:dyDescent="0.35">
      <c r="A101" s="576">
        <v>57</v>
      </c>
      <c r="B101" s="524" t="s">
        <v>182</v>
      </c>
      <c r="C101" s="606"/>
      <c r="D101" s="606"/>
    </row>
    <row r="102" spans="1:4" x14ac:dyDescent="0.35">
      <c r="A102" s="576">
        <v>58</v>
      </c>
      <c r="B102" s="524" t="s">
        <v>183</v>
      </c>
      <c r="C102" s="606"/>
      <c r="D102" s="606"/>
    </row>
    <row r="103" spans="1:4" x14ac:dyDescent="0.35">
      <c r="A103" s="576">
        <v>59</v>
      </c>
      <c r="B103" s="528" t="s">
        <v>413</v>
      </c>
      <c r="C103" s="606"/>
      <c r="D103" s="606"/>
    </row>
    <row r="104" spans="1:4" x14ac:dyDescent="0.35">
      <c r="A104" s="576">
        <v>60</v>
      </c>
      <c r="B104" s="528" t="s">
        <v>499</v>
      </c>
      <c r="C104" s="606"/>
      <c r="D104" s="606"/>
    </row>
    <row r="105" spans="1:4" x14ac:dyDescent="0.35">
      <c r="A105" s="576">
        <v>61</v>
      </c>
      <c r="B105" s="524" t="s">
        <v>184</v>
      </c>
      <c r="C105" s="606"/>
      <c r="D105" s="606"/>
    </row>
    <row r="106" spans="1:4" x14ac:dyDescent="0.35">
      <c r="A106" s="576">
        <v>62</v>
      </c>
      <c r="B106" s="524" t="s">
        <v>185</v>
      </c>
      <c r="C106" s="606"/>
      <c r="D106" s="606"/>
    </row>
    <row r="107" spans="1:4" x14ac:dyDescent="0.35">
      <c r="A107" s="576">
        <v>63</v>
      </c>
      <c r="B107" s="528" t="s">
        <v>415</v>
      </c>
      <c r="C107" s="606"/>
      <c r="D107" s="606"/>
    </row>
    <row r="108" spans="1:4" x14ac:dyDescent="0.35">
      <c r="A108" s="576">
        <v>64</v>
      </c>
      <c r="B108" s="528" t="s">
        <v>503</v>
      </c>
      <c r="C108" s="606"/>
      <c r="D108" s="606"/>
    </row>
    <row r="109" spans="1:4" x14ac:dyDescent="0.35">
      <c r="A109" s="576">
        <v>65</v>
      </c>
      <c r="B109" s="524" t="s">
        <v>186</v>
      </c>
      <c r="C109" s="606"/>
      <c r="D109" s="606"/>
    </row>
    <row r="110" spans="1:4" x14ac:dyDescent="0.35">
      <c r="A110" s="576">
        <v>66</v>
      </c>
      <c r="B110" s="524" t="s">
        <v>187</v>
      </c>
      <c r="C110" s="606"/>
      <c r="D110" s="606"/>
    </row>
    <row r="111" spans="1:4" x14ac:dyDescent="0.35">
      <c r="A111" s="576">
        <v>67</v>
      </c>
      <c r="B111" s="524" t="s">
        <v>188</v>
      </c>
      <c r="C111" s="606"/>
      <c r="D111" s="606"/>
    </row>
    <row r="112" spans="1:4" x14ac:dyDescent="0.35">
      <c r="A112" s="576">
        <v>68</v>
      </c>
      <c r="B112" s="524" t="s">
        <v>194</v>
      </c>
      <c r="C112" s="606"/>
      <c r="D112" s="606"/>
    </row>
    <row r="113" spans="1:4" x14ac:dyDescent="0.35">
      <c r="A113" s="576">
        <v>69</v>
      </c>
      <c r="B113" s="524" t="s">
        <v>322</v>
      </c>
      <c r="C113" s="606"/>
      <c r="D113" s="606"/>
    </row>
    <row r="114" spans="1:4" x14ac:dyDescent="0.35">
      <c r="A114" s="576">
        <v>70</v>
      </c>
      <c r="B114" s="526" t="s">
        <v>417</v>
      </c>
      <c r="C114" s="606"/>
      <c r="D114" s="606"/>
    </row>
    <row r="115" spans="1:4" x14ac:dyDescent="0.35">
      <c r="A115" s="576">
        <v>71</v>
      </c>
      <c r="B115" s="524" t="s">
        <v>189</v>
      </c>
      <c r="C115" s="606"/>
      <c r="D115" s="606"/>
    </row>
    <row r="116" spans="1:4" x14ac:dyDescent="0.35">
      <c r="A116" s="576">
        <v>72</v>
      </c>
      <c r="B116" s="526" t="s">
        <v>419</v>
      </c>
      <c r="C116" s="606"/>
      <c r="D116" s="606"/>
    </row>
    <row r="117" spans="1:4" x14ac:dyDescent="0.35">
      <c r="A117" s="576">
        <v>73</v>
      </c>
      <c r="B117" s="602" t="s">
        <v>530</v>
      </c>
      <c r="C117" s="606"/>
      <c r="D117" s="606"/>
    </row>
    <row r="118" spans="1:4" x14ac:dyDescent="0.35">
      <c r="A118" s="576">
        <v>74</v>
      </c>
      <c r="B118" s="524" t="s">
        <v>191</v>
      </c>
      <c r="C118" s="606"/>
      <c r="D118" s="606"/>
    </row>
    <row r="119" spans="1:4" x14ac:dyDescent="0.35">
      <c r="A119" s="576">
        <v>75</v>
      </c>
      <c r="B119" s="524" t="s">
        <v>192</v>
      </c>
      <c r="C119" s="606"/>
      <c r="D119" s="606"/>
    </row>
    <row r="120" spans="1:4" x14ac:dyDescent="0.35">
      <c r="A120" s="576">
        <v>76</v>
      </c>
      <c r="B120" s="524" t="s">
        <v>193</v>
      </c>
      <c r="C120" s="606"/>
      <c r="D120" s="606"/>
    </row>
    <row r="121" spans="1:4" x14ac:dyDescent="0.35">
      <c r="A121" s="576">
        <v>77</v>
      </c>
      <c r="B121" s="524" t="s">
        <v>212</v>
      </c>
      <c r="C121" s="606"/>
      <c r="D121" s="606"/>
    </row>
    <row r="122" spans="1:4" x14ac:dyDescent="0.35">
      <c r="A122" s="576">
        <v>78</v>
      </c>
      <c r="B122" s="524" t="s">
        <v>204</v>
      </c>
      <c r="C122" s="606"/>
      <c r="D122" s="606"/>
    </row>
    <row r="123" spans="1:4" x14ac:dyDescent="0.35">
      <c r="A123" s="576">
        <v>79</v>
      </c>
      <c r="B123" s="524" t="s">
        <v>205</v>
      </c>
      <c r="C123" s="606"/>
      <c r="D123" s="606"/>
    </row>
    <row r="124" spans="1:4" x14ac:dyDescent="0.35">
      <c r="A124" s="576">
        <v>80</v>
      </c>
      <c r="B124" s="524" t="s">
        <v>206</v>
      </c>
      <c r="C124" s="606"/>
      <c r="D124" s="606"/>
    </row>
    <row r="125" spans="1:4" x14ac:dyDescent="0.35">
      <c r="A125" s="576">
        <v>81</v>
      </c>
      <c r="B125" s="526" t="s">
        <v>425</v>
      </c>
      <c r="C125" s="606"/>
      <c r="D125" s="606"/>
    </row>
    <row r="126" spans="1:4" x14ac:dyDescent="0.35">
      <c r="A126" s="576">
        <v>82</v>
      </c>
      <c r="B126" s="526" t="s">
        <v>509</v>
      </c>
      <c r="C126" s="606"/>
      <c r="D126" s="606"/>
    </row>
    <row r="127" spans="1:4" x14ac:dyDescent="0.35">
      <c r="A127" s="576">
        <v>83</v>
      </c>
      <c r="B127" s="526" t="s">
        <v>426</v>
      </c>
      <c r="C127" s="606"/>
      <c r="D127" s="606"/>
    </row>
    <row r="128" spans="1:4" x14ac:dyDescent="0.35">
      <c r="A128" s="576">
        <v>84</v>
      </c>
      <c r="B128" s="605" t="s">
        <v>531</v>
      </c>
      <c r="C128" s="606"/>
      <c r="D128" s="606"/>
    </row>
    <row r="129" spans="1:4" x14ac:dyDescent="0.35">
      <c r="A129" s="576">
        <v>85</v>
      </c>
      <c r="B129" s="524" t="s">
        <v>427</v>
      </c>
      <c r="C129" s="606"/>
      <c r="D129" s="606"/>
    </row>
    <row r="130" spans="1:4" x14ac:dyDescent="0.35">
      <c r="A130" s="576">
        <v>86</v>
      </c>
      <c r="B130" s="524" t="s">
        <v>428</v>
      </c>
      <c r="C130" s="606"/>
      <c r="D130" s="606"/>
    </row>
    <row r="131" spans="1:4" x14ac:dyDescent="0.35">
      <c r="A131" s="576">
        <v>87</v>
      </c>
      <c r="B131" s="524" t="s">
        <v>211</v>
      </c>
      <c r="C131" s="606"/>
      <c r="D131" s="606"/>
    </row>
    <row r="132" spans="1:4" x14ac:dyDescent="0.35">
      <c r="A132" s="576">
        <v>88</v>
      </c>
      <c r="B132" s="524" t="s">
        <v>85</v>
      </c>
      <c r="C132" s="606"/>
      <c r="D132" s="606"/>
    </row>
    <row r="133" spans="1:4" x14ac:dyDescent="0.35">
      <c r="A133" s="576">
        <v>89</v>
      </c>
      <c r="B133" s="602" t="s">
        <v>532</v>
      </c>
      <c r="C133" s="606"/>
      <c r="D133" s="606"/>
    </row>
    <row r="134" spans="1:4" x14ac:dyDescent="0.35">
      <c r="A134" s="576">
        <v>90</v>
      </c>
      <c r="B134" s="602" t="s">
        <v>214</v>
      </c>
      <c r="C134" s="606"/>
      <c r="D134" s="606"/>
    </row>
    <row r="135" spans="1:4" x14ac:dyDescent="0.35">
      <c r="A135" s="576">
        <v>91</v>
      </c>
      <c r="B135" s="524" t="s">
        <v>128</v>
      </c>
      <c r="C135" s="606"/>
      <c r="D135" s="606"/>
    </row>
    <row r="136" spans="1:4" x14ac:dyDescent="0.35">
      <c r="A136" s="576">
        <v>92</v>
      </c>
      <c r="B136" s="524" t="s">
        <v>129</v>
      </c>
      <c r="C136" s="606"/>
      <c r="D136" s="606"/>
    </row>
    <row r="137" spans="1:4" x14ac:dyDescent="0.35">
      <c r="A137" s="576">
        <v>93</v>
      </c>
      <c r="B137" s="524" t="s">
        <v>429</v>
      </c>
      <c r="C137" s="606"/>
      <c r="D137" s="606"/>
    </row>
    <row r="138" spans="1:4" x14ac:dyDescent="0.35">
      <c r="A138" s="576">
        <v>94</v>
      </c>
      <c r="B138" s="524" t="s">
        <v>510</v>
      </c>
      <c r="C138" s="606"/>
      <c r="D138" s="606"/>
    </row>
    <row r="139" spans="1:4" x14ac:dyDescent="0.35">
      <c r="A139" s="576">
        <v>95</v>
      </c>
      <c r="B139" s="524" t="s">
        <v>67</v>
      </c>
      <c r="C139" s="606"/>
      <c r="D139" s="606"/>
    </row>
    <row r="140" spans="1:4" x14ac:dyDescent="0.35">
      <c r="A140" s="576">
        <v>96</v>
      </c>
      <c r="B140" s="526" t="s">
        <v>431</v>
      </c>
      <c r="C140" s="606"/>
      <c r="D140" s="606"/>
    </row>
    <row r="141" spans="1:4" x14ac:dyDescent="0.35">
      <c r="A141" s="576">
        <v>97</v>
      </c>
      <c r="B141" s="524" t="s">
        <v>131</v>
      </c>
      <c r="C141" s="606"/>
      <c r="D141" s="606"/>
    </row>
    <row r="142" spans="1:4" x14ac:dyDescent="0.35">
      <c r="A142" s="576">
        <v>98</v>
      </c>
      <c r="B142" s="524" t="s">
        <v>132</v>
      </c>
      <c r="C142" s="606"/>
      <c r="D142" s="606"/>
    </row>
    <row r="143" spans="1:4" x14ac:dyDescent="0.35">
      <c r="A143" s="576">
        <v>99</v>
      </c>
      <c r="B143" s="524" t="s">
        <v>41</v>
      </c>
      <c r="C143" s="606"/>
      <c r="D143" s="606"/>
    </row>
    <row r="144" spans="1:4" x14ac:dyDescent="0.35">
      <c r="A144" s="576">
        <v>100</v>
      </c>
      <c r="B144" s="524" t="s">
        <v>134</v>
      </c>
      <c r="C144" s="606"/>
      <c r="D144" s="606"/>
    </row>
    <row r="145" spans="1:4" x14ac:dyDescent="0.35">
      <c r="A145" s="576">
        <v>101</v>
      </c>
      <c r="B145" s="524" t="s">
        <v>135</v>
      </c>
      <c r="C145" s="606"/>
      <c r="D145" s="606"/>
    </row>
    <row r="146" spans="1:4" x14ac:dyDescent="0.35">
      <c r="A146" s="576">
        <v>102</v>
      </c>
      <c r="B146" s="526" t="s">
        <v>432</v>
      </c>
      <c r="C146" s="606"/>
      <c r="D146" s="606"/>
    </row>
    <row r="147" spans="1:4" x14ac:dyDescent="0.35">
      <c r="A147" s="576">
        <v>103</v>
      </c>
      <c r="B147" s="524" t="s">
        <v>136</v>
      </c>
      <c r="C147" s="606"/>
      <c r="D147" s="606"/>
    </row>
    <row r="148" spans="1:4" x14ac:dyDescent="0.35">
      <c r="A148" s="576">
        <v>104</v>
      </c>
      <c r="B148" s="524" t="s">
        <v>124</v>
      </c>
      <c r="C148" s="606"/>
      <c r="D148" s="606"/>
    </row>
    <row r="149" spans="1:4" x14ac:dyDescent="0.35">
      <c r="A149" s="576">
        <v>105</v>
      </c>
      <c r="B149" s="526" t="s">
        <v>435</v>
      </c>
      <c r="C149" s="606"/>
      <c r="D149" s="606"/>
    </row>
    <row r="150" spans="1:4" x14ac:dyDescent="0.35">
      <c r="A150" s="576">
        <v>106</v>
      </c>
      <c r="B150" s="524" t="s">
        <v>133</v>
      </c>
      <c r="C150" s="606"/>
      <c r="D150" s="606"/>
    </row>
    <row r="151" spans="1:4" x14ac:dyDescent="0.35">
      <c r="A151" s="576">
        <v>107</v>
      </c>
      <c r="B151" s="524" t="s">
        <v>436</v>
      </c>
      <c r="C151" s="606"/>
      <c r="D151" s="606"/>
    </row>
    <row r="152" spans="1:4" x14ac:dyDescent="0.35">
      <c r="A152" s="576">
        <v>108</v>
      </c>
      <c r="B152" s="608" t="s">
        <v>513</v>
      </c>
      <c r="C152" s="606"/>
      <c r="D152" s="606"/>
    </row>
    <row r="153" spans="1:4" x14ac:dyDescent="0.35">
      <c r="A153" s="576">
        <v>109</v>
      </c>
      <c r="B153" s="524" t="s">
        <v>139</v>
      </c>
      <c r="C153" s="606"/>
      <c r="D153" s="606"/>
    </row>
    <row r="154" spans="1:4" x14ac:dyDescent="0.35">
      <c r="A154" s="576">
        <v>110</v>
      </c>
      <c r="B154" s="524" t="s">
        <v>143</v>
      </c>
      <c r="C154" s="606"/>
      <c r="D154" s="606"/>
    </row>
    <row r="155" spans="1:4" x14ac:dyDescent="0.35">
      <c r="A155" s="576">
        <v>111</v>
      </c>
      <c r="B155" s="524" t="s">
        <v>151</v>
      </c>
      <c r="C155" s="606"/>
      <c r="D155" s="606"/>
    </row>
    <row r="156" spans="1:4" x14ac:dyDescent="0.35">
      <c r="A156" s="576">
        <v>112</v>
      </c>
      <c r="B156" s="524" t="s">
        <v>144</v>
      </c>
      <c r="C156" s="606"/>
      <c r="D156" s="606"/>
    </row>
    <row r="157" spans="1:4" x14ac:dyDescent="0.35">
      <c r="A157" s="576">
        <v>113</v>
      </c>
      <c r="B157" s="524" t="s">
        <v>145</v>
      </c>
      <c r="C157" s="606"/>
      <c r="D157" s="606"/>
    </row>
    <row r="158" spans="1:4" x14ac:dyDescent="0.35">
      <c r="A158" s="576">
        <v>114</v>
      </c>
      <c r="B158" s="524" t="s">
        <v>152</v>
      </c>
      <c r="C158" s="606"/>
      <c r="D158" s="606"/>
    </row>
    <row r="159" spans="1:4" x14ac:dyDescent="0.35">
      <c r="A159" s="576">
        <v>115</v>
      </c>
      <c r="B159" s="524" t="s">
        <v>146</v>
      </c>
      <c r="C159" s="606"/>
      <c r="D159" s="606"/>
    </row>
    <row r="160" spans="1:4" x14ac:dyDescent="0.35">
      <c r="A160" s="576">
        <v>116</v>
      </c>
      <c r="B160" s="524" t="s">
        <v>147</v>
      </c>
      <c r="C160" s="606"/>
      <c r="D160" s="606"/>
    </row>
    <row r="161" spans="1:4" x14ac:dyDescent="0.35">
      <c r="A161" s="576">
        <v>117</v>
      </c>
      <c r="B161" s="524" t="s">
        <v>148</v>
      </c>
      <c r="C161" s="606"/>
      <c r="D161" s="606"/>
    </row>
    <row r="162" spans="1:4" x14ac:dyDescent="0.35">
      <c r="A162" s="576">
        <v>118</v>
      </c>
      <c r="B162" s="524" t="s">
        <v>506</v>
      </c>
      <c r="C162" s="606"/>
      <c r="D162" s="606"/>
    </row>
    <row r="163" spans="1:4" x14ac:dyDescent="0.35">
      <c r="A163" s="576">
        <v>119</v>
      </c>
      <c r="B163" s="524" t="s">
        <v>533</v>
      </c>
      <c r="C163" s="606"/>
      <c r="D163" s="606"/>
    </row>
    <row r="164" spans="1:4" x14ac:dyDescent="0.35">
      <c r="A164" s="576">
        <v>121</v>
      </c>
      <c r="B164" s="524" t="s">
        <v>142</v>
      </c>
      <c r="C164" s="606"/>
      <c r="D164" s="606"/>
    </row>
    <row r="165" spans="1:4" s="568" customFormat="1" ht="15.5" x14ac:dyDescent="0.35">
      <c r="A165" s="582"/>
      <c r="B165" s="573" t="s">
        <v>444</v>
      </c>
      <c r="C165" s="567">
        <f>SUM(C45:C164)</f>
        <v>0</v>
      </c>
      <c r="D165" s="567">
        <f>SUM(D45:D164)</f>
        <v>0</v>
      </c>
    </row>
    <row r="166" spans="1:4" s="568" customFormat="1" ht="9.75" customHeight="1" x14ac:dyDescent="0.35">
      <c r="A166" s="581"/>
      <c r="B166" s="569"/>
      <c r="C166" s="570"/>
      <c r="D166" s="570"/>
    </row>
    <row r="167" spans="1:4" s="568" customFormat="1" ht="15.5" x14ac:dyDescent="0.35">
      <c r="A167" s="583"/>
      <c r="B167" s="561" t="s">
        <v>445</v>
      </c>
      <c r="C167" s="567">
        <f>C42-C165</f>
        <v>0</v>
      </c>
      <c r="D167" s="567">
        <f>D42-D165</f>
        <v>0</v>
      </c>
    </row>
  </sheetData>
  <protectedRanges>
    <protectedRange algorithmName="SHA-512" hashValue="sib5Nlt62x8Cjehj5QpvQOfZQRWFyVXdW4ymlOfnLMMNdxZw1XVdONARla6+9R164l5kN77+d8cnUihMlL+w0A==" saltValue="TiYlffcKhraV9z9Br0ykmA==" spinCount="100000" sqref="C42:D43 C166:D166" name="Range1_3"/>
  </protectedRanges>
  <mergeCells count="1"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90D5-3797-4903-A457-94640C3A51CD}">
  <dimension ref="A1:T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4" sqref="T14"/>
    </sheetView>
  </sheetViews>
  <sheetFormatPr defaultColWidth="9.1796875" defaultRowHeight="14.5" x14ac:dyDescent="0.35"/>
  <cols>
    <col min="1" max="1" width="24.453125" style="700" bestFit="1" customWidth="1"/>
    <col min="2" max="2" width="22.1796875" style="727" bestFit="1" customWidth="1"/>
    <col min="3" max="3" width="20.26953125" style="728" bestFit="1" customWidth="1"/>
    <col min="4" max="4" width="11.7265625" style="700" customWidth="1"/>
    <col min="5" max="5" width="7.7265625" style="700" bestFit="1" customWidth="1"/>
    <col min="6" max="8" width="15.54296875" style="700" customWidth="1"/>
    <col min="9" max="9" width="12" style="700" bestFit="1" customWidth="1"/>
    <col min="10" max="10" width="8.54296875" style="700" bestFit="1" customWidth="1"/>
    <col min="11" max="11" width="7.81640625" style="700" bestFit="1" customWidth="1"/>
    <col min="12" max="12" width="10.1796875" style="700" bestFit="1" customWidth="1"/>
    <col min="13" max="13" width="7.81640625" style="700" bestFit="1" customWidth="1"/>
    <col min="14" max="14" width="8.54296875" style="700" bestFit="1" customWidth="1"/>
    <col min="15" max="17" width="15.54296875" style="700" customWidth="1"/>
    <col min="18" max="18" width="24.7265625" style="700" customWidth="1"/>
    <col min="19" max="19" width="15.54296875" style="700" customWidth="1"/>
    <col min="20" max="20" width="24.81640625" style="700" customWidth="1"/>
    <col min="21" max="16384" width="9.1796875" style="700"/>
  </cols>
  <sheetData>
    <row r="1" spans="1:20" ht="15.5" x14ac:dyDescent="0.35">
      <c r="A1" s="1313" t="s">
        <v>795</v>
      </c>
      <c r="B1" s="697"/>
      <c r="C1" s="698"/>
      <c r="D1" s="1315" t="s">
        <v>796</v>
      </c>
      <c r="E1" s="699"/>
      <c r="F1" s="1313" t="s">
        <v>797</v>
      </c>
      <c r="G1" s="1314" t="s">
        <v>798</v>
      </c>
      <c r="H1" s="1314" t="s">
        <v>799</v>
      </c>
      <c r="I1" s="1318" t="s">
        <v>800</v>
      </c>
      <c r="J1" s="1319"/>
      <c r="K1" s="1319"/>
      <c r="L1" s="1319"/>
      <c r="M1" s="1319"/>
      <c r="N1" s="1320"/>
      <c r="O1" s="1313" t="s">
        <v>801</v>
      </c>
      <c r="P1" s="1313" t="s">
        <v>44</v>
      </c>
      <c r="Q1" s="1313" t="s">
        <v>802</v>
      </c>
      <c r="R1" s="1325" t="s">
        <v>803</v>
      </c>
      <c r="S1" s="1315" t="s">
        <v>804</v>
      </c>
      <c r="T1" s="1313" t="s">
        <v>805</v>
      </c>
    </row>
    <row r="2" spans="1:20" ht="15.5" x14ac:dyDescent="0.35">
      <c r="A2" s="1314"/>
      <c r="B2" s="697" t="s">
        <v>806</v>
      </c>
      <c r="C2" s="701" t="s">
        <v>807</v>
      </c>
      <c r="D2" s="1316"/>
      <c r="E2" s="702" t="s">
        <v>808</v>
      </c>
      <c r="F2" s="1314"/>
      <c r="G2" s="1317"/>
      <c r="H2" s="1317"/>
      <c r="I2" s="1321" t="s">
        <v>809</v>
      </c>
      <c r="J2" s="1322"/>
      <c r="K2" s="1323" t="s">
        <v>810</v>
      </c>
      <c r="L2" s="1324"/>
      <c r="M2" s="1323" t="s">
        <v>811</v>
      </c>
      <c r="N2" s="1324"/>
      <c r="O2" s="1314"/>
      <c r="P2" s="1314"/>
      <c r="Q2" s="1314"/>
      <c r="R2" s="1315"/>
      <c r="S2" s="1316"/>
      <c r="T2" s="1314"/>
    </row>
    <row r="3" spans="1:20" ht="29" x14ac:dyDescent="0.35">
      <c r="A3" s="703" t="s">
        <v>812</v>
      </c>
      <c r="B3" s="704" t="s">
        <v>813</v>
      </c>
      <c r="C3" s="705" t="s">
        <v>814</v>
      </c>
      <c r="D3" s="706">
        <v>900</v>
      </c>
      <c r="E3" s="706" t="s">
        <v>815</v>
      </c>
      <c r="F3" s="707" t="s">
        <v>816</v>
      </c>
      <c r="G3" s="708">
        <v>48395</v>
      </c>
      <c r="H3" s="709" t="s">
        <v>817</v>
      </c>
      <c r="I3" s="1286">
        <f>SUM(I4:J7)</f>
        <v>824260.08000000007</v>
      </c>
      <c r="J3" s="1287"/>
      <c r="K3" s="1286">
        <f>SUM(K4:L7)</f>
        <v>876410.0399999998</v>
      </c>
      <c r="L3" s="1287"/>
      <c r="M3" s="1286">
        <f>SUM(M4:N7)</f>
        <v>902784.11999999988</v>
      </c>
      <c r="N3" s="1287"/>
      <c r="O3" s="1297">
        <v>188500</v>
      </c>
      <c r="P3" s="1297">
        <v>375000</v>
      </c>
      <c r="Q3" s="1297">
        <v>40000</v>
      </c>
      <c r="R3" s="710"/>
      <c r="S3" s="710"/>
      <c r="T3" s="710" t="s">
        <v>818</v>
      </c>
    </row>
    <row r="4" spans="1:20" ht="20.149999999999999" customHeight="1" x14ac:dyDescent="0.35">
      <c r="A4" s="711" t="s">
        <v>819</v>
      </c>
      <c r="B4" s="712"/>
      <c r="C4" s="713" t="s">
        <v>814</v>
      </c>
      <c r="D4" s="713"/>
      <c r="E4" s="713"/>
      <c r="F4" s="714"/>
      <c r="G4" s="715">
        <v>48395</v>
      </c>
      <c r="H4" s="716"/>
      <c r="I4" s="1288">
        <f>57558.96*12</f>
        <v>690707.52</v>
      </c>
      <c r="J4" s="1289"/>
      <c r="K4" s="1288">
        <f>61788.13*12</f>
        <v>741457.55999999994</v>
      </c>
      <c r="L4" s="1289"/>
      <c r="M4" s="1288">
        <f>62295.63*12</f>
        <v>747547.55999999994</v>
      </c>
      <c r="N4" s="1289"/>
      <c r="O4" s="1297"/>
      <c r="P4" s="1297"/>
      <c r="Q4" s="1297"/>
      <c r="R4" s="710"/>
      <c r="S4" s="710"/>
      <c r="T4" s="710"/>
    </row>
    <row r="5" spans="1:20" ht="20.149999999999999" customHeight="1" x14ac:dyDescent="0.35">
      <c r="A5" s="711" t="s">
        <v>820</v>
      </c>
      <c r="B5" s="712"/>
      <c r="C5" s="713" t="s">
        <v>814</v>
      </c>
      <c r="D5" s="713"/>
      <c r="E5" s="713"/>
      <c r="F5" s="714"/>
      <c r="G5" s="715">
        <v>48395</v>
      </c>
      <c r="H5" s="716"/>
      <c r="I5" s="1288">
        <f>2570.83*12</f>
        <v>30849.96</v>
      </c>
      <c r="J5" s="1289"/>
      <c r="K5" s="1288">
        <f>2570.83*12</f>
        <v>30849.96</v>
      </c>
      <c r="L5" s="1289"/>
      <c r="M5" s="1288">
        <f>2987.5*12</f>
        <v>35850</v>
      </c>
      <c r="N5" s="1289"/>
      <c r="O5" s="1297"/>
      <c r="P5" s="1297"/>
      <c r="Q5" s="1297"/>
      <c r="R5" s="710"/>
      <c r="S5" s="710"/>
      <c r="T5" s="710"/>
    </row>
    <row r="6" spans="1:20" ht="20.149999999999999" customHeight="1" x14ac:dyDescent="0.35">
      <c r="A6" s="711" t="s">
        <v>821</v>
      </c>
      <c r="B6" s="712"/>
      <c r="C6" s="713" t="s">
        <v>814</v>
      </c>
      <c r="D6" s="713"/>
      <c r="E6" s="713"/>
      <c r="F6" s="714"/>
      <c r="G6" s="715">
        <v>48395</v>
      </c>
      <c r="H6" s="716"/>
      <c r="I6" s="1288">
        <f>2958.67*12</f>
        <v>35504.04</v>
      </c>
      <c r="J6" s="1289"/>
      <c r="K6" s="1288">
        <f>3075.33*12</f>
        <v>36903.96</v>
      </c>
      <c r="L6" s="1289"/>
      <c r="M6" s="1288">
        <f>3192*12</f>
        <v>38304</v>
      </c>
      <c r="N6" s="1289"/>
      <c r="O6" s="1297"/>
      <c r="P6" s="1297"/>
      <c r="Q6" s="1297"/>
      <c r="R6" s="710"/>
      <c r="S6" s="710"/>
      <c r="T6" s="710"/>
    </row>
    <row r="7" spans="1:20" ht="20.149999999999999" customHeight="1" x14ac:dyDescent="0.35">
      <c r="A7" s="711" t="s">
        <v>822</v>
      </c>
      <c r="B7" s="712"/>
      <c r="C7" s="713" t="s">
        <v>814</v>
      </c>
      <c r="D7" s="713"/>
      <c r="E7" s="713"/>
      <c r="F7" s="714"/>
      <c r="G7" s="715">
        <v>48395</v>
      </c>
      <c r="H7" s="716"/>
      <c r="I7" s="1288">
        <f>5599.88*12</f>
        <v>67198.559999999998</v>
      </c>
      <c r="J7" s="1289"/>
      <c r="K7" s="1288">
        <f>5599.88*12</f>
        <v>67198.559999999998</v>
      </c>
      <c r="L7" s="1289"/>
      <c r="M7" s="1288">
        <f>6756.88*12</f>
        <v>81082.559999999998</v>
      </c>
      <c r="N7" s="1289"/>
      <c r="O7" s="1297"/>
      <c r="P7" s="1297"/>
      <c r="Q7" s="1297"/>
      <c r="R7" s="710"/>
      <c r="S7" s="710"/>
      <c r="T7" s="710"/>
    </row>
    <row r="8" spans="1:20" ht="10.5" customHeight="1" x14ac:dyDescent="0.35">
      <c r="A8" s="1298" t="s">
        <v>823</v>
      </c>
      <c r="B8" s="1310" t="s">
        <v>824</v>
      </c>
      <c r="C8" s="1304" t="s">
        <v>814</v>
      </c>
      <c r="D8" s="1304"/>
      <c r="E8" s="1307" t="s">
        <v>825</v>
      </c>
      <c r="F8" s="1298" t="s">
        <v>826</v>
      </c>
      <c r="G8" s="1291" t="s">
        <v>817</v>
      </c>
      <c r="H8" s="1294">
        <v>8560000</v>
      </c>
      <c r="I8" s="717" t="s">
        <v>666</v>
      </c>
      <c r="J8" s="717" t="s">
        <v>827</v>
      </c>
      <c r="K8" s="717" t="s">
        <v>666</v>
      </c>
      <c r="L8" s="717" t="s">
        <v>827</v>
      </c>
      <c r="M8" s="717" t="s">
        <v>666</v>
      </c>
      <c r="N8" s="717" t="s">
        <v>827</v>
      </c>
      <c r="O8" s="1297"/>
      <c r="P8" s="1297"/>
      <c r="Q8" s="1297"/>
      <c r="R8" s="710"/>
      <c r="S8" s="710"/>
      <c r="T8" s="710"/>
    </row>
    <row r="9" spans="1:20" ht="10.5" customHeight="1" x14ac:dyDescent="0.35">
      <c r="A9" s="1299"/>
      <c r="B9" s="1311"/>
      <c r="C9" s="1305"/>
      <c r="D9" s="1305"/>
      <c r="E9" s="1308"/>
      <c r="F9" s="1299"/>
      <c r="G9" s="1292"/>
      <c r="H9" s="1295"/>
      <c r="I9" s="717">
        <v>0</v>
      </c>
      <c r="J9" s="717">
        <v>31457.3</v>
      </c>
      <c r="K9" s="717">
        <v>10416.67</v>
      </c>
      <c r="L9" s="717">
        <v>31457.29</v>
      </c>
      <c r="M9" s="717">
        <v>11250</v>
      </c>
      <c r="N9" s="717">
        <v>30754.17</v>
      </c>
      <c r="O9" s="1297"/>
      <c r="P9" s="1297"/>
      <c r="Q9" s="1297"/>
      <c r="R9" s="710"/>
      <c r="S9" s="710"/>
      <c r="T9" s="710"/>
    </row>
    <row r="10" spans="1:20" ht="30" customHeight="1" x14ac:dyDescent="0.35">
      <c r="A10" s="1300"/>
      <c r="B10" s="1312"/>
      <c r="C10" s="1306"/>
      <c r="D10" s="1306"/>
      <c r="E10" s="1309"/>
      <c r="F10" s="1300"/>
      <c r="G10" s="1293"/>
      <c r="H10" s="1296"/>
      <c r="I10" s="1286">
        <f>J9*12</f>
        <v>377487.6</v>
      </c>
      <c r="J10" s="1287"/>
      <c r="K10" s="1286">
        <f>(K9*12)+(L9*12)</f>
        <v>502487.52</v>
      </c>
      <c r="L10" s="1287"/>
      <c r="M10" s="1286">
        <f>(M9*12)+(N9*12)</f>
        <v>504050.04</v>
      </c>
      <c r="N10" s="1287"/>
      <c r="O10" s="1297"/>
      <c r="P10" s="1297"/>
      <c r="Q10" s="1297"/>
      <c r="R10" s="710"/>
      <c r="S10" s="710"/>
      <c r="T10" s="710" t="s">
        <v>818</v>
      </c>
    </row>
    <row r="11" spans="1:20" ht="10.5" customHeight="1" x14ac:dyDescent="0.35">
      <c r="A11" s="1298" t="s">
        <v>828</v>
      </c>
      <c r="B11" s="1301" t="s">
        <v>829</v>
      </c>
      <c r="C11" s="1304" t="s">
        <v>814</v>
      </c>
      <c r="D11" s="1304"/>
      <c r="E11" s="1307" t="s">
        <v>830</v>
      </c>
      <c r="F11" s="1298" t="s">
        <v>816</v>
      </c>
      <c r="G11" s="1291">
        <v>48395</v>
      </c>
      <c r="H11" s="1294" t="s">
        <v>817</v>
      </c>
      <c r="I11" s="717" t="s">
        <v>831</v>
      </c>
      <c r="J11" s="717" t="s">
        <v>832</v>
      </c>
      <c r="K11" s="717" t="s">
        <v>831</v>
      </c>
      <c r="L11" s="717" t="s">
        <v>832</v>
      </c>
      <c r="M11" s="717" t="s">
        <v>831</v>
      </c>
      <c r="N11" s="717" t="s">
        <v>832</v>
      </c>
      <c r="O11" s="1297"/>
      <c r="P11" s="1297"/>
      <c r="Q11" s="1297"/>
      <c r="R11" s="710"/>
      <c r="S11" s="710"/>
      <c r="T11" s="710"/>
    </row>
    <row r="12" spans="1:20" ht="10.5" customHeight="1" x14ac:dyDescent="0.35">
      <c r="A12" s="1299"/>
      <c r="B12" s="1302"/>
      <c r="C12" s="1305"/>
      <c r="D12" s="1305"/>
      <c r="E12" s="1308"/>
      <c r="F12" s="1299"/>
      <c r="G12" s="1292"/>
      <c r="H12" s="1295"/>
      <c r="I12" s="717" t="s">
        <v>833</v>
      </c>
      <c r="J12" s="718">
        <v>14.5</v>
      </c>
      <c r="K12" s="719">
        <v>37302</v>
      </c>
      <c r="L12" s="718">
        <v>15</v>
      </c>
      <c r="M12" s="720">
        <v>37302</v>
      </c>
      <c r="N12" s="718">
        <v>15.5</v>
      </c>
      <c r="O12" s="1297"/>
      <c r="P12" s="1297"/>
      <c r="Q12" s="1297"/>
      <c r="R12" s="710"/>
      <c r="S12" s="710"/>
      <c r="T12" s="710"/>
    </row>
    <row r="13" spans="1:20" ht="29" x14ac:dyDescent="0.35">
      <c r="A13" s="1300"/>
      <c r="B13" s="1303"/>
      <c r="C13" s="1306"/>
      <c r="D13" s="1306"/>
      <c r="E13" s="1309"/>
      <c r="F13" s="1300"/>
      <c r="G13" s="1293"/>
      <c r="H13" s="1296"/>
      <c r="I13" s="1286">
        <f>(493942.5 +(((3237*14.5)/12))*3)+(12948.01*3)</f>
        <v>544520.65500000003</v>
      </c>
      <c r="J13" s="1287"/>
      <c r="K13" s="1286">
        <f>K12*L12+ (12948.01*12)</f>
        <v>714906.12</v>
      </c>
      <c r="L13" s="1287"/>
      <c r="M13" s="1286">
        <f>M12*N12+(13724*12)</f>
        <v>742869</v>
      </c>
      <c r="N13" s="1287"/>
      <c r="O13" s="1297"/>
      <c r="P13" s="1297"/>
      <c r="Q13" s="1297"/>
      <c r="R13" s="721" t="s">
        <v>834</v>
      </c>
      <c r="S13" s="721" t="s">
        <v>835</v>
      </c>
      <c r="T13" s="710" t="s">
        <v>818</v>
      </c>
    </row>
    <row r="14" spans="1:20" ht="43.5" x14ac:dyDescent="0.35">
      <c r="A14" s="703" t="s">
        <v>572</v>
      </c>
      <c r="B14" s="722" t="s">
        <v>836</v>
      </c>
      <c r="C14" s="706" t="s">
        <v>837</v>
      </c>
      <c r="D14" s="706">
        <v>230</v>
      </c>
      <c r="E14" s="706"/>
      <c r="F14" s="707" t="s">
        <v>826</v>
      </c>
      <c r="G14" s="708" t="s">
        <v>817</v>
      </c>
      <c r="H14" s="709">
        <v>6433562</v>
      </c>
      <c r="I14" s="1286">
        <f>151075.31+143881.25</f>
        <v>294956.56</v>
      </c>
      <c r="J14" s="1287"/>
      <c r="K14" s="1286">
        <f>143881.25*2</f>
        <v>287762.5</v>
      </c>
      <c r="L14" s="1287"/>
      <c r="M14" s="1286">
        <f>143881.25*2</f>
        <v>287762.5</v>
      </c>
      <c r="N14" s="1287"/>
      <c r="O14" s="723">
        <v>54139</v>
      </c>
      <c r="P14" s="723">
        <v>73455</v>
      </c>
      <c r="Q14" s="723">
        <v>31701</v>
      </c>
      <c r="R14" s="710"/>
      <c r="S14" s="710"/>
      <c r="T14" s="721" t="s">
        <v>838</v>
      </c>
    </row>
    <row r="15" spans="1:20" ht="43.5" x14ac:dyDescent="0.35">
      <c r="A15" s="703" t="s">
        <v>573</v>
      </c>
      <c r="B15" s="722" t="s">
        <v>839</v>
      </c>
      <c r="C15" s="706" t="s">
        <v>837</v>
      </c>
      <c r="D15" s="706">
        <v>400</v>
      </c>
      <c r="E15" s="706"/>
      <c r="F15" s="707" t="s">
        <v>840</v>
      </c>
      <c r="G15" s="708">
        <v>47299</v>
      </c>
      <c r="H15" s="709">
        <v>5879899</v>
      </c>
      <c r="I15" s="1286">
        <v>522035</v>
      </c>
      <c r="J15" s="1287"/>
      <c r="K15" s="1286">
        <v>537697</v>
      </c>
      <c r="L15" s="1287"/>
      <c r="M15" s="1286">
        <v>0</v>
      </c>
      <c r="N15" s="1287"/>
      <c r="O15" s="723">
        <v>98300</v>
      </c>
      <c r="P15" s="723">
        <v>100365</v>
      </c>
      <c r="Q15" s="723">
        <v>88500</v>
      </c>
      <c r="R15" s="721" t="s">
        <v>841</v>
      </c>
      <c r="S15" s="724">
        <v>2000000</v>
      </c>
      <c r="T15" s="721" t="s">
        <v>842</v>
      </c>
    </row>
    <row r="16" spans="1:20" x14ac:dyDescent="0.35">
      <c r="A16" s="703" t="s">
        <v>573</v>
      </c>
      <c r="B16" s="722" t="s">
        <v>843</v>
      </c>
      <c r="C16" s="706" t="s">
        <v>837</v>
      </c>
      <c r="D16" s="706"/>
      <c r="E16" s="706"/>
      <c r="F16" s="707" t="s">
        <v>844</v>
      </c>
      <c r="G16" s="708">
        <v>45352</v>
      </c>
      <c r="H16" s="709"/>
      <c r="I16" s="1286">
        <f>9781*12</f>
        <v>117372</v>
      </c>
      <c r="J16" s="1287"/>
      <c r="K16" s="1286">
        <f>(9781*12)+1277000</f>
        <v>1394372</v>
      </c>
      <c r="L16" s="1287"/>
      <c r="M16" s="709"/>
      <c r="N16" s="709"/>
      <c r="O16" s="723"/>
      <c r="P16" s="723"/>
      <c r="Q16" s="723"/>
      <c r="R16" s="721"/>
      <c r="S16" s="724"/>
      <c r="T16" s="721"/>
    </row>
    <row r="17" spans="1:20" ht="29" x14ac:dyDescent="0.35">
      <c r="A17" s="710" t="s">
        <v>574</v>
      </c>
      <c r="B17" s="704" t="s">
        <v>845</v>
      </c>
      <c r="C17" s="705">
        <v>1882</v>
      </c>
      <c r="D17" s="705">
        <v>475</v>
      </c>
      <c r="E17" s="705"/>
      <c r="F17" s="725" t="s">
        <v>846</v>
      </c>
      <c r="G17" s="726" t="s">
        <v>817</v>
      </c>
      <c r="H17" s="723" t="s">
        <v>817</v>
      </c>
      <c r="I17" s="723"/>
      <c r="J17" s="723" t="s">
        <v>817</v>
      </c>
      <c r="K17" s="723"/>
      <c r="L17" s="723" t="s">
        <v>817</v>
      </c>
      <c r="M17" s="723"/>
      <c r="N17" s="723" t="s">
        <v>817</v>
      </c>
      <c r="O17" s="723">
        <v>110000</v>
      </c>
      <c r="P17" s="723">
        <v>132785</v>
      </c>
      <c r="Q17" s="723">
        <v>10000</v>
      </c>
      <c r="R17" s="710"/>
      <c r="S17" s="710"/>
      <c r="T17" s="710" t="s">
        <v>818</v>
      </c>
    </row>
    <row r="18" spans="1:20" ht="29" x14ac:dyDescent="0.35">
      <c r="A18" s="710" t="s">
        <v>847</v>
      </c>
      <c r="B18" s="704" t="s">
        <v>848</v>
      </c>
      <c r="C18" s="705">
        <v>1882</v>
      </c>
      <c r="D18" s="705">
        <v>1500</v>
      </c>
      <c r="E18" s="705"/>
      <c r="F18" s="725" t="s">
        <v>846</v>
      </c>
      <c r="G18" s="726" t="s">
        <v>817</v>
      </c>
      <c r="H18" s="723" t="s">
        <v>817</v>
      </c>
      <c r="I18" s="723"/>
      <c r="J18" s="723" t="s">
        <v>817</v>
      </c>
      <c r="K18" s="723"/>
      <c r="L18" s="723" t="s">
        <v>817</v>
      </c>
      <c r="M18" s="723"/>
      <c r="N18" s="723" t="s">
        <v>817</v>
      </c>
      <c r="O18" s="723">
        <v>274620</v>
      </c>
      <c r="P18" s="723">
        <v>338000</v>
      </c>
      <c r="Q18" s="723">
        <v>371000</v>
      </c>
      <c r="R18" s="710"/>
      <c r="S18" s="710"/>
      <c r="T18" s="710" t="s">
        <v>818</v>
      </c>
    </row>
    <row r="19" spans="1:20" ht="29" x14ac:dyDescent="0.35">
      <c r="A19" s="710" t="s">
        <v>849</v>
      </c>
      <c r="B19" s="704" t="s">
        <v>850</v>
      </c>
      <c r="C19" s="705">
        <v>1882</v>
      </c>
      <c r="D19" s="705">
        <v>360</v>
      </c>
      <c r="E19" s="705"/>
      <c r="F19" s="725" t="s">
        <v>846</v>
      </c>
      <c r="G19" s="726" t="s">
        <v>817</v>
      </c>
      <c r="H19" s="723" t="s">
        <v>817</v>
      </c>
      <c r="I19" s="723"/>
      <c r="J19" s="723" t="s">
        <v>817</v>
      </c>
      <c r="K19" s="723"/>
      <c r="L19" s="723" t="s">
        <v>817</v>
      </c>
      <c r="M19" s="723"/>
      <c r="N19" s="723" t="s">
        <v>817</v>
      </c>
      <c r="O19" s="723"/>
      <c r="P19" s="723"/>
      <c r="Q19" s="723"/>
      <c r="R19" s="710"/>
      <c r="S19" s="710"/>
      <c r="T19" s="710" t="s">
        <v>818</v>
      </c>
    </row>
    <row r="20" spans="1:20" ht="20.149999999999999" customHeight="1" x14ac:dyDescent="0.35">
      <c r="D20" s="728"/>
      <c r="E20" s="728"/>
      <c r="G20" s="729"/>
      <c r="H20" s="730"/>
      <c r="I20" s="730"/>
      <c r="J20" s="730"/>
      <c r="K20" s="730"/>
      <c r="L20" s="730"/>
      <c r="M20" s="730"/>
      <c r="N20" s="730"/>
      <c r="O20" s="730"/>
      <c r="P20" s="730"/>
      <c r="Q20" s="730"/>
    </row>
    <row r="21" spans="1:20" x14ac:dyDescent="0.35">
      <c r="J21" s="728" t="s">
        <v>851</v>
      </c>
      <c r="K21" s="728"/>
      <c r="O21" s="1290"/>
      <c r="P21" s="1290"/>
      <c r="Q21" s="1290"/>
    </row>
    <row r="28" spans="1:20" x14ac:dyDescent="0.35">
      <c r="J28" s="700" t="s">
        <v>851</v>
      </c>
    </row>
  </sheetData>
  <mergeCells count="64">
    <mergeCell ref="T1:T2"/>
    <mergeCell ref="A1:A2"/>
    <mergeCell ref="D1:D2"/>
    <mergeCell ref="F1:F2"/>
    <mergeCell ref="G1:G2"/>
    <mergeCell ref="H1:H2"/>
    <mergeCell ref="I1:N1"/>
    <mergeCell ref="I2:J2"/>
    <mergeCell ref="K2:L2"/>
    <mergeCell ref="M2:N2"/>
    <mergeCell ref="O1:O2"/>
    <mergeCell ref="P1:P2"/>
    <mergeCell ref="Q1:Q2"/>
    <mergeCell ref="R1:R2"/>
    <mergeCell ref="S1:S2"/>
    <mergeCell ref="H8:H10"/>
    <mergeCell ref="I10:J10"/>
    <mergeCell ref="K10:L10"/>
    <mergeCell ref="M10:N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8:F10"/>
    <mergeCell ref="O21:Q21"/>
    <mergeCell ref="G11:G13"/>
    <mergeCell ref="H11:H13"/>
    <mergeCell ref="I13:J13"/>
    <mergeCell ref="K13:L13"/>
    <mergeCell ref="M13:N13"/>
    <mergeCell ref="I14:J14"/>
    <mergeCell ref="K14:L14"/>
    <mergeCell ref="M14:N14"/>
    <mergeCell ref="O3:O13"/>
    <mergeCell ref="P3:P13"/>
    <mergeCell ref="Q3:Q13"/>
    <mergeCell ref="G8:G10"/>
    <mergeCell ref="I15:J15"/>
    <mergeCell ref="K15:L15"/>
    <mergeCell ref="M15:N15"/>
    <mergeCell ref="I16:J16"/>
    <mergeCell ref="K16:L16"/>
    <mergeCell ref="K4:L4"/>
    <mergeCell ref="K5:L5"/>
    <mergeCell ref="K3:L3"/>
    <mergeCell ref="K6:L6"/>
    <mergeCell ref="K7:L7"/>
    <mergeCell ref="I3:J3"/>
    <mergeCell ref="I4:J4"/>
    <mergeCell ref="I5:J5"/>
    <mergeCell ref="I6:J6"/>
    <mergeCell ref="I7:J7"/>
    <mergeCell ref="M3:N3"/>
    <mergeCell ref="M4:N4"/>
    <mergeCell ref="M5:N5"/>
    <mergeCell ref="M6:N6"/>
    <mergeCell ref="M7:N7"/>
  </mergeCells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FE96F-AC7B-4F43-80F8-6EF13071A943}">
  <dimension ref="A1:C3"/>
  <sheetViews>
    <sheetView tabSelected="1" workbookViewId="0">
      <selection activeCell="A4" sqref="A4"/>
    </sheetView>
  </sheetViews>
  <sheetFormatPr defaultRowHeight="14.5" x14ac:dyDescent="0.35"/>
  <cols>
    <col min="1" max="1" width="9.7265625" bestFit="1" customWidth="1"/>
    <col min="2" max="2" width="23" bestFit="1" customWidth="1"/>
  </cols>
  <sheetData>
    <row r="1" spans="1:3" x14ac:dyDescent="0.35">
      <c r="A1" t="s">
        <v>852</v>
      </c>
      <c r="B1" t="s">
        <v>853</v>
      </c>
      <c r="C1" t="s">
        <v>854</v>
      </c>
    </row>
    <row r="2" spans="1:3" x14ac:dyDescent="0.35">
      <c r="A2" s="1117">
        <v>45012</v>
      </c>
      <c r="B2" t="s">
        <v>855</v>
      </c>
      <c r="C2" t="s">
        <v>856</v>
      </c>
    </row>
    <row r="3" spans="1:3" x14ac:dyDescent="0.35">
      <c r="A3" s="1117">
        <v>45015</v>
      </c>
      <c r="B3" t="s">
        <v>857</v>
      </c>
      <c r="C3" t="s">
        <v>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3F64-D797-45F5-9BF7-82110A34F7DD}">
  <sheetPr>
    <tabColor rgb="FF00B050"/>
    <pageSetUpPr fitToPage="1"/>
  </sheetPr>
  <dimension ref="A1:V183"/>
  <sheetViews>
    <sheetView zoomScaleNormal="100" workbookViewId="0">
      <pane xSplit="2" ySplit="2" topLeftCell="C50" activePane="bottomRight" state="frozen"/>
      <selection pane="topRight" activeCell="C1" sqref="C1"/>
      <selection pane="bottomLeft" activeCell="A3" sqref="A3"/>
      <selection pane="bottomRight" activeCell="C1" sqref="C1:C1048576"/>
    </sheetView>
  </sheetViews>
  <sheetFormatPr defaultColWidth="9.1796875" defaultRowHeight="14.5" outlineLevelRow="2" x14ac:dyDescent="0.35"/>
  <cols>
    <col min="1" max="1" width="53.1796875" style="571" customWidth="1"/>
    <col min="2" max="2" width="13" style="1237" customWidth="1"/>
    <col min="3" max="3" width="2" style="571" customWidth="1"/>
    <col min="4" max="4" width="20.54296875" style="571" customWidth="1"/>
    <col min="5" max="5" width="2" style="571" customWidth="1"/>
    <col min="6" max="6" width="20.1796875" style="571" customWidth="1"/>
    <col min="7" max="7" width="2.1796875" style="571" customWidth="1"/>
    <col min="8" max="8" width="20.1796875" style="571" customWidth="1"/>
    <col min="9" max="9" width="2.1796875" style="571" customWidth="1"/>
    <col min="10" max="10" width="3.26953125" style="571" customWidth="1"/>
    <col min="11" max="11" width="3.453125" style="571" hidden="1" customWidth="1"/>
    <col min="12" max="12" width="20.1796875" style="571" customWidth="1"/>
    <col min="13" max="13" width="1.7265625" customWidth="1"/>
    <col min="14" max="14" width="20.1796875" style="571" customWidth="1"/>
    <col min="15" max="15" width="2.1796875" style="571" customWidth="1"/>
    <col min="16" max="16" width="20.1796875" style="571" customWidth="1"/>
    <col min="17" max="17" width="2.1796875" style="571" customWidth="1"/>
    <col min="18" max="16384" width="9.1796875" style="571"/>
  </cols>
  <sheetData>
    <row r="1" spans="1:22" s="559" customFormat="1" ht="21.5" thickBot="1" x14ac:dyDescent="0.55000000000000004">
      <c r="A1" s="795" t="s">
        <v>951</v>
      </c>
      <c r="B1" s="1199" t="s">
        <v>343</v>
      </c>
      <c r="C1" s="888"/>
      <c r="D1" s="1045" t="s">
        <v>97</v>
      </c>
      <c r="E1" s="1025"/>
      <c r="F1" s="1046" t="s">
        <v>215</v>
      </c>
      <c r="G1" s="1025"/>
      <c r="H1" s="1047" t="s">
        <v>113</v>
      </c>
      <c r="I1" s="880"/>
      <c r="J1" s="784"/>
      <c r="K1" s="926"/>
      <c r="L1" s="1048" t="s">
        <v>216</v>
      </c>
      <c r="M1" s="1075"/>
      <c r="N1" s="1044" t="s">
        <v>344</v>
      </c>
      <c r="O1" s="949"/>
      <c r="P1" s="1043" t="s">
        <v>345</v>
      </c>
      <c r="Q1" s="949"/>
      <c r="R1" s="759"/>
      <c r="S1" s="759"/>
      <c r="T1" s="759"/>
      <c r="U1" s="759"/>
      <c r="V1" s="759"/>
    </row>
    <row r="2" spans="1:22" s="763" customFormat="1" ht="29.5" hidden="1" customHeight="1" x14ac:dyDescent="0.4">
      <c r="A2" s="812"/>
      <c r="B2" s="1200"/>
      <c r="C2" s="889"/>
      <c r="D2" s="813" t="s">
        <v>346</v>
      </c>
      <c r="E2" s="1026"/>
      <c r="F2" s="814" t="s">
        <v>346</v>
      </c>
      <c r="G2" s="1026"/>
      <c r="H2" s="815" t="s">
        <v>346</v>
      </c>
      <c r="I2" s="881"/>
      <c r="J2" s="815"/>
      <c r="K2" s="927"/>
      <c r="L2" s="816" t="s">
        <v>346</v>
      </c>
      <c r="M2" s="1075"/>
      <c r="N2" s="1076"/>
      <c r="O2" s="889"/>
      <c r="P2" s="963" t="s">
        <v>346</v>
      </c>
      <c r="Q2" s="889"/>
      <c r="R2" s="764"/>
      <c r="S2" s="764"/>
      <c r="T2" s="764"/>
      <c r="U2" s="764"/>
      <c r="V2" s="764"/>
    </row>
    <row r="3" spans="1:22" s="763" customFormat="1" x14ac:dyDescent="0.35">
      <c r="A3" s="806" t="s">
        <v>347</v>
      </c>
      <c r="B3" s="1201"/>
      <c r="C3" s="890"/>
      <c r="D3" s="807">
        <v>0.94</v>
      </c>
      <c r="E3" s="1027"/>
      <c r="F3" s="808">
        <v>0.94</v>
      </c>
      <c r="G3" s="1027"/>
      <c r="H3" s="809">
        <v>0.94</v>
      </c>
      <c r="I3" s="920"/>
      <c r="J3" s="810"/>
      <c r="K3" s="928"/>
      <c r="L3" s="811">
        <v>0.94</v>
      </c>
      <c r="M3" s="1075"/>
      <c r="N3" s="1077">
        <v>0.92</v>
      </c>
      <c r="O3" s="908"/>
      <c r="P3" s="964">
        <v>0.94</v>
      </c>
      <c r="Q3" s="908"/>
      <c r="R3" s="764"/>
      <c r="S3" s="764"/>
      <c r="T3" s="764"/>
      <c r="U3" s="764"/>
      <c r="V3" s="764"/>
    </row>
    <row r="4" spans="1:22" s="763" customFormat="1" x14ac:dyDescent="0.35">
      <c r="A4" s="796" t="s">
        <v>348</v>
      </c>
      <c r="B4" s="1202"/>
      <c r="C4" s="891"/>
      <c r="D4" s="776">
        <v>820</v>
      </c>
      <c r="E4" s="1028"/>
      <c r="F4" s="777">
        <v>210</v>
      </c>
      <c r="G4" s="1028"/>
      <c r="H4" s="778">
        <v>330</v>
      </c>
      <c r="I4" s="921"/>
      <c r="J4" s="779"/>
      <c r="K4" s="929"/>
      <c r="L4" s="780">
        <v>500</v>
      </c>
      <c r="M4" s="1075"/>
      <c r="N4" s="985">
        <v>475</v>
      </c>
      <c r="O4" s="909"/>
      <c r="P4" s="965">
        <v>1400</v>
      </c>
      <c r="Q4" s="909"/>
      <c r="R4" s="764"/>
      <c r="S4" s="764"/>
      <c r="T4" s="764"/>
      <c r="U4" s="764"/>
      <c r="V4" s="764"/>
    </row>
    <row r="5" spans="1:22" s="765" customFormat="1" x14ac:dyDescent="0.35">
      <c r="A5" s="796" t="s">
        <v>349</v>
      </c>
      <c r="B5" s="1202"/>
      <c r="C5" s="891"/>
      <c r="D5" s="776">
        <v>820</v>
      </c>
      <c r="E5" s="1028"/>
      <c r="F5" s="777">
        <v>210</v>
      </c>
      <c r="G5" s="1028"/>
      <c r="H5" s="778">
        <v>330</v>
      </c>
      <c r="I5" s="921"/>
      <c r="J5" s="779"/>
      <c r="K5" s="929"/>
      <c r="L5" s="780">
        <f>L4*L3</f>
        <v>470</v>
      </c>
      <c r="M5" s="1075"/>
      <c r="N5" s="985">
        <f>N4*N3</f>
        <v>437</v>
      </c>
      <c r="O5" s="909"/>
      <c r="P5" s="965">
        <f>P3*P4</f>
        <v>1316</v>
      </c>
      <c r="Q5" s="909"/>
      <c r="R5" s="864"/>
      <c r="S5" s="864"/>
      <c r="T5" s="864"/>
      <c r="U5" s="864"/>
      <c r="V5" s="864"/>
    </row>
    <row r="6" spans="1:22" s="765" customFormat="1" x14ac:dyDescent="0.35">
      <c r="A6" s="796" t="s">
        <v>350</v>
      </c>
      <c r="B6" s="1202"/>
      <c r="C6" s="891"/>
      <c r="D6" s="766">
        <v>11392.94</v>
      </c>
      <c r="E6" s="1029"/>
      <c r="F6" s="767">
        <v>10331</v>
      </c>
      <c r="G6" s="1029"/>
      <c r="H6" s="768">
        <v>10579.47</v>
      </c>
      <c r="I6" s="902"/>
      <c r="J6" s="769"/>
      <c r="K6" s="930"/>
      <c r="L6" s="770">
        <f>9871+(9871*0.04)</f>
        <v>10265.84</v>
      </c>
      <c r="M6" s="1075"/>
      <c r="N6" s="986">
        <f>9411+(9411*0.04)</f>
        <v>9787.44</v>
      </c>
      <c r="O6" s="910"/>
      <c r="P6" s="966">
        <f>10181+(10181*0.04)</f>
        <v>10588.24</v>
      </c>
      <c r="Q6" s="910"/>
      <c r="R6" s="864"/>
      <c r="S6" s="864"/>
      <c r="T6" s="864"/>
      <c r="U6" s="864"/>
      <c r="V6" s="864"/>
    </row>
    <row r="7" spans="1:22" s="765" customFormat="1" x14ac:dyDescent="0.35">
      <c r="A7" s="796" t="s">
        <v>351</v>
      </c>
      <c r="B7" s="1202"/>
      <c r="C7" s="891"/>
      <c r="D7" s="766">
        <v>2900</v>
      </c>
      <c r="E7" s="1029"/>
      <c r="F7" s="767">
        <v>1265</v>
      </c>
      <c r="G7" s="1029"/>
      <c r="H7" s="768">
        <v>1400</v>
      </c>
      <c r="I7" s="902"/>
      <c r="J7" s="769"/>
      <c r="K7" s="930"/>
      <c r="L7" s="770">
        <v>1821</v>
      </c>
      <c r="M7" s="1075"/>
      <c r="N7" s="986">
        <v>1999</v>
      </c>
      <c r="O7" s="910"/>
      <c r="P7" s="966">
        <v>1010</v>
      </c>
      <c r="Q7" s="910"/>
      <c r="R7" s="864"/>
      <c r="S7" s="864"/>
      <c r="T7" s="864"/>
      <c r="U7" s="864"/>
      <c r="V7" s="864"/>
    </row>
    <row r="8" spans="1:22" s="765" customFormat="1" ht="15" thickBot="1" x14ac:dyDescent="0.4">
      <c r="A8" s="801" t="s">
        <v>350</v>
      </c>
      <c r="B8" s="1203"/>
      <c r="C8" s="892"/>
      <c r="D8" s="904">
        <f>D6+D7</f>
        <v>14292.94</v>
      </c>
      <c r="E8" s="1029"/>
      <c r="F8" s="802"/>
      <c r="G8" s="1029"/>
      <c r="H8" s="803"/>
      <c r="I8" s="903"/>
      <c r="J8" s="804"/>
      <c r="K8" s="931"/>
      <c r="L8" s="805">
        <f t="shared" ref="L8:P8" si="0">SUM(L6:L7)</f>
        <v>12086.84</v>
      </c>
      <c r="M8" s="1075"/>
      <c r="N8" s="987">
        <f t="shared" ref="N8" si="1">SUM(N6:N7)</f>
        <v>11786.44</v>
      </c>
      <c r="O8" s="950"/>
      <c r="P8" s="967">
        <f t="shared" si="0"/>
        <v>11598.24</v>
      </c>
      <c r="Q8" s="950"/>
      <c r="R8" s="864"/>
      <c r="S8" s="864"/>
      <c r="T8" s="864"/>
      <c r="U8" s="864"/>
      <c r="V8" s="864"/>
    </row>
    <row r="9" spans="1:22" s="956" customFormat="1" ht="32.25" customHeight="1" thickBot="1" x14ac:dyDescent="0.4">
      <c r="A9" s="957" t="s">
        <v>94</v>
      </c>
      <c r="B9" s="1204"/>
      <c r="C9" s="959"/>
      <c r="D9" s="1049" t="s">
        <v>352</v>
      </c>
      <c r="E9" s="1030"/>
      <c r="F9" s="1049" t="s">
        <v>352</v>
      </c>
      <c r="G9" s="1030"/>
      <c r="H9" s="1049" t="s">
        <v>352</v>
      </c>
      <c r="I9" s="960"/>
      <c r="J9" s="954"/>
      <c r="K9" s="955"/>
      <c r="L9" s="1049" t="s">
        <v>352</v>
      </c>
      <c r="M9" s="1075"/>
      <c r="N9" s="1049" t="s">
        <v>352</v>
      </c>
      <c r="O9" s="959"/>
      <c r="P9" s="958" t="s">
        <v>346</v>
      </c>
      <c r="Q9" s="959"/>
      <c r="R9" s="1019"/>
      <c r="S9" s="1019"/>
      <c r="T9" s="1019"/>
      <c r="U9" s="1019"/>
      <c r="V9" s="1019"/>
    </row>
    <row r="10" spans="1:22" s="857" customFormat="1" ht="21.5" thickBot="1" x14ac:dyDescent="0.55000000000000004">
      <c r="A10" s="861" t="s">
        <v>353</v>
      </c>
      <c r="B10" s="1205"/>
      <c r="C10" s="850"/>
      <c r="D10" s="859"/>
      <c r="E10" s="860"/>
      <c r="F10" s="850"/>
      <c r="G10" s="853"/>
      <c r="H10" s="850"/>
      <c r="I10" s="850"/>
      <c r="J10" s="850"/>
      <c r="K10" s="850"/>
      <c r="L10" s="850"/>
      <c r="M10" s="1075"/>
      <c r="N10" s="850"/>
      <c r="O10" s="850"/>
      <c r="P10" s="850"/>
      <c r="Q10" s="850"/>
      <c r="R10" s="571"/>
      <c r="S10" s="571"/>
      <c r="T10" s="571"/>
      <c r="U10" s="571"/>
      <c r="V10" s="571"/>
    </row>
    <row r="11" spans="1:22" ht="15" outlineLevel="1" thickBot="1" x14ac:dyDescent="0.4">
      <c r="A11" s="433" t="s">
        <v>99</v>
      </c>
      <c r="B11" s="1206">
        <v>5001</v>
      </c>
      <c r="C11" s="989"/>
      <c r="D11" s="990">
        <v>25000</v>
      </c>
      <c r="E11" s="991"/>
      <c r="F11" s="992">
        <v>8000</v>
      </c>
      <c r="G11" s="857"/>
      <c r="H11" s="993">
        <v>8000</v>
      </c>
      <c r="I11" s="994"/>
      <c r="J11" s="995"/>
      <c r="K11" s="996"/>
      <c r="L11" s="997">
        <v>0</v>
      </c>
      <c r="M11" s="1075"/>
      <c r="N11" s="999">
        <v>0</v>
      </c>
      <c r="O11" s="857"/>
      <c r="P11" s="998">
        <v>0</v>
      </c>
      <c r="Q11" s="857"/>
    </row>
    <row r="12" spans="1:22" outlineLevel="1" x14ac:dyDescent="0.35">
      <c r="A12" s="1000" t="s">
        <v>354</v>
      </c>
      <c r="B12" s="1207" t="s">
        <v>952</v>
      </c>
      <c r="C12" s="1001"/>
      <c r="D12" s="1002">
        <f>D6*D5</f>
        <v>9342210.8000000007</v>
      </c>
      <c r="E12" s="1003"/>
      <c r="F12" s="1004">
        <f>F5*F6</f>
        <v>2169510</v>
      </c>
      <c r="G12" s="1005"/>
      <c r="H12" s="1006">
        <f>H5*H6</f>
        <v>3491225.0999999996</v>
      </c>
      <c r="I12" s="1007"/>
      <c r="J12" s="1008"/>
      <c r="K12" s="1009"/>
      <c r="L12" s="1010">
        <f>L5*L6</f>
        <v>4824944.8</v>
      </c>
      <c r="M12" s="1075"/>
      <c r="N12" s="1078">
        <f>N5*N6</f>
        <v>4277111.28</v>
      </c>
      <c r="O12" s="1005"/>
      <c r="P12" s="1011">
        <f>P5*P6</f>
        <v>13934123.84</v>
      </c>
      <c r="Q12" s="1005"/>
    </row>
    <row r="13" spans="1:22" ht="15" outlineLevel="1" thickBot="1" x14ac:dyDescent="0.4">
      <c r="A13" s="1012" t="s">
        <v>355</v>
      </c>
      <c r="B13" s="1208" t="s">
        <v>953</v>
      </c>
      <c r="C13" s="1013"/>
      <c r="D13" s="790">
        <f>D7*D5</f>
        <v>2378000</v>
      </c>
      <c r="E13" s="1014"/>
      <c r="F13" s="791">
        <f>F5*F7</f>
        <v>265650</v>
      </c>
      <c r="G13" s="1015"/>
      <c r="H13" s="792">
        <f>H5*H7</f>
        <v>462000</v>
      </c>
      <c r="I13" s="1016"/>
      <c r="J13" s="1017"/>
      <c r="K13" s="1018"/>
      <c r="L13" s="794">
        <f>L7*L5</f>
        <v>855870</v>
      </c>
      <c r="M13" s="1075"/>
      <c r="N13" s="978">
        <f>N7*N5</f>
        <v>873563</v>
      </c>
      <c r="O13" s="1015"/>
      <c r="P13" s="973">
        <f>P7*P5</f>
        <v>1329160</v>
      </c>
      <c r="Q13" s="1015"/>
    </row>
    <row r="14" spans="1:22" s="872" customFormat="1" ht="15" thickBot="1" x14ac:dyDescent="0.4">
      <c r="A14" s="875" t="s">
        <v>120</v>
      </c>
      <c r="B14" s="1209"/>
      <c r="C14" s="851"/>
      <c r="D14" s="870">
        <f t="shared" ref="D14:P14" si="2">SUM(D11:D13)</f>
        <v>11745210.800000001</v>
      </c>
      <c r="E14" s="851">
        <f t="shared" si="2"/>
        <v>0</v>
      </c>
      <c r="F14" s="870">
        <f t="shared" si="2"/>
        <v>2443160</v>
      </c>
      <c r="G14" s="866"/>
      <c r="H14" s="870">
        <f t="shared" si="2"/>
        <v>3961225.0999999996</v>
      </c>
      <c r="I14" s="866"/>
      <c r="J14" s="870">
        <f t="shared" si="2"/>
        <v>0</v>
      </c>
      <c r="K14" s="871"/>
      <c r="L14" s="870">
        <f t="shared" si="2"/>
        <v>5680814.7999999998</v>
      </c>
      <c r="M14" s="1075"/>
      <c r="N14" s="870">
        <f t="shared" ref="N14" si="3">SUM(N11:N13)</f>
        <v>5150674.28</v>
      </c>
      <c r="O14" s="866"/>
      <c r="P14" s="870">
        <f t="shared" si="2"/>
        <v>15263283.84</v>
      </c>
      <c r="Q14" s="866"/>
      <c r="R14" s="759"/>
      <c r="S14" s="759"/>
      <c r="T14" s="759"/>
      <c r="U14" s="759"/>
      <c r="V14" s="759"/>
    </row>
    <row r="15" spans="1:22" s="831" customFormat="1" outlineLevel="1" x14ac:dyDescent="0.35">
      <c r="A15" s="829" t="s">
        <v>101</v>
      </c>
      <c r="B15" s="1210" t="s">
        <v>954</v>
      </c>
      <c r="C15" s="896"/>
      <c r="D15" s="785">
        <v>200000</v>
      </c>
      <c r="E15" s="911"/>
      <c r="F15" s="786">
        <v>250000</v>
      </c>
      <c r="G15" s="919"/>
      <c r="H15" s="787">
        <v>200000</v>
      </c>
      <c r="I15" s="882"/>
      <c r="J15" s="830"/>
      <c r="K15" s="934"/>
      <c r="L15" s="789"/>
      <c r="M15" s="1075"/>
      <c r="N15" s="981">
        <v>200000</v>
      </c>
      <c r="O15" s="919"/>
      <c r="P15" s="968">
        <v>0</v>
      </c>
      <c r="Q15" s="919"/>
      <c r="R15" s="571"/>
      <c r="S15" s="571"/>
      <c r="T15" s="571"/>
      <c r="U15" s="571"/>
      <c r="V15" s="571"/>
    </row>
    <row r="16" spans="1:22" s="831" customFormat="1" outlineLevel="1" x14ac:dyDescent="0.35">
      <c r="A16" s="829" t="s">
        <v>940</v>
      </c>
      <c r="B16" s="1210" t="s">
        <v>955</v>
      </c>
      <c r="C16" s="896"/>
      <c r="D16" s="785"/>
      <c r="E16" s="911"/>
      <c r="F16" s="786"/>
      <c r="G16" s="919"/>
      <c r="H16" s="787"/>
      <c r="I16" s="882"/>
      <c r="J16" s="830"/>
      <c r="K16" s="934"/>
      <c r="L16" s="789">
        <v>420000</v>
      </c>
      <c r="M16" s="1075"/>
      <c r="N16" s="981">
        <v>420000</v>
      </c>
      <c r="O16" s="919"/>
      <c r="P16" s="968"/>
      <c r="Q16" s="919"/>
      <c r="R16" s="571"/>
      <c r="S16" s="571"/>
      <c r="T16" s="571"/>
      <c r="U16" s="571"/>
      <c r="V16" s="571"/>
    </row>
    <row r="17" spans="1:22" s="831" customFormat="1" outlineLevel="1" x14ac:dyDescent="0.35">
      <c r="A17" s="829" t="s">
        <v>941</v>
      </c>
      <c r="B17" s="1210" t="s">
        <v>956</v>
      </c>
      <c r="C17" s="896"/>
      <c r="D17" s="785"/>
      <c r="E17" s="911"/>
      <c r="F17" s="786"/>
      <c r="G17" s="919"/>
      <c r="H17" s="787"/>
      <c r="I17" s="882"/>
      <c r="J17" s="830"/>
      <c r="K17" s="934"/>
      <c r="L17" s="789"/>
      <c r="M17" s="1075"/>
      <c r="N17" s="981"/>
      <c r="O17" s="919"/>
      <c r="P17" s="968"/>
      <c r="Q17" s="919"/>
      <c r="R17" s="571"/>
      <c r="S17" s="571"/>
      <c r="T17" s="571"/>
      <c r="U17" s="571"/>
      <c r="V17" s="571"/>
    </row>
    <row r="18" spans="1:22" s="831" customFormat="1" outlineLevel="1" x14ac:dyDescent="0.35">
      <c r="A18" s="832" t="s">
        <v>356</v>
      </c>
      <c r="B18" s="1211" t="s">
        <v>957</v>
      </c>
      <c r="C18" s="894"/>
      <c r="D18" s="843">
        <v>315002.34000000003</v>
      </c>
      <c r="E18" s="912"/>
      <c r="F18" s="781">
        <v>70000</v>
      </c>
      <c r="G18" s="917"/>
      <c r="H18" s="761">
        <v>132000</v>
      </c>
      <c r="I18" s="883"/>
      <c r="J18" s="833"/>
      <c r="K18" s="935"/>
      <c r="L18" s="771">
        <v>0</v>
      </c>
      <c r="M18" s="1075"/>
      <c r="N18" s="983">
        <v>0</v>
      </c>
      <c r="O18" s="897"/>
      <c r="P18" s="969">
        <v>0</v>
      </c>
      <c r="Q18" s="917"/>
      <c r="R18" s="571"/>
      <c r="S18" s="571"/>
      <c r="T18" s="571"/>
      <c r="U18" s="571"/>
      <c r="V18" s="571"/>
    </row>
    <row r="19" spans="1:22" s="831" customFormat="1" outlineLevel="1" x14ac:dyDescent="0.35">
      <c r="A19" s="834" t="s">
        <v>947</v>
      </c>
      <c r="B19" s="1212" t="s">
        <v>958</v>
      </c>
      <c r="C19" s="894"/>
      <c r="D19" s="843"/>
      <c r="E19" s="894"/>
      <c r="F19" s="781">
        <v>0</v>
      </c>
      <c r="G19" s="917"/>
      <c r="H19" s="761">
        <v>0</v>
      </c>
      <c r="I19" s="883"/>
      <c r="J19" s="833"/>
      <c r="K19" s="935"/>
      <c r="L19" s="771">
        <v>0</v>
      </c>
      <c r="M19" s="1075"/>
      <c r="N19" s="983">
        <v>0</v>
      </c>
      <c r="O19" s="897"/>
      <c r="P19" s="969">
        <v>0</v>
      </c>
      <c r="Q19" s="897"/>
      <c r="R19" s="571"/>
      <c r="S19" s="571"/>
      <c r="T19" s="571"/>
      <c r="U19" s="571"/>
      <c r="V19" s="571"/>
    </row>
    <row r="20" spans="1:22" s="831" customFormat="1" outlineLevel="1" x14ac:dyDescent="0.35">
      <c r="A20" s="834" t="s">
        <v>19</v>
      </c>
      <c r="B20" s="1212" t="s">
        <v>959</v>
      </c>
      <c r="C20" s="894"/>
      <c r="D20" s="843"/>
      <c r="E20" s="894"/>
      <c r="F20" s="781">
        <v>0</v>
      </c>
      <c r="G20" s="917"/>
      <c r="H20" s="761">
        <v>0</v>
      </c>
      <c r="I20" s="883"/>
      <c r="J20" s="833"/>
      <c r="K20" s="935"/>
      <c r="L20" s="771">
        <v>0</v>
      </c>
      <c r="M20" s="1075"/>
      <c r="N20" s="983">
        <v>0</v>
      </c>
      <c r="O20" s="897"/>
      <c r="P20" s="969"/>
      <c r="Q20" s="897"/>
      <c r="R20" s="571"/>
      <c r="S20" s="571"/>
      <c r="T20" s="571"/>
      <c r="U20" s="571"/>
      <c r="V20" s="571"/>
    </row>
    <row r="21" spans="1:22" s="831" customFormat="1" outlineLevel="1" x14ac:dyDescent="0.35">
      <c r="A21" s="834" t="s">
        <v>18</v>
      </c>
      <c r="B21" s="1212" t="s">
        <v>960</v>
      </c>
      <c r="C21" s="894"/>
      <c r="D21" s="843"/>
      <c r="E21" s="894"/>
      <c r="F21" s="781">
        <v>0</v>
      </c>
      <c r="G21" s="917"/>
      <c r="H21" s="761">
        <v>0</v>
      </c>
      <c r="I21" s="883"/>
      <c r="J21" s="833"/>
      <c r="K21" s="935"/>
      <c r="L21" s="771">
        <v>0</v>
      </c>
      <c r="M21" s="1075"/>
      <c r="N21" s="983">
        <v>0</v>
      </c>
      <c r="O21" s="897"/>
      <c r="P21" s="969"/>
      <c r="Q21" s="897"/>
      <c r="R21" s="571"/>
      <c r="S21" s="571"/>
      <c r="T21" s="571"/>
      <c r="U21" s="571"/>
      <c r="V21" s="571"/>
    </row>
    <row r="22" spans="1:22" s="831" customFormat="1" outlineLevel="1" x14ac:dyDescent="0.35">
      <c r="A22" s="832" t="s">
        <v>218</v>
      </c>
      <c r="B22" s="1211" t="s">
        <v>961</v>
      </c>
      <c r="C22" s="894"/>
      <c r="D22" s="843"/>
      <c r="E22" s="894"/>
      <c r="F22" s="781">
        <v>44781</v>
      </c>
      <c r="G22" s="897"/>
      <c r="H22" s="761">
        <v>84660</v>
      </c>
      <c r="I22" s="883"/>
      <c r="J22" s="833"/>
      <c r="K22" s="935"/>
      <c r="L22" s="771">
        <v>79002</v>
      </c>
      <c r="M22" s="1075"/>
      <c r="N22" s="983">
        <v>172767</v>
      </c>
      <c r="O22" s="897"/>
      <c r="P22" s="969">
        <v>366611</v>
      </c>
      <c r="Q22" s="897"/>
      <c r="R22" s="571"/>
      <c r="S22" s="571"/>
      <c r="T22" s="571"/>
      <c r="U22" s="571"/>
      <c r="V22" s="571"/>
    </row>
    <row r="23" spans="1:22" s="831" customFormat="1" outlineLevel="1" x14ac:dyDescent="0.35">
      <c r="A23" s="832" t="s">
        <v>357</v>
      </c>
      <c r="B23" s="1211" t="s">
        <v>962</v>
      </c>
      <c r="C23" s="894"/>
      <c r="D23" s="843"/>
      <c r="E23" s="894"/>
      <c r="F23" s="781">
        <v>0</v>
      </c>
      <c r="G23" s="897"/>
      <c r="H23" s="761">
        <v>0</v>
      </c>
      <c r="I23" s="883"/>
      <c r="J23" s="833"/>
      <c r="K23" s="935"/>
      <c r="L23" s="771">
        <v>0</v>
      </c>
      <c r="M23" s="1075"/>
      <c r="N23" s="983">
        <v>0</v>
      </c>
      <c r="O23" s="897"/>
      <c r="P23" s="969">
        <v>0</v>
      </c>
      <c r="Q23" s="897"/>
      <c r="R23" s="571"/>
      <c r="S23" s="571"/>
      <c r="T23" s="571"/>
      <c r="U23" s="571"/>
      <c r="V23" s="571"/>
    </row>
    <row r="24" spans="1:22" s="831" customFormat="1" outlineLevel="1" x14ac:dyDescent="0.35">
      <c r="A24" s="832" t="s">
        <v>358</v>
      </c>
      <c r="B24" s="1211" t="s">
        <v>963</v>
      </c>
      <c r="C24" s="894"/>
      <c r="D24" s="843"/>
      <c r="E24" s="894"/>
      <c r="F24" s="781">
        <v>707</v>
      </c>
      <c r="G24" s="897"/>
      <c r="H24" s="761">
        <v>1632</v>
      </c>
      <c r="I24" s="883"/>
      <c r="J24" s="833"/>
      <c r="K24" s="935"/>
      <c r="L24" s="771">
        <v>0</v>
      </c>
      <c r="M24" s="1075"/>
      <c r="N24" s="983">
        <v>0</v>
      </c>
      <c r="O24" s="897"/>
      <c r="P24" s="969">
        <v>0</v>
      </c>
      <c r="Q24" s="897"/>
      <c r="R24" s="571"/>
      <c r="S24" s="571"/>
      <c r="T24" s="571"/>
      <c r="U24" s="571"/>
      <c r="V24" s="571"/>
    </row>
    <row r="25" spans="1:22" s="831" customFormat="1" outlineLevel="1" x14ac:dyDescent="0.35">
      <c r="A25" s="832" t="s">
        <v>230</v>
      </c>
      <c r="B25" s="1211" t="s">
        <v>964</v>
      </c>
      <c r="C25" s="894"/>
      <c r="D25" s="843">
        <v>32073</v>
      </c>
      <c r="E25" s="894"/>
      <c r="F25" s="781">
        <v>1710</v>
      </c>
      <c r="G25" s="897"/>
      <c r="H25" s="761">
        <v>2628</v>
      </c>
      <c r="I25" s="883"/>
      <c r="J25" s="833"/>
      <c r="K25" s="935"/>
      <c r="L25" s="771">
        <v>0</v>
      </c>
      <c r="M25" s="1075"/>
      <c r="N25" s="983">
        <v>15203</v>
      </c>
      <c r="O25" s="897"/>
      <c r="P25" s="969">
        <v>51483</v>
      </c>
      <c r="Q25" s="897"/>
      <c r="R25" s="571"/>
      <c r="S25" s="571"/>
      <c r="T25" s="571"/>
      <c r="U25" s="571"/>
      <c r="V25" s="571"/>
    </row>
    <row r="26" spans="1:22" s="831" customFormat="1" outlineLevel="1" x14ac:dyDescent="0.35">
      <c r="A26" s="832" t="s">
        <v>359</v>
      </c>
      <c r="B26" s="1211" t="s">
        <v>965</v>
      </c>
      <c r="C26" s="894"/>
      <c r="D26" s="843"/>
      <c r="E26" s="894"/>
      <c r="F26" s="781">
        <v>2638</v>
      </c>
      <c r="G26" s="897"/>
      <c r="H26" s="761">
        <v>2268</v>
      </c>
      <c r="I26" s="883"/>
      <c r="J26" s="833"/>
      <c r="K26" s="935"/>
      <c r="L26" s="771">
        <v>0</v>
      </c>
      <c r="M26" s="1075"/>
      <c r="N26" s="983">
        <v>11311</v>
      </c>
      <c r="O26" s="897"/>
      <c r="P26" s="969">
        <v>50769</v>
      </c>
      <c r="Q26" s="897"/>
      <c r="R26" s="571"/>
      <c r="S26" s="571"/>
      <c r="T26" s="571"/>
      <c r="U26" s="571"/>
      <c r="V26" s="571"/>
    </row>
    <row r="27" spans="1:22" s="831" customFormat="1" outlineLevel="1" x14ac:dyDescent="0.35">
      <c r="A27" s="832" t="s">
        <v>260</v>
      </c>
      <c r="B27" s="1211" t="s">
        <v>966</v>
      </c>
      <c r="C27" s="894"/>
      <c r="D27" s="843">
        <v>13842</v>
      </c>
      <c r="E27" s="894"/>
      <c r="F27" s="781">
        <v>0</v>
      </c>
      <c r="G27" s="897"/>
      <c r="H27" s="761">
        <v>3472</v>
      </c>
      <c r="I27" s="883"/>
      <c r="J27" s="833"/>
      <c r="K27" s="935"/>
      <c r="L27" s="771">
        <v>4474</v>
      </c>
      <c r="M27" s="1075"/>
      <c r="N27" s="983">
        <v>5520</v>
      </c>
      <c r="O27" s="897"/>
      <c r="P27" s="969">
        <v>21925</v>
      </c>
      <c r="Q27" s="897"/>
      <c r="R27" s="571"/>
      <c r="S27" s="571"/>
      <c r="T27" s="571"/>
      <c r="U27" s="571"/>
      <c r="V27" s="571"/>
    </row>
    <row r="28" spans="1:22" s="831" customFormat="1" outlineLevel="1" x14ac:dyDescent="0.35">
      <c r="A28" s="832" t="s">
        <v>12</v>
      </c>
      <c r="B28" s="1211" t="s">
        <v>967</v>
      </c>
      <c r="C28" s="894"/>
      <c r="D28" s="843"/>
      <c r="E28" s="894"/>
      <c r="F28" s="781">
        <v>34944.44</v>
      </c>
      <c r="G28" s="897"/>
      <c r="H28" s="761">
        <v>56250</v>
      </c>
      <c r="I28" s="883"/>
      <c r="J28" s="833"/>
      <c r="K28" s="935"/>
      <c r="L28" s="771">
        <v>40000</v>
      </c>
      <c r="M28" s="1075"/>
      <c r="N28" s="983">
        <v>140000</v>
      </c>
      <c r="O28" s="897"/>
      <c r="P28" s="969">
        <v>197902</v>
      </c>
      <c r="Q28" s="897"/>
      <c r="R28" s="571"/>
      <c r="S28" s="571"/>
      <c r="T28" s="571"/>
      <c r="U28" s="571"/>
      <c r="V28" s="571"/>
    </row>
    <row r="29" spans="1:22" s="831" customFormat="1" outlineLevel="1" x14ac:dyDescent="0.35">
      <c r="A29" s="832" t="s">
        <v>220</v>
      </c>
      <c r="B29" s="1211" t="s">
        <v>968</v>
      </c>
      <c r="C29" s="894"/>
      <c r="D29" s="843"/>
      <c r="E29" s="894"/>
      <c r="F29" s="781">
        <v>8767.9699999999993</v>
      </c>
      <c r="G29" s="897"/>
      <c r="H29" s="761">
        <v>0</v>
      </c>
      <c r="I29" s="883"/>
      <c r="J29" s="833"/>
      <c r="K29" s="935"/>
      <c r="L29" s="771">
        <v>0</v>
      </c>
      <c r="M29" s="1075"/>
      <c r="N29" s="983">
        <v>0</v>
      </c>
      <c r="O29" s="897"/>
      <c r="P29" s="969">
        <v>0</v>
      </c>
      <c r="Q29" s="897"/>
      <c r="R29" s="571"/>
      <c r="S29" s="571"/>
      <c r="T29" s="571"/>
      <c r="U29" s="571"/>
      <c r="V29" s="571"/>
    </row>
    <row r="30" spans="1:22" s="831" customFormat="1" outlineLevel="1" x14ac:dyDescent="0.35">
      <c r="A30" s="832" t="s">
        <v>117</v>
      </c>
      <c r="B30" s="1211" t="s">
        <v>969</v>
      </c>
      <c r="C30" s="894"/>
      <c r="D30" s="843"/>
      <c r="E30" s="894"/>
      <c r="F30" s="781"/>
      <c r="G30" s="897"/>
      <c r="H30" s="761"/>
      <c r="I30" s="883"/>
      <c r="J30" s="833"/>
      <c r="K30" s="935"/>
      <c r="L30" s="771">
        <v>34142</v>
      </c>
      <c r="M30" s="1075"/>
      <c r="N30" s="983"/>
      <c r="O30" s="897"/>
      <c r="P30" s="969">
        <v>0</v>
      </c>
      <c r="Q30" s="897"/>
      <c r="R30" s="571"/>
      <c r="S30" s="571"/>
      <c r="T30" s="571"/>
      <c r="U30" s="571"/>
      <c r="V30" s="571"/>
    </row>
    <row r="31" spans="1:22" s="831" customFormat="1" outlineLevel="1" x14ac:dyDescent="0.35">
      <c r="A31" s="835" t="s">
        <v>360</v>
      </c>
      <c r="B31" s="1213" t="s">
        <v>970</v>
      </c>
      <c r="C31" s="894"/>
      <c r="D31" s="843">
        <v>300000</v>
      </c>
      <c r="E31" s="894"/>
      <c r="F31" s="781">
        <v>50000</v>
      </c>
      <c r="G31" s="897"/>
      <c r="H31" s="761">
        <v>36925.269999999997</v>
      </c>
      <c r="I31" s="883"/>
      <c r="J31" s="833"/>
      <c r="K31" s="935"/>
      <c r="L31" s="771">
        <v>200000</v>
      </c>
      <c r="M31" s="1075"/>
      <c r="N31" s="983">
        <v>272231</v>
      </c>
      <c r="O31" s="897"/>
      <c r="P31" s="969">
        <v>300000</v>
      </c>
      <c r="Q31" s="897"/>
      <c r="R31" s="571"/>
      <c r="S31" s="571"/>
      <c r="T31" s="571"/>
      <c r="U31" s="571"/>
      <c r="V31" s="571"/>
    </row>
    <row r="32" spans="1:22" s="831" customFormat="1" outlineLevel="1" x14ac:dyDescent="0.35">
      <c r="A32" s="832" t="s">
        <v>118</v>
      </c>
      <c r="B32" s="1211" t="s">
        <v>971</v>
      </c>
      <c r="C32" s="894"/>
      <c r="D32" s="843"/>
      <c r="E32" s="894"/>
      <c r="F32" s="781"/>
      <c r="G32" s="897"/>
      <c r="H32" s="761"/>
      <c r="I32" s="883"/>
      <c r="J32" s="833"/>
      <c r="K32" s="935"/>
      <c r="L32" s="771">
        <v>0</v>
      </c>
      <c r="M32" s="1075"/>
      <c r="N32" s="983">
        <v>0</v>
      </c>
      <c r="O32" s="897"/>
      <c r="P32" s="969">
        <v>0</v>
      </c>
      <c r="Q32" s="897"/>
      <c r="R32" s="571"/>
      <c r="S32" s="571"/>
      <c r="T32" s="571"/>
      <c r="U32" s="571"/>
      <c r="V32" s="571"/>
    </row>
    <row r="33" spans="1:22" s="831" customFormat="1" ht="15.75" customHeight="1" outlineLevel="1" x14ac:dyDescent="0.35">
      <c r="A33" s="832" t="s">
        <v>108</v>
      </c>
      <c r="B33" s="1211" t="s">
        <v>972</v>
      </c>
      <c r="C33" s="894"/>
      <c r="D33" s="843">
        <v>48142</v>
      </c>
      <c r="E33" s="894"/>
      <c r="F33" s="781">
        <v>8830.57</v>
      </c>
      <c r="G33" s="897"/>
      <c r="H33" s="761">
        <v>21585.84</v>
      </c>
      <c r="I33" s="883"/>
      <c r="J33" s="833"/>
      <c r="K33" s="935"/>
      <c r="L33" s="771">
        <v>0</v>
      </c>
      <c r="M33" s="1075"/>
      <c r="N33" s="983">
        <v>0</v>
      </c>
      <c r="O33" s="897"/>
      <c r="P33" s="969">
        <v>0</v>
      </c>
      <c r="Q33" s="897"/>
      <c r="R33" s="571"/>
      <c r="S33" s="571"/>
      <c r="T33" s="571"/>
      <c r="U33" s="571"/>
      <c r="V33" s="571"/>
    </row>
    <row r="34" spans="1:22" s="831" customFormat="1" outlineLevel="1" x14ac:dyDescent="0.35">
      <c r="A34" s="834" t="s">
        <v>13</v>
      </c>
      <c r="B34" s="1212" t="s">
        <v>973</v>
      </c>
      <c r="C34" s="894"/>
      <c r="D34" s="843"/>
      <c r="E34" s="894"/>
      <c r="F34" s="781">
        <v>0</v>
      </c>
      <c r="G34" s="897"/>
      <c r="H34" s="761">
        <v>0</v>
      </c>
      <c r="I34" s="883"/>
      <c r="J34" s="833"/>
      <c r="K34" s="935"/>
      <c r="L34" s="771">
        <v>0</v>
      </c>
      <c r="M34" s="1075"/>
      <c r="N34" s="983">
        <v>0</v>
      </c>
      <c r="O34" s="897"/>
      <c r="P34" s="969">
        <v>87740</v>
      </c>
      <c r="Q34" s="897"/>
      <c r="R34" s="571"/>
      <c r="S34" s="571"/>
      <c r="T34" s="571"/>
      <c r="U34" s="571"/>
      <c r="V34" s="571"/>
    </row>
    <row r="35" spans="1:22" s="831" customFormat="1" outlineLevel="1" x14ac:dyDescent="0.35">
      <c r="A35" s="834" t="s">
        <v>948</v>
      </c>
      <c r="B35" s="1212" t="s">
        <v>974</v>
      </c>
      <c r="C35" s="894"/>
      <c r="D35" s="843"/>
      <c r="E35" s="894"/>
      <c r="F35" s="781">
        <v>0</v>
      </c>
      <c r="G35" s="897"/>
      <c r="H35" s="761">
        <v>0</v>
      </c>
      <c r="I35" s="883"/>
      <c r="J35" s="833"/>
      <c r="K35" s="935"/>
      <c r="L35" s="771">
        <v>40000</v>
      </c>
      <c r="M35" s="1075"/>
      <c r="N35" s="983">
        <v>0</v>
      </c>
      <c r="O35" s="897"/>
      <c r="P35" s="969">
        <v>0</v>
      </c>
      <c r="Q35" s="897"/>
      <c r="R35" s="571"/>
      <c r="S35" s="571"/>
      <c r="T35" s="571"/>
      <c r="U35" s="571"/>
      <c r="V35" s="571"/>
    </row>
    <row r="36" spans="1:22" s="831" customFormat="1" outlineLevel="1" x14ac:dyDescent="0.35">
      <c r="A36" s="832" t="s">
        <v>104</v>
      </c>
      <c r="B36" s="1211" t="s">
        <v>975</v>
      </c>
      <c r="C36" s="894"/>
      <c r="D36" s="843"/>
      <c r="E36" s="894"/>
      <c r="F36" s="781">
        <v>29640</v>
      </c>
      <c r="G36" s="897"/>
      <c r="H36" s="761">
        <v>64850</v>
      </c>
      <c r="I36" s="883"/>
      <c r="J36" s="833"/>
      <c r="K36" s="935"/>
      <c r="L36" s="771">
        <v>0</v>
      </c>
      <c r="M36" s="1075"/>
      <c r="N36" s="983">
        <v>0</v>
      </c>
      <c r="O36" s="897"/>
      <c r="P36" s="969">
        <v>0</v>
      </c>
      <c r="Q36" s="897"/>
      <c r="R36" s="571"/>
      <c r="S36" s="571"/>
      <c r="T36" s="571"/>
      <c r="U36" s="571"/>
      <c r="V36" s="571"/>
    </row>
    <row r="37" spans="1:22" s="831" customFormat="1" outlineLevel="1" x14ac:dyDescent="0.35">
      <c r="A37" s="832" t="s">
        <v>105</v>
      </c>
      <c r="B37" s="1211" t="s">
        <v>976</v>
      </c>
      <c r="C37" s="894"/>
      <c r="D37" s="843"/>
      <c r="E37" s="894"/>
      <c r="F37" s="781">
        <v>781</v>
      </c>
      <c r="G37" s="897"/>
      <c r="H37" s="761">
        <v>500</v>
      </c>
      <c r="I37" s="883"/>
      <c r="J37" s="833"/>
      <c r="K37" s="935"/>
      <c r="L37" s="771">
        <v>0</v>
      </c>
      <c r="M37" s="1075"/>
      <c r="N37" s="983">
        <v>0</v>
      </c>
      <c r="O37" s="897"/>
      <c r="P37" s="969">
        <v>0</v>
      </c>
      <c r="Q37" s="897"/>
      <c r="R37" s="571"/>
      <c r="S37" s="571"/>
      <c r="T37" s="571"/>
      <c r="U37" s="571"/>
      <c r="V37" s="571"/>
    </row>
    <row r="38" spans="1:22" s="831" customFormat="1" outlineLevel="1" x14ac:dyDescent="0.35">
      <c r="A38" s="832" t="s">
        <v>106</v>
      </c>
      <c r="B38" s="1211" t="s">
        <v>977</v>
      </c>
      <c r="C38" s="894"/>
      <c r="D38" s="843"/>
      <c r="E38" s="894"/>
      <c r="F38" s="781">
        <v>0</v>
      </c>
      <c r="G38" s="897"/>
      <c r="H38" s="761">
        <v>0</v>
      </c>
      <c r="I38" s="883"/>
      <c r="J38" s="833"/>
      <c r="K38" s="935"/>
      <c r="L38" s="771">
        <v>0</v>
      </c>
      <c r="M38" s="1075"/>
      <c r="N38" s="983">
        <v>0</v>
      </c>
      <c r="O38" s="897"/>
      <c r="P38" s="969">
        <v>0</v>
      </c>
      <c r="Q38" s="897"/>
      <c r="R38" s="571"/>
      <c r="S38" s="571"/>
      <c r="T38" s="571"/>
      <c r="U38" s="571"/>
      <c r="V38" s="571"/>
    </row>
    <row r="39" spans="1:22" s="831" customFormat="1" outlineLevel="1" x14ac:dyDescent="0.35">
      <c r="A39" s="832" t="s">
        <v>107</v>
      </c>
      <c r="B39" s="1211" t="s">
        <v>978</v>
      </c>
      <c r="C39" s="894"/>
      <c r="D39" s="843">
        <v>105373</v>
      </c>
      <c r="E39" s="894"/>
      <c r="F39" s="781">
        <v>6388</v>
      </c>
      <c r="G39" s="897"/>
      <c r="H39" s="761">
        <v>5421.16</v>
      </c>
      <c r="I39" s="883"/>
      <c r="J39" s="833"/>
      <c r="K39" s="935"/>
      <c r="L39" s="771">
        <v>0</v>
      </c>
      <c r="M39" s="1075"/>
      <c r="N39" s="983">
        <v>0</v>
      </c>
      <c r="O39" s="897"/>
      <c r="P39" s="969">
        <v>0</v>
      </c>
      <c r="Q39" s="897"/>
      <c r="R39" s="571"/>
      <c r="S39" s="571"/>
      <c r="T39" s="571"/>
      <c r="U39" s="571"/>
      <c r="V39" s="571"/>
    </row>
    <row r="40" spans="1:22" s="831" customFormat="1" outlineLevel="1" x14ac:dyDescent="0.35">
      <c r="A40" s="832" t="s">
        <v>109</v>
      </c>
      <c r="B40" s="1211" t="s">
        <v>979</v>
      </c>
      <c r="C40" s="894"/>
      <c r="D40" s="843">
        <v>0</v>
      </c>
      <c r="E40" s="894"/>
      <c r="F40" s="781">
        <v>630</v>
      </c>
      <c r="G40" s="897"/>
      <c r="H40" s="761">
        <v>293</v>
      </c>
      <c r="I40" s="883"/>
      <c r="J40" s="833"/>
      <c r="K40" s="935"/>
      <c r="L40" s="771">
        <v>0</v>
      </c>
      <c r="M40" s="1075"/>
      <c r="N40" s="983">
        <v>0</v>
      </c>
      <c r="O40" s="897"/>
      <c r="P40" s="969">
        <v>0</v>
      </c>
      <c r="Q40" s="897"/>
      <c r="R40" s="571"/>
      <c r="S40" s="571"/>
      <c r="T40" s="571"/>
      <c r="U40" s="571"/>
      <c r="V40" s="571"/>
    </row>
    <row r="41" spans="1:22" s="831" customFormat="1" outlineLevel="1" x14ac:dyDescent="0.35">
      <c r="A41" s="832" t="s">
        <v>949</v>
      </c>
      <c r="B41" s="1211" t="s">
        <v>980</v>
      </c>
      <c r="C41" s="894"/>
      <c r="D41" s="843">
        <v>0</v>
      </c>
      <c r="E41" s="894"/>
      <c r="F41" s="781">
        <v>1484</v>
      </c>
      <c r="G41" s="897"/>
      <c r="H41" s="761">
        <v>3763</v>
      </c>
      <c r="I41" s="883"/>
      <c r="J41" s="833"/>
      <c r="K41" s="935"/>
      <c r="L41" s="771">
        <v>0</v>
      </c>
      <c r="M41" s="1075"/>
      <c r="N41" s="983">
        <v>0</v>
      </c>
      <c r="O41" s="897"/>
      <c r="P41" s="969">
        <v>0</v>
      </c>
      <c r="Q41" s="897"/>
      <c r="R41" s="571"/>
      <c r="S41" s="571"/>
      <c r="T41" s="571"/>
      <c r="U41" s="571"/>
      <c r="V41" s="571"/>
    </row>
    <row r="42" spans="1:22" s="831" customFormat="1" outlineLevel="1" x14ac:dyDescent="0.35">
      <c r="A42" s="832" t="s">
        <v>361</v>
      </c>
      <c r="B42" s="1238" t="s">
        <v>981</v>
      </c>
      <c r="C42" s="894"/>
      <c r="D42" s="843">
        <v>35610</v>
      </c>
      <c r="E42" s="894"/>
      <c r="F42" s="781">
        <v>31963</v>
      </c>
      <c r="G42" s="917"/>
      <c r="H42" s="761">
        <v>36568</v>
      </c>
      <c r="I42" s="883"/>
      <c r="J42" s="833"/>
      <c r="K42" s="935"/>
      <c r="L42" s="771">
        <v>0</v>
      </c>
      <c r="M42" s="1075"/>
      <c r="N42" s="983">
        <v>0</v>
      </c>
      <c r="O42" s="897"/>
      <c r="P42" s="969">
        <v>0</v>
      </c>
      <c r="Q42" s="897"/>
      <c r="R42" s="571"/>
      <c r="S42" s="571"/>
      <c r="T42" s="571"/>
      <c r="U42" s="571"/>
      <c r="V42" s="571"/>
    </row>
    <row r="43" spans="1:22" s="831" customFormat="1" outlineLevel="1" x14ac:dyDescent="0.35">
      <c r="A43" s="832" t="s">
        <v>111</v>
      </c>
      <c r="B43" s="1211" t="s">
        <v>982</v>
      </c>
      <c r="C43" s="894"/>
      <c r="D43" s="843">
        <v>30000</v>
      </c>
      <c r="E43" s="912"/>
      <c r="F43" s="781">
        <v>0</v>
      </c>
      <c r="G43" s="897"/>
      <c r="H43" s="761"/>
      <c r="I43" s="883"/>
      <c r="J43" s="833"/>
      <c r="K43" s="935"/>
      <c r="L43" s="771">
        <v>0</v>
      </c>
      <c r="M43" s="1075"/>
      <c r="N43" s="983">
        <v>0</v>
      </c>
      <c r="O43" s="897"/>
      <c r="P43" s="969">
        <v>0</v>
      </c>
      <c r="Q43" s="897"/>
      <c r="R43" s="571"/>
      <c r="S43" s="571"/>
      <c r="T43" s="571"/>
      <c r="U43" s="571"/>
      <c r="V43" s="571"/>
    </row>
    <row r="44" spans="1:22" s="831" customFormat="1" outlineLevel="1" x14ac:dyDescent="0.35">
      <c r="A44" s="836" t="s">
        <v>261</v>
      </c>
      <c r="B44" s="1214" t="s">
        <v>983</v>
      </c>
      <c r="C44" s="895"/>
      <c r="D44" s="844"/>
      <c r="E44" s="895"/>
      <c r="F44" s="818">
        <v>0</v>
      </c>
      <c r="G44" s="898"/>
      <c r="H44" s="819">
        <v>0</v>
      </c>
      <c r="I44" s="884"/>
      <c r="J44" s="837"/>
      <c r="K44" s="936"/>
      <c r="L44" s="820">
        <v>0</v>
      </c>
      <c r="M44" s="1075"/>
      <c r="N44" s="984">
        <v>0</v>
      </c>
      <c r="O44" s="898"/>
      <c r="P44" s="971">
        <v>0</v>
      </c>
      <c r="Q44" s="951"/>
      <c r="R44" s="571"/>
      <c r="S44" s="571"/>
      <c r="T44" s="571"/>
      <c r="U44" s="571"/>
      <c r="V44" s="571"/>
    </row>
    <row r="45" spans="1:22" s="833" customFormat="1" outlineLevel="1" x14ac:dyDescent="0.35">
      <c r="A45" s="1150" t="s">
        <v>362</v>
      </c>
      <c r="B45" s="1215" t="s">
        <v>1088</v>
      </c>
      <c r="C45" s="1151"/>
      <c r="D45" s="843"/>
      <c r="E45" s="1151"/>
      <c r="F45" s="781">
        <f>2600*27</f>
        <v>70200</v>
      </c>
      <c r="G45" s="1093"/>
      <c r="H45" s="761">
        <f>4200*27</f>
        <v>113400</v>
      </c>
      <c r="I45" s="1093"/>
      <c r="L45" s="771"/>
      <c r="M45" s="1152"/>
      <c r="N45" s="983"/>
      <c r="O45" s="1093"/>
      <c r="P45" s="969"/>
      <c r="Q45" s="1153"/>
      <c r="R45" s="607"/>
      <c r="S45" s="607"/>
      <c r="T45" s="607"/>
      <c r="U45" s="607"/>
      <c r="V45" s="607"/>
    </row>
    <row r="46" spans="1:22" s="872" customFormat="1" ht="15" thickBot="1" x14ac:dyDescent="0.4">
      <c r="A46" s="1144" t="s">
        <v>363</v>
      </c>
      <c r="B46" s="1216"/>
      <c r="C46" s="1146">
        <f t="shared" ref="C46:Q46" si="4">SUM(C15:C44)</f>
        <v>0</v>
      </c>
      <c r="D46" s="1147">
        <f t="shared" si="4"/>
        <v>1080042.3400000001</v>
      </c>
      <c r="E46" s="1146">
        <f t="shared" si="4"/>
        <v>0</v>
      </c>
      <c r="F46" s="1145">
        <f>SUM(F15:F45)</f>
        <v>613464.98</v>
      </c>
      <c r="G46" s="1148">
        <f t="shared" si="4"/>
        <v>0</v>
      </c>
      <c r="H46" s="1145">
        <f>SUM(H15:H45)</f>
        <v>766216.27</v>
      </c>
      <c r="I46" s="1148">
        <f t="shared" si="4"/>
        <v>0</v>
      </c>
      <c r="J46" s="1147">
        <f t="shared" si="4"/>
        <v>0</v>
      </c>
      <c r="K46" s="1149">
        <f t="shared" si="4"/>
        <v>0</v>
      </c>
      <c r="L46" s="1145">
        <f>SUM(L15:L45)</f>
        <v>817618</v>
      </c>
      <c r="M46" s="1075"/>
      <c r="N46" s="1145">
        <f>SUM(N15:N45)</f>
        <v>1237032</v>
      </c>
      <c r="O46" s="1148">
        <f t="shared" si="4"/>
        <v>0</v>
      </c>
      <c r="P46" s="1145">
        <f>SUM(P15:P45)</f>
        <v>1076430</v>
      </c>
      <c r="Q46" s="1148">
        <f t="shared" si="4"/>
        <v>0</v>
      </c>
      <c r="R46" s="759"/>
      <c r="S46" s="759"/>
      <c r="T46" s="759"/>
      <c r="U46" s="759"/>
      <c r="V46" s="759"/>
    </row>
    <row r="47" spans="1:22" s="831" customFormat="1" outlineLevel="1" x14ac:dyDescent="0.35">
      <c r="A47" s="829" t="s">
        <v>364</v>
      </c>
      <c r="B47" s="1239" t="s">
        <v>984</v>
      </c>
      <c r="C47" s="896"/>
      <c r="D47" s="785"/>
      <c r="E47" s="893"/>
      <c r="F47" s="786">
        <v>850000</v>
      </c>
      <c r="G47" s="896"/>
      <c r="H47" s="787"/>
      <c r="I47" s="882"/>
      <c r="J47" s="830"/>
      <c r="K47" s="934"/>
      <c r="L47" s="789">
        <v>0</v>
      </c>
      <c r="M47" s="1075"/>
      <c r="N47" s="981">
        <v>0</v>
      </c>
      <c r="O47" s="896"/>
      <c r="P47" s="968">
        <v>0</v>
      </c>
      <c r="Q47" s="952"/>
      <c r="R47" s="571"/>
      <c r="S47" s="571"/>
      <c r="T47" s="571"/>
      <c r="U47" s="571"/>
      <c r="V47" s="571"/>
    </row>
    <row r="48" spans="1:22" s="831" customFormat="1" outlineLevel="1" x14ac:dyDescent="0.35">
      <c r="A48" s="832" t="s">
        <v>365</v>
      </c>
      <c r="B48" s="1238" t="s">
        <v>985</v>
      </c>
      <c r="C48" s="897"/>
      <c r="D48" s="843"/>
      <c r="E48" s="894"/>
      <c r="F48" s="781"/>
      <c r="G48" s="897"/>
      <c r="H48" s="761">
        <v>0</v>
      </c>
      <c r="I48" s="883"/>
      <c r="J48" s="833"/>
      <c r="K48" s="935"/>
      <c r="L48" s="771"/>
      <c r="M48" s="1075"/>
      <c r="N48" s="983"/>
      <c r="O48" s="897"/>
      <c r="P48" s="969">
        <v>0</v>
      </c>
      <c r="Q48" s="953"/>
      <c r="R48" s="571"/>
      <c r="S48" s="571"/>
      <c r="T48" s="571"/>
      <c r="U48" s="571"/>
      <c r="V48" s="571"/>
    </row>
    <row r="49" spans="1:22" s="831" customFormat="1" outlineLevel="1" x14ac:dyDescent="0.35">
      <c r="A49" s="832" t="s">
        <v>366</v>
      </c>
      <c r="B49" s="1239" t="s">
        <v>986</v>
      </c>
      <c r="C49" s="894"/>
      <c r="D49" s="843"/>
      <c r="E49" s="894"/>
      <c r="F49" s="781">
        <v>0</v>
      </c>
      <c r="G49" s="897"/>
      <c r="H49" s="761">
        <v>0</v>
      </c>
      <c r="I49" s="883"/>
      <c r="J49" s="833"/>
      <c r="K49" s="935"/>
      <c r="L49" s="771"/>
      <c r="M49" s="1075"/>
      <c r="N49" s="983"/>
      <c r="O49" s="897"/>
      <c r="P49" s="969">
        <v>0</v>
      </c>
      <c r="Q49" s="953"/>
      <c r="R49" s="571"/>
      <c r="S49" s="571"/>
      <c r="T49" s="571"/>
      <c r="U49" s="571"/>
      <c r="V49" s="571"/>
    </row>
    <row r="50" spans="1:22" s="831" customFormat="1" outlineLevel="1" x14ac:dyDescent="0.35">
      <c r="A50" s="1099" t="s">
        <v>950</v>
      </c>
      <c r="B50" s="1238" t="s">
        <v>987</v>
      </c>
      <c r="C50" s="894"/>
      <c r="D50" s="843"/>
      <c r="E50" s="894"/>
      <c r="F50" s="781"/>
      <c r="G50" s="897"/>
      <c r="H50" s="761"/>
      <c r="I50" s="883"/>
      <c r="J50" s="833"/>
      <c r="K50" s="935"/>
      <c r="L50" s="771"/>
      <c r="M50" s="1075"/>
      <c r="N50" s="983"/>
      <c r="O50" s="897"/>
      <c r="P50" s="969"/>
      <c r="Q50" s="953"/>
      <c r="R50" s="571"/>
      <c r="S50" s="571"/>
      <c r="T50" s="571"/>
      <c r="U50" s="571"/>
      <c r="V50" s="571"/>
    </row>
    <row r="51" spans="1:22" s="831" customFormat="1" outlineLevel="1" x14ac:dyDescent="0.35">
      <c r="A51" s="1098" t="s">
        <v>367</v>
      </c>
      <c r="B51" s="1241" t="s">
        <v>1089</v>
      </c>
      <c r="C51" s="894"/>
      <c r="D51" s="843"/>
      <c r="E51" s="894"/>
      <c r="F51" s="781">
        <v>0</v>
      </c>
      <c r="G51" s="917"/>
      <c r="H51" s="761">
        <v>0</v>
      </c>
      <c r="I51" s="883"/>
      <c r="J51" s="833"/>
      <c r="K51" s="935"/>
      <c r="L51" s="771"/>
      <c r="M51" s="1075"/>
      <c r="N51" s="983"/>
      <c r="O51" s="897"/>
      <c r="P51" s="969"/>
      <c r="Q51" s="953"/>
      <c r="R51" s="571"/>
      <c r="S51" s="571"/>
      <c r="T51" s="571"/>
      <c r="U51" s="571"/>
      <c r="V51" s="571"/>
    </row>
    <row r="52" spans="1:22" s="831" customFormat="1" outlineLevel="1" x14ac:dyDescent="0.35">
      <c r="B52" s="1212"/>
      <c r="C52" s="897"/>
      <c r="D52" s="758"/>
      <c r="E52" s="897"/>
      <c r="F52" s="781">
        <v>0</v>
      </c>
      <c r="G52" s="897"/>
      <c r="H52" s="761">
        <v>0</v>
      </c>
      <c r="I52" s="883"/>
      <c r="J52" s="833"/>
      <c r="K52" s="935"/>
      <c r="L52" s="771"/>
      <c r="M52" s="1075"/>
      <c r="N52" s="983"/>
      <c r="O52" s="897"/>
      <c r="P52" s="969">
        <v>0</v>
      </c>
      <c r="Q52" s="953"/>
      <c r="R52" s="571"/>
      <c r="S52" s="571"/>
      <c r="T52" s="571"/>
      <c r="U52" s="571"/>
      <c r="V52" s="571"/>
    </row>
    <row r="53" spans="1:22" s="831" customFormat="1" outlineLevel="1" x14ac:dyDescent="0.35">
      <c r="A53" s="839" t="s">
        <v>369</v>
      </c>
      <c r="B53" s="1217" t="s">
        <v>988</v>
      </c>
      <c r="C53" s="898"/>
      <c r="D53" s="822"/>
      <c r="E53" s="898"/>
      <c r="F53" s="818">
        <v>0</v>
      </c>
      <c r="G53" s="898"/>
      <c r="H53" s="819"/>
      <c r="I53" s="884"/>
      <c r="J53" s="837"/>
      <c r="K53" s="937"/>
      <c r="L53" s="820">
        <v>0</v>
      </c>
      <c r="M53" s="1075"/>
      <c r="N53" s="984">
        <v>0</v>
      </c>
      <c r="O53" s="951"/>
      <c r="P53" s="971">
        <v>0</v>
      </c>
      <c r="Q53" s="951"/>
      <c r="R53" s="571"/>
      <c r="S53" s="571"/>
      <c r="T53" s="571"/>
      <c r="U53" s="571"/>
      <c r="V53" s="571"/>
    </row>
    <row r="54" spans="1:22" s="831" customFormat="1" outlineLevel="1" x14ac:dyDescent="0.35">
      <c r="A54" s="1198" t="s">
        <v>943</v>
      </c>
      <c r="B54" s="1218" t="s">
        <v>989</v>
      </c>
      <c r="C54" s="897"/>
      <c r="D54" s="758"/>
      <c r="E54" s="897"/>
      <c r="F54" s="1192"/>
      <c r="G54" s="897"/>
      <c r="H54" s="1192">
        <v>1990000</v>
      </c>
      <c r="I54" s="883"/>
      <c r="J54" s="833"/>
      <c r="K54" s="1193"/>
      <c r="L54" s="771">
        <v>0</v>
      </c>
      <c r="M54" s="1194"/>
      <c r="N54" s="983">
        <v>0</v>
      </c>
      <c r="O54" s="953"/>
      <c r="P54" s="969">
        <v>0</v>
      </c>
      <c r="Q54" s="951"/>
      <c r="R54" s="571"/>
      <c r="S54" s="571"/>
      <c r="T54" s="571"/>
      <c r="U54" s="571"/>
      <c r="V54" s="571"/>
    </row>
    <row r="55" spans="1:22" s="831" customFormat="1" ht="15" outlineLevel="1" thickBot="1" x14ac:dyDescent="0.4">
      <c r="A55" s="1198" t="s">
        <v>942</v>
      </c>
      <c r="B55" s="1219"/>
      <c r="C55" s="857"/>
      <c r="D55" s="1187">
        <f>-D14*0.03</f>
        <v>-352356.32400000002</v>
      </c>
      <c r="E55" s="857"/>
      <c r="F55" s="1188"/>
      <c r="G55" s="857"/>
      <c r="H55" s="1189"/>
      <c r="I55" s="857"/>
      <c r="K55" s="1190"/>
      <c r="L55" s="1073">
        <f>-L14*0.01</f>
        <v>-56808.148000000001</v>
      </c>
      <c r="M55" s="1075"/>
      <c r="N55" s="1079">
        <f>-N14*0.01</f>
        <v>-51506.742800000007</v>
      </c>
      <c r="O55" s="1191"/>
      <c r="P55" s="1094">
        <f>-P14*0.04</f>
        <v>-610531.35360000003</v>
      </c>
      <c r="Q55" s="1191"/>
      <c r="R55" s="571"/>
      <c r="S55" s="571"/>
      <c r="T55" s="571"/>
      <c r="U55" s="571"/>
      <c r="V55" s="571"/>
    </row>
    <row r="56" spans="1:22" s="872" customFormat="1" ht="15" thickBot="1" x14ac:dyDescent="0.4">
      <c r="A56" s="1197" t="s">
        <v>370</v>
      </c>
      <c r="B56" s="1220"/>
      <c r="C56" s="852">
        <f t="shared" ref="C56:Q56" si="5">SUM(C47:C54)</f>
        <v>0</v>
      </c>
      <c r="D56" s="988">
        <f>SUM(D47:D55)</f>
        <v>-352356.32400000002</v>
      </c>
      <c r="E56" s="852">
        <f t="shared" si="5"/>
        <v>0</v>
      </c>
      <c r="F56" s="988">
        <f>SUM(F47:F55)</f>
        <v>850000</v>
      </c>
      <c r="G56" s="852">
        <f t="shared" si="5"/>
        <v>0</v>
      </c>
      <c r="H56" s="988">
        <f>SUM(H47:H55)</f>
        <v>1990000</v>
      </c>
      <c r="I56" s="852">
        <f t="shared" si="5"/>
        <v>0</v>
      </c>
      <c r="J56" s="873">
        <f t="shared" si="5"/>
        <v>0</v>
      </c>
      <c r="K56" s="874">
        <f t="shared" si="5"/>
        <v>0</v>
      </c>
      <c r="L56" s="988">
        <f>SUM(L47:L55)</f>
        <v>-56808.148000000001</v>
      </c>
      <c r="M56" s="1075"/>
      <c r="N56" s="988">
        <f>SUM(N47:N55)</f>
        <v>-51506.742800000007</v>
      </c>
      <c r="O56" s="852">
        <f t="shared" si="5"/>
        <v>0</v>
      </c>
      <c r="P56" s="988">
        <f>SUM(P47:P55)</f>
        <v>-610531.35360000003</v>
      </c>
      <c r="Q56" s="852">
        <f t="shared" si="5"/>
        <v>0</v>
      </c>
      <c r="R56" s="759"/>
      <c r="S56" s="759"/>
      <c r="T56" s="759"/>
      <c r="U56" s="759"/>
      <c r="V56" s="759"/>
    </row>
    <row r="57" spans="1:22" s="863" customFormat="1" ht="19" thickBot="1" x14ac:dyDescent="0.5">
      <c r="A57" s="1020" t="s">
        <v>371</v>
      </c>
      <c r="B57" s="1221"/>
      <c r="C57" s="1021">
        <f t="shared" ref="C57:Q57" si="6">C14+C46+C56</f>
        <v>0</v>
      </c>
      <c r="D57" s="1022">
        <f t="shared" si="6"/>
        <v>12472896.816</v>
      </c>
      <c r="E57" s="1021">
        <f t="shared" si="6"/>
        <v>0</v>
      </c>
      <c r="F57" s="1022">
        <f t="shared" si="6"/>
        <v>3906624.98</v>
      </c>
      <c r="G57" s="1021">
        <f t="shared" si="6"/>
        <v>0</v>
      </c>
      <c r="H57" s="1022">
        <f t="shared" si="6"/>
        <v>6717441.3699999992</v>
      </c>
      <c r="I57" s="1021">
        <f t="shared" si="6"/>
        <v>0</v>
      </c>
      <c r="J57" s="1022">
        <f t="shared" si="6"/>
        <v>0</v>
      </c>
      <c r="K57" s="1023">
        <f t="shared" si="6"/>
        <v>0</v>
      </c>
      <c r="L57" s="1022">
        <f t="shared" si="6"/>
        <v>6441624.6519999998</v>
      </c>
      <c r="M57" s="1075"/>
      <c r="N57" s="1022">
        <f t="shared" ref="N57" si="7">N14+N46+N56</f>
        <v>6336199.5372000001</v>
      </c>
      <c r="O57" s="1021">
        <f t="shared" si="6"/>
        <v>0</v>
      </c>
      <c r="P57" s="1022">
        <f t="shared" si="6"/>
        <v>15729182.486400001</v>
      </c>
      <c r="Q57" s="1021">
        <f t="shared" si="6"/>
        <v>0</v>
      </c>
      <c r="R57" s="865"/>
      <c r="S57" s="865"/>
      <c r="T57" s="865"/>
      <c r="U57" s="865"/>
      <c r="V57" s="865"/>
    </row>
    <row r="58" spans="1:22" s="857" customFormat="1" ht="21.5" thickBot="1" x14ac:dyDescent="0.55000000000000004">
      <c r="A58" s="861" t="s">
        <v>372</v>
      </c>
      <c r="B58" s="1205"/>
      <c r="C58" s="850"/>
      <c r="D58" s="859"/>
      <c r="E58" s="859"/>
      <c r="F58" s="850"/>
      <c r="G58" s="850"/>
      <c r="H58" s="850"/>
      <c r="I58" s="850"/>
      <c r="J58" s="850"/>
      <c r="K58" s="850"/>
      <c r="L58" s="850"/>
      <c r="M58" s="1075"/>
      <c r="N58" s="850"/>
      <c r="O58" s="850"/>
      <c r="P58" s="850"/>
      <c r="Q58" s="1024"/>
      <c r="R58" s="571"/>
      <c r="S58" s="571"/>
      <c r="T58" s="571"/>
      <c r="U58" s="571"/>
      <c r="V58" s="571"/>
    </row>
    <row r="59" spans="1:22" s="572" customFormat="1" outlineLevel="2" x14ac:dyDescent="0.35">
      <c r="A59" s="797" t="s">
        <v>373</v>
      </c>
      <c r="B59" s="1222" t="s">
        <v>990</v>
      </c>
      <c r="C59" s="896"/>
      <c r="D59" s="823">
        <f>'23-24 AAL Staffing'!F40</f>
        <v>3743000</v>
      </c>
      <c r="E59" s="911"/>
      <c r="F59" s="786">
        <f>'23-24 C2 staffing'!F24</f>
        <v>1297000</v>
      </c>
      <c r="G59" s="919"/>
      <c r="H59" s="787">
        <f>'23-24 C3 staffing'!F27</f>
        <v>1688000</v>
      </c>
      <c r="I59" s="882"/>
      <c r="J59" s="788"/>
      <c r="K59" s="932"/>
      <c r="L59" s="789">
        <f>+'23-24 SHES staffing'!H34</f>
        <v>2926000</v>
      </c>
      <c r="M59" s="1075"/>
      <c r="N59" s="981">
        <f>'23-24 Lamar ES staffing'!I34</f>
        <v>2957000</v>
      </c>
      <c r="O59" s="919"/>
      <c r="P59" s="968">
        <f>'Ector FY23 Staffing'!F30</f>
        <v>6313000</v>
      </c>
      <c r="Q59" s="952"/>
      <c r="R59" s="571"/>
      <c r="S59" s="571"/>
      <c r="T59" s="571"/>
      <c r="U59" s="571"/>
      <c r="V59" s="571"/>
    </row>
    <row r="60" spans="1:22" s="572" customFormat="1" outlineLevel="2" x14ac:dyDescent="0.35">
      <c r="A60" s="868" t="s">
        <v>374</v>
      </c>
      <c r="B60" s="1223" t="s">
        <v>991</v>
      </c>
      <c r="C60" s="897"/>
      <c r="D60" s="758">
        <v>20000</v>
      </c>
      <c r="E60" s="897"/>
      <c r="F60" s="1086"/>
      <c r="G60" s="897"/>
      <c r="H60" s="1088"/>
      <c r="I60" s="883"/>
      <c r="J60" s="772"/>
      <c r="K60" s="933"/>
      <c r="L60" s="771">
        <v>0</v>
      </c>
      <c r="M60" s="1075"/>
      <c r="N60" s="983">
        <v>0</v>
      </c>
      <c r="O60" s="897"/>
      <c r="P60" s="969">
        <v>26400</v>
      </c>
      <c r="Q60" s="897"/>
      <c r="R60" s="571"/>
      <c r="S60" s="571"/>
      <c r="T60" s="571"/>
      <c r="U60" s="571"/>
      <c r="V60" s="571"/>
    </row>
    <row r="61" spans="1:22" s="572" customFormat="1" outlineLevel="2" x14ac:dyDescent="0.35">
      <c r="A61" s="868" t="s">
        <v>375</v>
      </c>
      <c r="B61" s="1223" t="s">
        <v>1001</v>
      </c>
      <c r="C61" s="897"/>
      <c r="D61" s="758">
        <f>D59*0.04</f>
        <v>149720</v>
      </c>
      <c r="E61" s="897"/>
      <c r="F61" s="781">
        <f>F59*0.04</f>
        <v>51880</v>
      </c>
      <c r="G61" s="897"/>
      <c r="H61" s="761">
        <f>H59*0.04</f>
        <v>67520</v>
      </c>
      <c r="I61" s="883"/>
      <c r="J61" s="772"/>
      <c r="K61" s="933"/>
      <c r="L61" s="771">
        <f>L59*0.04</f>
        <v>117040</v>
      </c>
      <c r="M61" s="1075"/>
      <c r="N61" s="983"/>
      <c r="O61" s="917"/>
      <c r="P61" s="969">
        <f>P59*0.04</f>
        <v>252520</v>
      </c>
      <c r="Q61" s="897"/>
      <c r="R61" s="571"/>
      <c r="S61" s="571"/>
      <c r="T61" s="571"/>
      <c r="U61" s="571"/>
      <c r="V61" s="571"/>
    </row>
    <row r="62" spans="1:22" s="572" customFormat="1" ht="15" outlineLevel="2" thickBot="1" x14ac:dyDescent="0.4">
      <c r="A62" s="869" t="s">
        <v>376</v>
      </c>
      <c r="B62" s="1224" t="s">
        <v>992</v>
      </c>
      <c r="C62" s="898"/>
      <c r="D62" s="822">
        <f>+'23-24 AAL Staffing'!O39</f>
        <v>1010598</v>
      </c>
      <c r="E62" s="913"/>
      <c r="F62" s="818">
        <f>+'23-24 C2 staffing'!N24</f>
        <v>337128.60000000009</v>
      </c>
      <c r="G62" s="918"/>
      <c r="H62" s="819">
        <f>+'23-24 C3 staffing'!N26</f>
        <v>438760.8</v>
      </c>
      <c r="I62" s="884"/>
      <c r="J62" s="817"/>
      <c r="K62" s="939"/>
      <c r="L62" s="820">
        <f>+'23-24 SHES staffing'!O33</f>
        <v>193578.00000000009</v>
      </c>
      <c r="M62" s="1075"/>
      <c r="N62" s="984">
        <f>+'23-24 Lamar ES staffing'!O33</f>
        <v>191560.79999999993</v>
      </c>
      <c r="O62" s="898"/>
      <c r="P62" s="971">
        <f>+'Ector FY23 Staffing'!N30</f>
        <v>440149.19999999995</v>
      </c>
      <c r="Q62" s="898"/>
      <c r="R62" s="571"/>
      <c r="S62" s="571"/>
      <c r="T62" s="571"/>
      <c r="U62" s="571"/>
      <c r="V62" s="571"/>
    </row>
    <row r="63" spans="1:22" s="762" customFormat="1" ht="15" outlineLevel="1" thickBot="1" x14ac:dyDescent="0.4">
      <c r="A63" s="875" t="s">
        <v>377</v>
      </c>
      <c r="B63" s="1209"/>
      <c r="C63" s="851">
        <f t="shared" ref="C63" si="8">SUM(C59:C62)</f>
        <v>0</v>
      </c>
      <c r="D63" s="870">
        <f t="shared" ref="D63" si="9">SUM(D59:D62)</f>
        <v>4923318</v>
      </c>
      <c r="E63" s="851"/>
      <c r="F63" s="870">
        <f t="shared" ref="F63" si="10">SUM(F59:F62)</f>
        <v>1686008.6</v>
      </c>
      <c r="G63" s="851"/>
      <c r="H63" s="870">
        <f t="shared" ref="H63:Q63" si="11">SUM(H59:H62)</f>
        <v>2194280.7999999998</v>
      </c>
      <c r="I63" s="851">
        <f t="shared" si="11"/>
        <v>0</v>
      </c>
      <c r="J63" s="870">
        <f t="shared" si="11"/>
        <v>0</v>
      </c>
      <c r="K63" s="870"/>
      <c r="L63" s="870">
        <f t="shared" si="11"/>
        <v>3236618</v>
      </c>
      <c r="M63" s="1075"/>
      <c r="N63" s="870">
        <f t="shared" ref="N63" si="12">SUM(N59:N62)</f>
        <v>3148560.8</v>
      </c>
      <c r="O63" s="851">
        <f t="shared" si="11"/>
        <v>0</v>
      </c>
      <c r="P63" s="870">
        <f t="shared" si="11"/>
        <v>7032069.2000000002</v>
      </c>
      <c r="Q63" s="851">
        <f t="shared" si="11"/>
        <v>0</v>
      </c>
      <c r="R63" s="571"/>
      <c r="S63" s="571"/>
      <c r="T63" s="571"/>
      <c r="U63" s="571"/>
      <c r="V63" s="571"/>
    </row>
    <row r="64" spans="1:22" s="572" customFormat="1" outlineLevel="2" x14ac:dyDescent="0.35">
      <c r="A64" s="797" t="s">
        <v>378</v>
      </c>
      <c r="B64" s="1222" t="s">
        <v>993</v>
      </c>
      <c r="C64" s="896"/>
      <c r="D64" s="823">
        <f>'23-24 AAL Staffing'!F42</f>
        <v>213000</v>
      </c>
      <c r="E64" s="911"/>
      <c r="F64" s="786">
        <v>0</v>
      </c>
      <c r="G64" s="896"/>
      <c r="H64" s="787">
        <f>'23-24 C3 staffing'!F29</f>
        <v>71000</v>
      </c>
      <c r="I64" s="922"/>
      <c r="J64" s="788"/>
      <c r="K64" s="940"/>
      <c r="L64" s="789">
        <f>'23-24 SHES staffing'!F40</f>
        <v>133000</v>
      </c>
      <c r="M64" s="1075"/>
      <c r="N64" s="981">
        <f>'23-24 Lamar ES staffing'!F40</f>
        <v>208000</v>
      </c>
      <c r="O64" s="896"/>
      <c r="P64" s="968">
        <f>'Ector FY23 Staffing'!F36</f>
        <v>457000</v>
      </c>
      <c r="Q64" s="919"/>
      <c r="R64" s="571"/>
      <c r="S64" s="571"/>
      <c r="T64" s="571"/>
      <c r="U64" s="571"/>
      <c r="V64" s="571"/>
    </row>
    <row r="65" spans="1:22" s="572" customFormat="1" outlineLevel="2" x14ac:dyDescent="0.35">
      <c r="A65" s="797" t="s">
        <v>379</v>
      </c>
      <c r="B65" s="1222" t="s">
        <v>1008</v>
      </c>
      <c r="C65" s="896"/>
      <c r="D65" s="823">
        <f>D64*0.04</f>
        <v>8520</v>
      </c>
      <c r="E65" s="911"/>
      <c r="F65" s="786"/>
      <c r="G65" s="896"/>
      <c r="H65" s="787">
        <f>H64*0.04</f>
        <v>2840</v>
      </c>
      <c r="I65" s="922"/>
      <c r="J65" s="788"/>
      <c r="K65" s="940"/>
      <c r="L65" s="789">
        <f>L64*0.04</f>
        <v>5320</v>
      </c>
      <c r="M65" s="1075"/>
      <c r="N65" s="981"/>
      <c r="O65" s="896"/>
      <c r="P65" s="969">
        <f>P64*0.04</f>
        <v>18280</v>
      </c>
      <c r="Q65" s="919"/>
      <c r="R65" s="571"/>
      <c r="S65" s="571"/>
      <c r="T65" s="571"/>
      <c r="U65" s="571"/>
      <c r="V65" s="571"/>
    </row>
    <row r="66" spans="1:22" s="572" customFormat="1" outlineLevel="2" x14ac:dyDescent="0.35">
      <c r="A66" s="868" t="s">
        <v>380</v>
      </c>
      <c r="B66" s="1223" t="s">
        <v>996</v>
      </c>
      <c r="C66" s="897"/>
      <c r="D66" s="758">
        <f>+'23-24 AAL Staffing'!O42</f>
        <v>55362.6</v>
      </c>
      <c r="E66" s="912"/>
      <c r="F66" s="781">
        <v>0</v>
      </c>
      <c r="G66" s="897"/>
      <c r="H66" s="761">
        <f>+'23-24 C3 staffing'!N29</f>
        <v>18454.2</v>
      </c>
      <c r="I66" s="923"/>
      <c r="J66" s="772"/>
      <c r="K66" s="941"/>
      <c r="L66" s="771">
        <f>+'23-24 SHES staffing'!O40</f>
        <v>9256.7999999999993</v>
      </c>
      <c r="M66" s="1075"/>
      <c r="N66" s="983">
        <f>+'23-24 Lamar ES staffing'!O40</f>
        <v>14502</v>
      </c>
      <c r="O66" s="897"/>
      <c r="P66" s="969">
        <f>+'Ector FY23 Staffing'!N35</f>
        <v>31865.999999999996</v>
      </c>
      <c r="Q66" s="897"/>
      <c r="R66" s="571"/>
      <c r="S66" s="571"/>
      <c r="T66" s="571"/>
      <c r="U66" s="571"/>
      <c r="V66" s="571"/>
    </row>
    <row r="67" spans="1:22" s="572" customFormat="1" outlineLevel="2" x14ac:dyDescent="0.35">
      <c r="A67" s="868" t="s">
        <v>381</v>
      </c>
      <c r="B67" s="1223" t="s">
        <v>997</v>
      </c>
      <c r="C67" s="897"/>
      <c r="D67" s="758"/>
      <c r="E67" s="897"/>
      <c r="F67" s="781">
        <v>0</v>
      </c>
      <c r="G67" s="897"/>
      <c r="H67" s="761">
        <v>0</v>
      </c>
      <c r="I67" s="923"/>
      <c r="J67" s="772"/>
      <c r="K67" s="941"/>
      <c r="L67" s="771">
        <v>0</v>
      </c>
      <c r="M67" s="1075"/>
      <c r="N67" s="983">
        <v>0</v>
      </c>
      <c r="O67" s="897"/>
      <c r="P67" s="969">
        <v>0</v>
      </c>
      <c r="Q67" s="897"/>
      <c r="R67" s="571"/>
      <c r="S67" s="571"/>
      <c r="T67" s="571"/>
      <c r="U67" s="571"/>
      <c r="V67" s="571"/>
    </row>
    <row r="68" spans="1:22" s="572" customFormat="1" ht="15" outlineLevel="2" thickBot="1" x14ac:dyDescent="0.4">
      <c r="A68" s="869" t="s">
        <v>382</v>
      </c>
      <c r="B68" s="1224" t="s">
        <v>999</v>
      </c>
      <c r="C68" s="898"/>
      <c r="D68" s="822"/>
      <c r="E68" s="898"/>
      <c r="F68" s="818">
        <v>0</v>
      </c>
      <c r="G68" s="898"/>
      <c r="H68" s="819">
        <v>0</v>
      </c>
      <c r="I68" s="924"/>
      <c r="J68" s="817"/>
      <c r="K68" s="942"/>
      <c r="L68" s="820">
        <v>0</v>
      </c>
      <c r="M68" s="1075"/>
      <c r="N68" s="984">
        <v>0</v>
      </c>
      <c r="O68" s="898"/>
      <c r="P68" s="971">
        <v>0</v>
      </c>
      <c r="Q68" s="898"/>
      <c r="R68" s="571"/>
      <c r="S68" s="571"/>
      <c r="T68" s="571"/>
      <c r="U68" s="571"/>
      <c r="V68" s="571"/>
    </row>
    <row r="69" spans="1:22" s="762" customFormat="1" ht="15" outlineLevel="1" thickBot="1" x14ac:dyDescent="0.4">
      <c r="A69" s="875" t="s">
        <v>383</v>
      </c>
      <c r="B69" s="1209"/>
      <c r="C69" s="851">
        <f t="shared" ref="C69" si="13">SUM(C64:C68)</f>
        <v>0</v>
      </c>
      <c r="D69" s="870">
        <f t="shared" ref="D69" si="14">SUM(D64:D68)</f>
        <v>276882.59999999998</v>
      </c>
      <c r="E69" s="851"/>
      <c r="F69" s="870">
        <f t="shared" ref="F69" si="15">SUM(F64:F68)</f>
        <v>0</v>
      </c>
      <c r="G69" s="851"/>
      <c r="H69" s="870">
        <f t="shared" ref="H69:Q69" si="16">SUM(H64:H68)</f>
        <v>92294.2</v>
      </c>
      <c r="I69" s="851">
        <f t="shared" si="16"/>
        <v>0</v>
      </c>
      <c r="J69" s="870">
        <f t="shared" si="16"/>
        <v>0</v>
      </c>
      <c r="K69" s="870"/>
      <c r="L69" s="870">
        <f t="shared" si="16"/>
        <v>147576.79999999999</v>
      </c>
      <c r="M69" s="1075"/>
      <c r="N69" s="870">
        <f t="shared" ref="N69" si="17">SUM(N64:N68)</f>
        <v>222502</v>
      </c>
      <c r="O69" s="851">
        <f t="shared" si="16"/>
        <v>0</v>
      </c>
      <c r="P69" s="870">
        <f t="shared" si="16"/>
        <v>507146</v>
      </c>
      <c r="Q69" s="851">
        <f t="shared" si="16"/>
        <v>0</v>
      </c>
      <c r="R69" s="571"/>
      <c r="S69" s="571"/>
      <c r="T69" s="571"/>
      <c r="U69" s="571"/>
      <c r="V69" s="571"/>
    </row>
    <row r="70" spans="1:22" s="572" customFormat="1" outlineLevel="2" x14ac:dyDescent="0.35">
      <c r="A70" s="797" t="s">
        <v>384</v>
      </c>
      <c r="B70" s="1222" t="s">
        <v>994</v>
      </c>
      <c r="C70" s="896"/>
      <c r="D70" s="823">
        <f>'23-24 AAL Staffing'!F55</f>
        <v>890000</v>
      </c>
      <c r="E70" s="911"/>
      <c r="F70" s="786">
        <f>'23-24 C2 staffing'!C35</f>
        <v>360000</v>
      </c>
      <c r="G70" s="919"/>
      <c r="H70" s="787">
        <f>'23-24 C3 staffing'!C41</f>
        <v>385000</v>
      </c>
      <c r="I70" s="922"/>
      <c r="J70" s="788"/>
      <c r="K70" s="940"/>
      <c r="L70" s="789">
        <f>'23-24 SHES staffing'!F52</f>
        <v>568000</v>
      </c>
      <c r="M70" s="1075"/>
      <c r="N70" s="981">
        <f>'23-24 Lamar ES staffing'!F52</f>
        <v>465000</v>
      </c>
      <c r="O70" s="919"/>
      <c r="P70" s="968">
        <f>'Ector FY23 Staffing'!F49</f>
        <v>1247000</v>
      </c>
      <c r="Q70" s="919"/>
      <c r="R70" s="571"/>
      <c r="S70" s="571"/>
      <c r="T70" s="571"/>
      <c r="U70" s="571"/>
      <c r="V70" s="571"/>
    </row>
    <row r="71" spans="1:22" s="572" customFormat="1" outlineLevel="2" x14ac:dyDescent="0.35">
      <c r="A71" s="868" t="s">
        <v>385</v>
      </c>
      <c r="B71" s="1223" t="s">
        <v>998</v>
      </c>
      <c r="C71" s="897"/>
      <c r="D71" s="758">
        <v>20000</v>
      </c>
      <c r="E71" s="897"/>
      <c r="F71" s="781">
        <v>10000</v>
      </c>
      <c r="G71" s="897"/>
      <c r="H71" s="761">
        <v>10000</v>
      </c>
      <c r="I71" s="923"/>
      <c r="J71" s="772"/>
      <c r="K71" s="941"/>
      <c r="L71" s="771">
        <v>15000</v>
      </c>
      <c r="M71" s="1075"/>
      <c r="N71" s="983">
        <v>15000</v>
      </c>
      <c r="O71" s="897"/>
      <c r="P71" s="969">
        <v>30000</v>
      </c>
      <c r="Q71" s="897"/>
      <c r="R71" s="571"/>
      <c r="S71" s="571"/>
      <c r="T71" s="571"/>
      <c r="U71" s="571"/>
      <c r="V71" s="571"/>
    </row>
    <row r="72" spans="1:22" s="572" customFormat="1" outlineLevel="2" x14ac:dyDescent="0.35">
      <c r="A72" s="868" t="s">
        <v>386</v>
      </c>
      <c r="B72" s="1223" t="s">
        <v>995</v>
      </c>
      <c r="C72" s="897"/>
      <c r="D72" s="758"/>
      <c r="E72" s="897"/>
      <c r="F72" s="781"/>
      <c r="G72" s="897"/>
      <c r="H72" s="761"/>
      <c r="I72" s="923"/>
      <c r="J72" s="772"/>
      <c r="K72" s="941"/>
      <c r="L72" s="771">
        <v>0</v>
      </c>
      <c r="M72" s="1075"/>
      <c r="N72" s="983">
        <v>0</v>
      </c>
      <c r="O72" s="897"/>
      <c r="P72" s="969">
        <v>0</v>
      </c>
      <c r="Q72" s="897"/>
      <c r="R72" s="571"/>
      <c r="S72" s="571"/>
      <c r="T72" s="571"/>
      <c r="U72" s="571"/>
      <c r="V72" s="571"/>
    </row>
    <row r="73" spans="1:22" s="572" customFormat="1" outlineLevel="2" x14ac:dyDescent="0.35">
      <c r="A73" s="868" t="s">
        <v>387</v>
      </c>
      <c r="B73" s="1223" t="s">
        <v>1000</v>
      </c>
      <c r="C73" s="897"/>
      <c r="D73" s="758">
        <f>+'23-24 AAL Staffing'!O54</f>
        <v>231322.8</v>
      </c>
      <c r="E73" s="912"/>
      <c r="F73" s="781">
        <f>+'23-24 C2 staffing'!N35</f>
        <v>93569.999999999985</v>
      </c>
      <c r="G73" s="917"/>
      <c r="H73" s="761">
        <f>H70*0.2</f>
        <v>77000</v>
      </c>
      <c r="I73" s="923"/>
      <c r="J73" s="772"/>
      <c r="K73" s="941"/>
      <c r="L73" s="1073">
        <f>+'23-24 SHES staffing'!O52</f>
        <v>86572.800000000003</v>
      </c>
      <c r="M73" s="1075"/>
      <c r="N73" s="1079">
        <f>+'23-24 Lamar ES staffing'!O52</f>
        <v>32422.800000000003</v>
      </c>
      <c r="O73" s="897"/>
      <c r="P73" s="1094">
        <f>+'Ector FY23 Staffing'!N49</f>
        <v>86933.999999999985</v>
      </c>
      <c r="Q73" s="897"/>
      <c r="R73" s="571"/>
      <c r="S73" s="571"/>
      <c r="T73" s="571"/>
      <c r="U73" s="571"/>
      <c r="V73" s="571"/>
    </row>
    <row r="74" spans="1:22" s="572" customFormat="1" outlineLevel="2" x14ac:dyDescent="0.35">
      <c r="A74" s="868" t="s">
        <v>388</v>
      </c>
      <c r="B74" s="1223" t="s">
        <v>1009</v>
      </c>
      <c r="C74" s="897"/>
      <c r="D74" s="758">
        <f>+'23-24 AAL Staffing'!H39+'23-24 AAL Staffing'!H42+'23-24 AAL Staffing'!H54</f>
        <v>441000</v>
      </c>
      <c r="E74" s="912"/>
      <c r="F74" s="781">
        <f>+'23-24 C2 staffing'!G24+'23-24 C2 staffing'!G35</f>
        <v>147000</v>
      </c>
      <c r="G74" s="917"/>
      <c r="H74" s="761">
        <f>+'23-24 C3 staffing'!G26+'23-24 C3 staffing'!G29+'23-24 C3 staffing'!G40</f>
        <v>194040</v>
      </c>
      <c r="I74" s="923"/>
      <c r="J74" s="772"/>
      <c r="K74" s="941"/>
      <c r="L74" s="771">
        <f>+'23-24 SHES staffing'!H33+'23-24 SHES staffing'!H40+'23-24 SHES staffing'!H52</f>
        <v>273204</v>
      </c>
      <c r="M74" s="1075"/>
      <c r="N74" s="983">
        <f>+'23-24 Lamar ES staffing'!H33+'23-24 Lamar ES staffing'!H40+'23-24 Lamar ES staffing'!H52</f>
        <v>317520</v>
      </c>
      <c r="O74" s="897"/>
      <c r="P74" s="969">
        <f>+'Ector FY23 Staffing'!G30+'Ector FY23 Staffing'!G35+'Ector FY23 Staffing'!G49</f>
        <v>676200</v>
      </c>
      <c r="Q74" s="897"/>
      <c r="R74" s="571"/>
      <c r="S74" s="571"/>
      <c r="T74" s="571"/>
      <c r="U74" s="571"/>
      <c r="V74" s="571"/>
    </row>
    <row r="75" spans="1:22" s="572" customFormat="1" outlineLevel="2" x14ac:dyDescent="0.35">
      <c r="A75" s="868" t="s">
        <v>389</v>
      </c>
      <c r="B75" s="1223" t="s">
        <v>1002</v>
      </c>
      <c r="C75" s="897"/>
      <c r="D75" s="758"/>
      <c r="E75" s="912"/>
      <c r="F75" s="781"/>
      <c r="G75" s="917"/>
      <c r="H75" s="761"/>
      <c r="I75" s="923"/>
      <c r="J75" s="772"/>
      <c r="K75" s="941"/>
      <c r="L75" s="771"/>
      <c r="M75" s="1075"/>
      <c r="N75" s="983"/>
      <c r="O75" s="897"/>
      <c r="P75" s="969"/>
      <c r="Q75" s="897"/>
      <c r="R75" s="571"/>
      <c r="S75" s="571"/>
      <c r="T75" s="571"/>
      <c r="U75" s="571"/>
      <c r="V75" s="571"/>
    </row>
    <row r="76" spans="1:22" s="572" customFormat="1" outlineLevel="2" x14ac:dyDescent="0.35">
      <c r="A76" s="868" t="s">
        <v>390</v>
      </c>
      <c r="B76" s="1223" t="s">
        <v>1003</v>
      </c>
      <c r="C76" s="897"/>
      <c r="D76" s="758"/>
      <c r="E76" s="897"/>
      <c r="F76" s="781">
        <v>0</v>
      </c>
      <c r="G76" s="897"/>
      <c r="H76" s="761">
        <v>0</v>
      </c>
      <c r="I76" s="923"/>
      <c r="J76" s="772"/>
      <c r="K76" s="941"/>
      <c r="L76" s="771">
        <v>0</v>
      </c>
      <c r="M76" s="1075"/>
      <c r="N76" s="983">
        <v>0</v>
      </c>
      <c r="O76" s="897"/>
      <c r="P76" s="969">
        <v>0</v>
      </c>
      <c r="Q76" s="897"/>
      <c r="R76" s="571"/>
      <c r="S76" s="571"/>
      <c r="T76" s="571"/>
      <c r="U76" s="571"/>
      <c r="V76" s="571"/>
    </row>
    <row r="77" spans="1:22" s="572" customFormat="1" outlineLevel="2" x14ac:dyDescent="0.35">
      <c r="A77" s="868" t="s">
        <v>391</v>
      </c>
      <c r="B77" s="1223" t="s">
        <v>1004</v>
      </c>
      <c r="C77" s="897"/>
      <c r="D77" s="758"/>
      <c r="E77" s="897"/>
      <c r="F77" s="781">
        <v>0</v>
      </c>
      <c r="G77" s="897"/>
      <c r="H77" s="761">
        <v>0</v>
      </c>
      <c r="I77" s="923"/>
      <c r="J77" s="772"/>
      <c r="K77" s="941"/>
      <c r="L77" s="771">
        <v>0</v>
      </c>
      <c r="M77" s="1075"/>
      <c r="N77" s="983">
        <v>0</v>
      </c>
      <c r="O77" s="897"/>
      <c r="P77" s="969">
        <v>0</v>
      </c>
      <c r="Q77" s="897"/>
      <c r="R77" s="571"/>
      <c r="S77" s="571"/>
      <c r="T77" s="571"/>
      <c r="U77" s="571"/>
      <c r="V77" s="571"/>
    </row>
    <row r="78" spans="1:22" s="572" customFormat="1" outlineLevel="2" x14ac:dyDescent="0.35">
      <c r="A78" s="868" t="s">
        <v>392</v>
      </c>
      <c r="B78" s="1223" t="s">
        <v>1005</v>
      </c>
      <c r="C78" s="897"/>
      <c r="D78" s="758"/>
      <c r="E78" s="897"/>
      <c r="F78" s="781">
        <v>0</v>
      </c>
      <c r="G78" s="897"/>
      <c r="H78" s="761">
        <v>0</v>
      </c>
      <c r="I78" s="923"/>
      <c r="J78" s="772"/>
      <c r="K78" s="941"/>
      <c r="L78" s="771">
        <v>0</v>
      </c>
      <c r="M78" s="1075"/>
      <c r="N78" s="983">
        <v>0</v>
      </c>
      <c r="O78" s="897"/>
      <c r="P78" s="969">
        <v>0</v>
      </c>
      <c r="Q78" s="897"/>
      <c r="R78" s="571"/>
      <c r="S78" s="571"/>
      <c r="T78" s="571"/>
      <c r="U78" s="571"/>
      <c r="V78" s="571"/>
    </row>
    <row r="79" spans="1:22" s="572" customFormat="1" ht="15" outlineLevel="2" thickBot="1" x14ac:dyDescent="0.4">
      <c r="A79" s="1100" t="s">
        <v>393</v>
      </c>
      <c r="B79" s="1223" t="s">
        <v>1006</v>
      </c>
      <c r="C79" s="897"/>
      <c r="D79" s="758"/>
      <c r="E79" s="897"/>
      <c r="F79" s="781">
        <v>0</v>
      </c>
      <c r="G79" s="897"/>
      <c r="H79" s="761">
        <v>0</v>
      </c>
      <c r="I79" s="924"/>
      <c r="J79" s="817"/>
      <c r="K79" s="942"/>
      <c r="L79" s="771">
        <v>0</v>
      </c>
      <c r="M79" s="1075"/>
      <c r="N79" s="983">
        <v>0</v>
      </c>
      <c r="O79" s="897"/>
      <c r="P79" s="969">
        <v>0</v>
      </c>
      <c r="Q79" s="897"/>
      <c r="R79" s="571"/>
      <c r="S79" s="571"/>
      <c r="T79" s="571"/>
      <c r="U79" s="571"/>
      <c r="V79" s="571"/>
    </row>
    <row r="80" spans="1:22" s="762" customFormat="1" ht="15" outlineLevel="1" thickBot="1" x14ac:dyDescent="0.4">
      <c r="A80" s="869" t="s">
        <v>394</v>
      </c>
      <c r="B80" s="1224" t="s">
        <v>1007</v>
      </c>
      <c r="C80" s="898"/>
      <c r="D80" s="822"/>
      <c r="E80" s="898"/>
      <c r="F80" s="818">
        <v>0</v>
      </c>
      <c r="G80" s="898"/>
      <c r="H80" s="819">
        <v>0</v>
      </c>
      <c r="I80" s="854"/>
      <c r="J80" s="873"/>
      <c r="K80" s="873"/>
      <c r="L80" s="820">
        <v>0</v>
      </c>
      <c r="M80" s="1075"/>
      <c r="N80" s="984">
        <v>0</v>
      </c>
      <c r="O80" s="898"/>
      <c r="P80" s="971">
        <v>0</v>
      </c>
      <c r="Q80" s="898"/>
      <c r="R80" s="571"/>
      <c r="S80" s="571"/>
      <c r="T80" s="571"/>
      <c r="U80" s="571"/>
      <c r="V80" s="571"/>
    </row>
    <row r="81" spans="1:22" s="762" customFormat="1" ht="15" thickBot="1" x14ac:dyDescent="0.4">
      <c r="A81" s="876" t="s">
        <v>395</v>
      </c>
      <c r="B81" s="1220"/>
      <c r="C81" s="854">
        <f>SUM(C70:C80)</f>
        <v>0</v>
      </c>
      <c r="D81" s="873">
        <f>SUM(D70:D80)</f>
        <v>1582322.8</v>
      </c>
      <c r="E81" s="854"/>
      <c r="F81" s="873">
        <f>SUM(F70:F80)</f>
        <v>610570</v>
      </c>
      <c r="G81" s="854"/>
      <c r="H81" s="873">
        <f>SUM(H70:H80)</f>
        <v>666040</v>
      </c>
      <c r="I81" s="851"/>
      <c r="J81" s="870"/>
      <c r="K81" s="870"/>
      <c r="L81" s="873">
        <f>SUM(L70:L80)</f>
        <v>942776.8</v>
      </c>
      <c r="M81" s="1075"/>
      <c r="N81" s="873">
        <f>SUM(N70:N80)</f>
        <v>829942.8</v>
      </c>
      <c r="O81" s="854"/>
      <c r="P81" s="873">
        <f>SUM(P70:P80)</f>
        <v>2040134</v>
      </c>
      <c r="Q81" s="854"/>
      <c r="R81" s="571"/>
      <c r="S81" s="571"/>
      <c r="T81" s="571"/>
      <c r="U81" s="571"/>
      <c r="V81" s="571"/>
    </row>
    <row r="82" spans="1:22" s="831" customFormat="1" ht="15" outlineLevel="1" thickBot="1" x14ac:dyDescent="0.4">
      <c r="A82" s="875" t="s">
        <v>396</v>
      </c>
      <c r="B82" s="1209"/>
      <c r="C82" s="851">
        <f>C81+C69+C63</f>
        <v>0</v>
      </c>
      <c r="D82" s="870">
        <f>D81+D69+D63</f>
        <v>6782523.4000000004</v>
      </c>
      <c r="E82" s="851"/>
      <c r="F82" s="870">
        <f>F81+F69+F63</f>
        <v>2296578.6</v>
      </c>
      <c r="G82" s="851"/>
      <c r="H82" s="870">
        <f>H81+H69+H63</f>
        <v>2952615</v>
      </c>
      <c r="I82" s="922"/>
      <c r="J82" s="830"/>
      <c r="K82" s="943"/>
      <c r="L82" s="870">
        <f>L81+L69+L63</f>
        <v>4326971.5999999996</v>
      </c>
      <c r="M82" s="1075"/>
      <c r="N82" s="870">
        <f>N81+N69+N63</f>
        <v>4201005.5999999996</v>
      </c>
      <c r="O82" s="851"/>
      <c r="P82" s="870">
        <f>P81+P69+P63</f>
        <v>9579349.1999999993</v>
      </c>
      <c r="Q82" s="851"/>
      <c r="R82" s="571"/>
      <c r="S82" s="571"/>
      <c r="T82" s="571"/>
      <c r="U82" s="571"/>
      <c r="V82" s="571"/>
    </row>
    <row r="83" spans="1:22" s="831" customFormat="1" outlineLevel="1" x14ac:dyDescent="0.35">
      <c r="A83" s="829" t="s">
        <v>244</v>
      </c>
      <c r="B83" s="1210" t="s">
        <v>1010</v>
      </c>
      <c r="C83" s="896"/>
      <c r="D83" s="823">
        <v>0</v>
      </c>
      <c r="E83" s="896"/>
      <c r="F83" s="786">
        <v>0</v>
      </c>
      <c r="G83" s="896"/>
      <c r="H83" s="787">
        <v>0</v>
      </c>
      <c r="I83" s="923"/>
      <c r="J83" s="833"/>
      <c r="K83" s="944"/>
      <c r="L83" s="789">
        <v>0</v>
      </c>
      <c r="M83" s="1075"/>
      <c r="N83" s="981">
        <v>0</v>
      </c>
      <c r="O83" s="896"/>
      <c r="P83" s="970">
        <v>50000</v>
      </c>
      <c r="Q83" s="896"/>
      <c r="R83" s="571"/>
      <c r="S83" s="571"/>
      <c r="T83" s="571"/>
      <c r="U83" s="571"/>
      <c r="V83" s="571"/>
    </row>
    <row r="84" spans="1:22" s="831" customFormat="1" outlineLevel="1" x14ac:dyDescent="0.35">
      <c r="A84" s="868" t="s">
        <v>397</v>
      </c>
      <c r="B84" s="1223" t="s">
        <v>1011</v>
      </c>
      <c r="C84" s="897"/>
      <c r="D84" s="758">
        <f>((D4-200)/12)*4000</f>
        <v>206666.66666666666</v>
      </c>
      <c r="E84" s="912"/>
      <c r="F84" s="781">
        <f>((F4-120)/12)*4000</f>
        <v>30000</v>
      </c>
      <c r="G84" s="897"/>
      <c r="H84" s="761">
        <f>((H4-120)/12)*4000</f>
        <v>70000</v>
      </c>
      <c r="I84" s="923"/>
      <c r="J84" s="833"/>
      <c r="K84" s="944"/>
      <c r="L84" s="771">
        <f>((L4-120)/12)*4000</f>
        <v>126666.66666666667</v>
      </c>
      <c r="M84" s="1075"/>
      <c r="N84" s="983">
        <f>((N4-120)/12)*4000</f>
        <v>118333.33333333333</v>
      </c>
      <c r="O84" s="897"/>
      <c r="P84" s="1084">
        <f>(P4/12)*4000</f>
        <v>466666.66666666669</v>
      </c>
      <c r="Q84" s="897"/>
      <c r="R84" s="571"/>
      <c r="S84" s="571"/>
      <c r="T84" s="571"/>
      <c r="U84" s="571"/>
      <c r="V84" s="571"/>
    </row>
    <row r="85" spans="1:22" s="831" customFormat="1" outlineLevel="1" x14ac:dyDescent="0.35">
      <c r="A85" s="832" t="s">
        <v>398</v>
      </c>
      <c r="B85" s="1211" t="s">
        <v>1012</v>
      </c>
      <c r="C85" s="897"/>
      <c r="D85" s="758"/>
      <c r="E85" s="912"/>
      <c r="F85" s="781">
        <v>60000</v>
      </c>
      <c r="G85" s="897"/>
      <c r="H85" s="761">
        <v>60000</v>
      </c>
      <c r="I85" s="923"/>
      <c r="J85" s="833"/>
      <c r="K85" s="944"/>
      <c r="L85" s="771">
        <v>60000</v>
      </c>
      <c r="M85" s="1075"/>
      <c r="N85" s="1082">
        <f>2*30000</f>
        <v>60000</v>
      </c>
      <c r="O85" s="897"/>
      <c r="P85" s="970">
        <v>60000</v>
      </c>
      <c r="Q85" s="897"/>
      <c r="R85" s="571"/>
      <c r="S85" s="571"/>
      <c r="T85" s="571"/>
      <c r="U85" s="571"/>
      <c r="V85" s="571"/>
    </row>
    <row r="86" spans="1:22" s="831" customFormat="1" outlineLevel="1" x14ac:dyDescent="0.35">
      <c r="A86" s="832" t="s">
        <v>399</v>
      </c>
      <c r="B86" s="1211" t="s">
        <v>1013</v>
      </c>
      <c r="C86" s="897"/>
      <c r="D86" s="758">
        <v>35160</v>
      </c>
      <c r="E86" s="912"/>
      <c r="F86" s="781">
        <v>31963</v>
      </c>
      <c r="G86" s="917"/>
      <c r="H86" s="761">
        <v>36568</v>
      </c>
      <c r="I86" s="923"/>
      <c r="J86" s="833"/>
      <c r="K86" s="944"/>
      <c r="L86" s="771">
        <v>0</v>
      </c>
      <c r="M86" s="1075"/>
      <c r="N86" s="983">
        <v>0</v>
      </c>
      <c r="O86" s="897"/>
      <c r="P86" s="969">
        <v>0</v>
      </c>
      <c r="Q86" s="897"/>
      <c r="R86" s="571"/>
      <c r="S86" s="571"/>
      <c r="T86" s="571"/>
      <c r="U86" s="571"/>
      <c r="V86" s="571"/>
    </row>
    <row r="87" spans="1:22" s="831" customFormat="1" outlineLevel="1" x14ac:dyDescent="0.35">
      <c r="A87" s="832" t="s">
        <v>944</v>
      </c>
      <c r="B87" s="1211" t="s">
        <v>1014</v>
      </c>
      <c r="C87" s="897"/>
      <c r="D87" s="758">
        <v>120000</v>
      </c>
      <c r="E87" s="912"/>
      <c r="F87" s="781">
        <v>0</v>
      </c>
      <c r="G87" s="897"/>
      <c r="H87" s="761">
        <v>100000</v>
      </c>
      <c r="I87" s="923"/>
      <c r="J87" s="833"/>
      <c r="K87" s="944"/>
      <c r="L87" s="771">
        <v>120000</v>
      </c>
      <c r="M87" s="1075"/>
      <c r="N87" s="983">
        <v>50000</v>
      </c>
      <c r="O87" s="917"/>
      <c r="P87" s="969">
        <v>140000</v>
      </c>
      <c r="Q87" s="917"/>
      <c r="R87" s="571"/>
      <c r="S87" s="571"/>
      <c r="T87" s="571"/>
      <c r="U87" s="571"/>
      <c r="V87" s="571"/>
    </row>
    <row r="88" spans="1:22" s="831" customFormat="1" outlineLevel="1" x14ac:dyDescent="0.35">
      <c r="A88" s="832" t="s">
        <v>400</v>
      </c>
      <c r="B88" s="1211" t="s">
        <v>1015</v>
      </c>
      <c r="C88" s="897"/>
      <c r="D88" s="758"/>
      <c r="E88" s="912"/>
      <c r="F88" s="781">
        <v>2000</v>
      </c>
      <c r="G88" s="897"/>
      <c r="H88" s="761">
        <v>2600</v>
      </c>
      <c r="I88" s="923"/>
      <c r="J88" s="833"/>
      <c r="K88" s="944"/>
      <c r="L88" s="771">
        <v>2000</v>
      </c>
      <c r="M88" s="1075"/>
      <c r="N88" s="983">
        <v>2000</v>
      </c>
      <c r="O88" s="897"/>
      <c r="P88" s="969">
        <v>10000</v>
      </c>
      <c r="Q88" s="897"/>
      <c r="R88" s="571"/>
      <c r="S88" s="571"/>
      <c r="T88" s="571"/>
      <c r="U88" s="571"/>
      <c r="V88" s="571"/>
    </row>
    <row r="89" spans="1:22" s="831" customFormat="1" outlineLevel="1" x14ac:dyDescent="0.35">
      <c r="A89" s="832" t="s">
        <v>171</v>
      </c>
      <c r="B89" s="1211" t="s">
        <v>1016</v>
      </c>
      <c r="C89" s="897"/>
      <c r="D89" s="758"/>
      <c r="E89" s="912"/>
      <c r="F89" s="781">
        <v>0</v>
      </c>
      <c r="G89" s="897"/>
      <c r="H89" s="761">
        <v>0</v>
      </c>
      <c r="I89" s="923"/>
      <c r="J89" s="833"/>
      <c r="K89" s="944"/>
      <c r="L89" s="771">
        <v>0</v>
      </c>
      <c r="M89" s="1075"/>
      <c r="N89" s="983">
        <v>0</v>
      </c>
      <c r="O89" s="897"/>
      <c r="P89" s="969"/>
      <c r="Q89" s="897"/>
      <c r="R89" s="571"/>
      <c r="S89" s="571"/>
      <c r="T89" s="571"/>
      <c r="U89" s="571"/>
      <c r="V89" s="571"/>
    </row>
    <row r="90" spans="1:22" s="831" customFormat="1" outlineLevel="1" x14ac:dyDescent="0.35">
      <c r="A90" s="832" t="s">
        <v>195</v>
      </c>
      <c r="B90" s="1211" t="s">
        <v>1017</v>
      </c>
      <c r="C90" s="897"/>
      <c r="D90" s="758">
        <v>10209</v>
      </c>
      <c r="E90" s="912"/>
      <c r="F90" s="781">
        <v>80200</v>
      </c>
      <c r="G90" s="917"/>
      <c r="H90" s="761">
        <v>124000</v>
      </c>
      <c r="I90" s="923"/>
      <c r="J90" s="833"/>
      <c r="K90" s="944"/>
      <c r="L90" s="771">
        <v>0</v>
      </c>
      <c r="M90" s="1075"/>
      <c r="N90" s="983">
        <v>0</v>
      </c>
      <c r="O90" s="897"/>
      <c r="P90" s="969">
        <v>0</v>
      </c>
      <c r="Q90" s="897"/>
      <c r="R90" s="571"/>
      <c r="S90" s="571"/>
      <c r="T90" s="571"/>
      <c r="U90" s="571"/>
      <c r="V90" s="571"/>
    </row>
    <row r="91" spans="1:22" s="831" customFormat="1" outlineLevel="1" x14ac:dyDescent="0.35">
      <c r="A91" s="832" t="s">
        <v>401</v>
      </c>
      <c r="B91" s="1211" t="s">
        <v>1018</v>
      </c>
      <c r="C91" s="897"/>
      <c r="D91" s="758">
        <v>515916</v>
      </c>
      <c r="E91" s="912"/>
      <c r="F91" s="781">
        <v>0</v>
      </c>
      <c r="G91" s="897"/>
      <c r="H91" s="761">
        <v>0</v>
      </c>
      <c r="I91" s="923"/>
      <c r="J91" s="833"/>
      <c r="K91" s="944"/>
      <c r="L91" s="771">
        <v>0</v>
      </c>
      <c r="M91" s="1075"/>
      <c r="N91" s="983">
        <v>0</v>
      </c>
      <c r="O91" s="897"/>
      <c r="P91" s="969">
        <v>0</v>
      </c>
      <c r="Q91" s="897"/>
      <c r="R91" s="571"/>
      <c r="S91" s="571"/>
      <c r="T91" s="571"/>
      <c r="U91" s="571"/>
      <c r="V91" s="571"/>
    </row>
    <row r="92" spans="1:22" s="831" customFormat="1" outlineLevel="1" x14ac:dyDescent="0.35">
      <c r="A92" s="832" t="s">
        <v>945</v>
      </c>
      <c r="B92" s="1211" t="s">
        <v>1015</v>
      </c>
      <c r="C92" s="897"/>
      <c r="D92" s="758">
        <v>164124</v>
      </c>
      <c r="E92" s="912"/>
      <c r="F92" s="781">
        <v>60139</v>
      </c>
      <c r="G92" s="917"/>
      <c r="H92" s="761">
        <v>120857</v>
      </c>
      <c r="I92" s="923"/>
      <c r="J92" s="833"/>
      <c r="K92" s="944"/>
      <c r="L92" s="771">
        <f>L12*0.06</f>
        <v>289496.68799999997</v>
      </c>
      <c r="M92" s="1075"/>
      <c r="N92" s="983">
        <f>N12*0.06</f>
        <v>256626.67680000002</v>
      </c>
      <c r="O92" s="897"/>
      <c r="P92" s="969">
        <v>1145395</v>
      </c>
      <c r="Q92" s="897"/>
      <c r="R92" s="571"/>
      <c r="S92" s="571"/>
      <c r="T92" s="571"/>
      <c r="U92" s="571"/>
      <c r="V92" s="571"/>
    </row>
    <row r="93" spans="1:22" s="831" customFormat="1" ht="15" outlineLevel="1" thickBot="1" x14ac:dyDescent="0.4">
      <c r="A93" s="832" t="s">
        <v>946</v>
      </c>
      <c r="B93" s="1211" t="s">
        <v>1019</v>
      </c>
      <c r="C93" s="897"/>
      <c r="D93" s="758">
        <v>231579</v>
      </c>
      <c r="E93" s="912"/>
      <c r="F93" s="781">
        <v>0</v>
      </c>
      <c r="G93" s="897"/>
      <c r="H93" s="761">
        <v>0</v>
      </c>
      <c r="I93" s="924"/>
      <c r="J93" s="837"/>
      <c r="K93" s="945"/>
      <c r="L93" s="771"/>
      <c r="M93" s="1075"/>
      <c r="N93" s="983"/>
      <c r="O93" s="897"/>
      <c r="P93" s="969">
        <v>758980</v>
      </c>
      <c r="Q93" s="917"/>
      <c r="R93" s="571"/>
      <c r="S93" s="571"/>
      <c r="T93" s="571"/>
      <c r="U93" s="571"/>
      <c r="V93" s="571"/>
    </row>
    <row r="94" spans="1:22" s="762" customFormat="1" ht="15" thickBot="1" x14ac:dyDescent="0.4">
      <c r="A94" s="840" t="s">
        <v>402</v>
      </c>
      <c r="B94" s="1225" t="s">
        <v>1020</v>
      </c>
      <c r="C94" s="898"/>
      <c r="D94" s="1095">
        <f>D57*0.1</f>
        <v>1247289.6816</v>
      </c>
      <c r="E94" s="898"/>
      <c r="F94" s="1091">
        <f>F57*0.1</f>
        <v>390662.49800000002</v>
      </c>
      <c r="G94" s="898"/>
      <c r="H94" s="1089">
        <f>H57*0.1</f>
        <v>671744.13699999999</v>
      </c>
      <c r="I94" s="851"/>
      <c r="J94" s="837"/>
      <c r="K94" s="945"/>
      <c r="L94" s="1074">
        <f>L57*0.1</f>
        <v>644162.46519999998</v>
      </c>
      <c r="M94" s="1075"/>
      <c r="N94" s="1080">
        <f>N57*0.1</f>
        <v>633619.95372000011</v>
      </c>
      <c r="O94" s="898"/>
      <c r="P94" s="1085">
        <f>P57*0.1</f>
        <v>1572918.2486400001</v>
      </c>
      <c r="Q94" s="898"/>
      <c r="R94" s="571"/>
      <c r="S94" s="571"/>
      <c r="T94" s="571"/>
      <c r="U94" s="571"/>
      <c r="V94" s="571"/>
    </row>
    <row r="95" spans="1:22" s="831" customFormat="1" ht="15" outlineLevel="1" thickBot="1" x14ac:dyDescent="0.4">
      <c r="A95" s="875" t="s">
        <v>403</v>
      </c>
      <c r="B95" s="1209"/>
      <c r="C95" s="851">
        <f t="shared" ref="C95" si="18">SUM(C83:C94)</f>
        <v>0</v>
      </c>
      <c r="D95" s="870">
        <f t="shared" ref="D95" si="19">SUM(D83:D94)</f>
        <v>2530944.3482666668</v>
      </c>
      <c r="E95" s="851"/>
      <c r="F95" s="870">
        <f t="shared" ref="F95" si="20">SUM(F83:F94)</f>
        <v>654964.49800000002</v>
      </c>
      <c r="G95" s="851"/>
      <c r="H95" s="870">
        <f t="shared" ref="H95" si="21">SUM(H83:H94)</f>
        <v>1185769.1370000001</v>
      </c>
      <c r="I95" s="922"/>
      <c r="J95" s="870"/>
      <c r="K95" s="870"/>
      <c r="L95" s="870">
        <f t="shared" ref="L95:N95" si="22">SUM(L83:L94)</f>
        <v>1242325.8198666666</v>
      </c>
      <c r="M95" s="1075"/>
      <c r="N95" s="870">
        <f t="shared" si="22"/>
        <v>1120579.9638533334</v>
      </c>
      <c r="O95" s="851"/>
      <c r="P95" s="870">
        <f t="shared" ref="P95" si="23">SUM(P83:P94)</f>
        <v>4203959.9153066669</v>
      </c>
      <c r="Q95" s="851"/>
      <c r="R95" s="571"/>
      <c r="S95" s="571"/>
      <c r="T95" s="571"/>
      <c r="U95" s="571"/>
      <c r="V95" s="571"/>
    </row>
    <row r="96" spans="1:22" s="831" customFormat="1" outlineLevel="1" x14ac:dyDescent="0.35">
      <c r="A96" s="829" t="s">
        <v>203</v>
      </c>
      <c r="B96" s="1210" t="s">
        <v>1021</v>
      </c>
      <c r="C96" s="896"/>
      <c r="D96" s="823">
        <v>4119</v>
      </c>
      <c r="E96" s="911"/>
      <c r="F96" s="786">
        <v>0</v>
      </c>
      <c r="G96" s="896"/>
      <c r="H96" s="787">
        <v>0</v>
      </c>
      <c r="I96" s="923"/>
      <c r="J96" s="830"/>
      <c r="K96" s="943"/>
      <c r="L96" s="789">
        <v>0</v>
      </c>
      <c r="M96" s="1075"/>
      <c r="N96" s="981">
        <v>0</v>
      </c>
      <c r="O96" s="896"/>
      <c r="P96" s="968">
        <v>0</v>
      </c>
      <c r="Q96" s="896"/>
      <c r="R96" s="571"/>
      <c r="S96" s="571"/>
      <c r="T96" s="571"/>
      <c r="U96" s="571"/>
      <c r="V96" s="571"/>
    </row>
    <row r="97" spans="1:22" s="831" customFormat="1" outlineLevel="1" x14ac:dyDescent="0.35">
      <c r="A97" s="832" t="s">
        <v>198</v>
      </c>
      <c r="B97" s="1211" t="s">
        <v>1022</v>
      </c>
      <c r="C97" s="897"/>
      <c r="D97" s="758"/>
      <c r="E97" s="897"/>
      <c r="F97" s="781">
        <v>20046</v>
      </c>
      <c r="G97" s="917"/>
      <c r="H97" s="761">
        <v>37604</v>
      </c>
      <c r="I97" s="923"/>
      <c r="J97" s="833"/>
      <c r="K97" s="944"/>
      <c r="L97" s="771">
        <v>0</v>
      </c>
      <c r="M97" s="1075"/>
      <c r="N97" s="983">
        <v>0</v>
      </c>
      <c r="O97" s="897"/>
      <c r="P97" s="969">
        <v>0</v>
      </c>
      <c r="Q97" s="897"/>
      <c r="R97" s="571"/>
      <c r="S97" s="571"/>
      <c r="T97" s="571"/>
      <c r="U97" s="571"/>
      <c r="V97" s="571"/>
    </row>
    <row r="98" spans="1:22" s="831" customFormat="1" outlineLevel="1" x14ac:dyDescent="0.35">
      <c r="A98" s="832" t="s">
        <v>316</v>
      </c>
      <c r="B98" s="1211" t="s">
        <v>1023</v>
      </c>
      <c r="C98" s="897"/>
      <c r="D98" s="758"/>
      <c r="E98" s="897"/>
      <c r="F98" s="781">
        <v>0</v>
      </c>
      <c r="G98" s="897"/>
      <c r="H98" s="761">
        <v>0</v>
      </c>
      <c r="I98" s="923"/>
      <c r="J98" s="833"/>
      <c r="K98" s="944"/>
      <c r="L98" s="771">
        <v>0</v>
      </c>
      <c r="M98" s="1075"/>
      <c r="N98" s="983">
        <v>0</v>
      </c>
      <c r="O98" s="897"/>
      <c r="P98" s="969">
        <v>0</v>
      </c>
      <c r="Q98" s="897"/>
      <c r="R98" s="571"/>
      <c r="S98" s="571"/>
      <c r="T98" s="571"/>
      <c r="U98" s="571"/>
      <c r="V98" s="571"/>
    </row>
    <row r="99" spans="1:22" s="831" customFormat="1" outlineLevel="1" x14ac:dyDescent="0.35">
      <c r="A99" s="832" t="s">
        <v>404</v>
      </c>
      <c r="B99" s="1211" t="s">
        <v>1024</v>
      </c>
      <c r="C99" s="897"/>
      <c r="D99" s="758"/>
      <c r="E99" s="897"/>
      <c r="F99" s="781">
        <v>0</v>
      </c>
      <c r="G99" s="897"/>
      <c r="H99" s="761">
        <v>0</v>
      </c>
      <c r="I99" s="923"/>
      <c r="J99" s="833"/>
      <c r="K99" s="944"/>
      <c r="L99" s="771">
        <v>0</v>
      </c>
      <c r="M99" s="1075"/>
      <c r="N99" s="983">
        <v>0</v>
      </c>
      <c r="O99" s="897"/>
      <c r="P99" s="969">
        <v>0</v>
      </c>
      <c r="Q99" s="897"/>
      <c r="R99" s="571"/>
      <c r="S99" s="571"/>
      <c r="T99" s="571"/>
      <c r="U99" s="571"/>
      <c r="V99" s="571"/>
    </row>
    <row r="100" spans="1:22" s="831" customFormat="1" outlineLevel="1" x14ac:dyDescent="0.35">
      <c r="A100" s="832" t="s">
        <v>405</v>
      </c>
      <c r="B100" s="1211" t="s">
        <v>1025</v>
      </c>
      <c r="C100" s="897"/>
      <c r="D100" s="758"/>
      <c r="E100" s="897"/>
      <c r="F100" s="781">
        <v>0</v>
      </c>
      <c r="G100" s="897"/>
      <c r="H100" s="761">
        <v>0</v>
      </c>
      <c r="I100" s="923"/>
      <c r="J100" s="833"/>
      <c r="K100" s="944"/>
      <c r="L100" s="771">
        <v>20000</v>
      </c>
      <c r="M100" s="1075"/>
      <c r="N100" s="983">
        <v>20000</v>
      </c>
      <c r="O100" s="897"/>
      <c r="P100" s="970">
        <v>30000</v>
      </c>
      <c r="Q100" s="897"/>
      <c r="R100" s="571"/>
      <c r="S100" s="571"/>
      <c r="T100" s="571"/>
      <c r="U100" s="571"/>
      <c r="V100" s="571"/>
    </row>
    <row r="101" spans="1:22" s="831" customFormat="1" outlineLevel="1" x14ac:dyDescent="0.35">
      <c r="A101" s="832" t="s">
        <v>173</v>
      </c>
      <c r="B101" s="1211" t="s">
        <v>1026</v>
      </c>
      <c r="C101" s="897"/>
      <c r="D101" s="758">
        <v>20000</v>
      </c>
      <c r="E101" s="912"/>
      <c r="F101" s="781">
        <f>12000-10000</f>
        <v>2000</v>
      </c>
      <c r="G101" s="897"/>
      <c r="H101" s="761">
        <v>20000</v>
      </c>
      <c r="I101" s="923"/>
      <c r="J101" s="833"/>
      <c r="K101" s="944"/>
      <c r="L101" s="771">
        <v>0</v>
      </c>
      <c r="M101" s="1075"/>
      <c r="N101" s="983">
        <v>0</v>
      </c>
      <c r="O101" s="897"/>
      <c r="P101" s="969">
        <v>0</v>
      </c>
      <c r="Q101" s="897"/>
      <c r="R101" s="571"/>
      <c r="S101" s="571"/>
      <c r="T101" s="571"/>
      <c r="U101" s="571"/>
      <c r="V101" s="571"/>
    </row>
    <row r="102" spans="1:22" s="831" customFormat="1" outlineLevel="1" x14ac:dyDescent="0.35">
      <c r="A102" s="832" t="s">
        <v>179</v>
      </c>
      <c r="B102" s="1211" t="s">
        <v>1027</v>
      </c>
      <c r="C102" s="897"/>
      <c r="D102" s="758">
        <v>0</v>
      </c>
      <c r="E102" s="897"/>
      <c r="F102" s="781">
        <v>0</v>
      </c>
      <c r="G102" s="897"/>
      <c r="H102" s="761">
        <v>5000</v>
      </c>
      <c r="I102" s="923"/>
      <c r="J102" s="833"/>
      <c r="K102" s="944"/>
      <c r="L102" s="771">
        <v>0</v>
      </c>
      <c r="M102" s="1075"/>
      <c r="N102" s="983">
        <v>0</v>
      </c>
      <c r="O102" s="897"/>
      <c r="P102" s="969">
        <v>0</v>
      </c>
      <c r="Q102" s="897"/>
      <c r="R102" s="571"/>
      <c r="S102" s="571"/>
      <c r="T102" s="571"/>
      <c r="U102" s="571"/>
      <c r="V102" s="571"/>
    </row>
    <row r="103" spans="1:22" s="831" customFormat="1" outlineLevel="1" x14ac:dyDescent="0.35">
      <c r="A103" s="832" t="s">
        <v>175</v>
      </c>
      <c r="B103" s="1211" t="s">
        <v>1028</v>
      </c>
      <c r="C103" s="897"/>
      <c r="D103" s="758">
        <v>30000</v>
      </c>
      <c r="E103" s="912"/>
      <c r="F103" s="781">
        <f>20000-5000</f>
        <v>15000</v>
      </c>
      <c r="G103" s="897"/>
      <c r="H103" s="761"/>
      <c r="I103" s="923"/>
      <c r="J103" s="833"/>
      <c r="K103" s="944"/>
      <c r="L103" s="771">
        <v>0</v>
      </c>
      <c r="M103" s="1075"/>
      <c r="N103" s="983">
        <v>0</v>
      </c>
      <c r="O103" s="897"/>
      <c r="P103" s="969">
        <v>50000</v>
      </c>
      <c r="Q103" s="897"/>
      <c r="R103" s="571"/>
      <c r="S103" s="571"/>
      <c r="T103" s="571"/>
      <c r="U103" s="571"/>
      <c r="V103" s="571"/>
    </row>
    <row r="104" spans="1:22" s="831" customFormat="1" outlineLevel="1" x14ac:dyDescent="0.35">
      <c r="A104" s="841" t="s">
        <v>406</v>
      </c>
      <c r="B104" s="1042" t="s">
        <v>1029</v>
      </c>
      <c r="C104" s="897"/>
      <c r="D104" s="758">
        <v>3777.41</v>
      </c>
      <c r="E104" s="897"/>
      <c r="F104" s="781">
        <v>967.39</v>
      </c>
      <c r="G104" s="897"/>
      <c r="H104" s="761">
        <v>1520.18</v>
      </c>
      <c r="I104" s="923"/>
      <c r="J104" s="833"/>
      <c r="K104" s="944"/>
      <c r="L104" s="771">
        <v>2165.1</v>
      </c>
      <c r="M104" s="1075"/>
      <c r="N104" s="983">
        <v>2013.08</v>
      </c>
      <c r="O104" s="897"/>
      <c r="P104" s="969">
        <v>6062.29</v>
      </c>
      <c r="Q104" s="917"/>
      <c r="R104" s="571"/>
      <c r="S104" s="571"/>
      <c r="T104" s="571"/>
      <c r="U104" s="571"/>
      <c r="V104" s="571"/>
    </row>
    <row r="105" spans="1:22" s="831" customFormat="1" outlineLevel="1" x14ac:dyDescent="0.35">
      <c r="A105" s="832" t="s">
        <v>176</v>
      </c>
      <c r="B105" s="1211" t="s">
        <v>1030</v>
      </c>
      <c r="C105" s="897"/>
      <c r="D105" s="905">
        <f>50000-22000-28000</f>
        <v>0</v>
      </c>
      <c r="E105" s="897"/>
      <c r="F105" s="781">
        <v>0</v>
      </c>
      <c r="G105" s="897"/>
      <c r="H105" s="761">
        <v>0</v>
      </c>
      <c r="I105" s="923"/>
      <c r="J105" s="833"/>
      <c r="K105" s="944"/>
      <c r="L105" s="771">
        <v>0</v>
      </c>
      <c r="M105" s="1075"/>
      <c r="N105" s="983">
        <v>0</v>
      </c>
      <c r="O105" s="897"/>
      <c r="P105" s="969">
        <v>0</v>
      </c>
      <c r="Q105" s="897"/>
      <c r="R105" s="571"/>
      <c r="S105" s="571"/>
      <c r="T105" s="571"/>
      <c r="U105" s="571"/>
      <c r="V105" s="571"/>
    </row>
    <row r="106" spans="1:22" s="831" customFormat="1" outlineLevel="1" x14ac:dyDescent="0.35">
      <c r="A106" s="835" t="s">
        <v>407</v>
      </c>
      <c r="B106" s="1213" t="s">
        <v>1031</v>
      </c>
      <c r="C106" s="897"/>
      <c r="D106" s="758"/>
      <c r="E106" s="897"/>
      <c r="F106" s="781">
        <v>0</v>
      </c>
      <c r="G106" s="897"/>
      <c r="H106" s="761">
        <v>0</v>
      </c>
      <c r="I106" s="923"/>
      <c r="J106" s="833"/>
      <c r="K106" s="944"/>
      <c r="L106" s="771">
        <v>0</v>
      </c>
      <c r="M106" s="1075"/>
      <c r="N106" s="983">
        <v>0</v>
      </c>
      <c r="O106" s="897"/>
      <c r="P106" s="969">
        <v>0</v>
      </c>
      <c r="Q106" s="897"/>
      <c r="R106" s="571"/>
      <c r="S106" s="571"/>
      <c r="T106" s="571"/>
      <c r="U106" s="571"/>
      <c r="V106" s="571"/>
    </row>
    <row r="107" spans="1:22" s="831" customFormat="1" outlineLevel="1" x14ac:dyDescent="0.35">
      <c r="A107" s="832" t="s">
        <v>408</v>
      </c>
      <c r="B107" s="1240" t="s">
        <v>1032</v>
      </c>
      <c r="C107" s="897"/>
      <c r="D107" s="758"/>
      <c r="E107" s="897"/>
      <c r="F107" s="915">
        <v>0</v>
      </c>
      <c r="G107" s="897"/>
      <c r="H107" s="761">
        <v>0</v>
      </c>
      <c r="I107" s="923"/>
      <c r="J107" s="833"/>
      <c r="K107" s="944"/>
      <c r="L107" s="771">
        <v>0</v>
      </c>
      <c r="M107" s="1075"/>
      <c r="N107" s="983">
        <v>0</v>
      </c>
      <c r="O107" s="897"/>
      <c r="P107" s="969">
        <v>0</v>
      </c>
      <c r="Q107" s="897"/>
      <c r="R107" s="571"/>
      <c r="S107" s="571"/>
      <c r="T107" s="571"/>
      <c r="U107" s="571"/>
      <c r="V107" s="571"/>
    </row>
    <row r="108" spans="1:22" s="831" customFormat="1" outlineLevel="1" x14ac:dyDescent="0.35">
      <c r="A108" s="832" t="s">
        <v>409</v>
      </c>
      <c r="B108" s="1211" t="s">
        <v>1033</v>
      </c>
      <c r="C108" s="897"/>
      <c r="D108" s="758">
        <v>10000</v>
      </c>
      <c r="E108" s="912"/>
      <c r="F108" s="915">
        <f>5000-4000</f>
        <v>1000</v>
      </c>
      <c r="G108" s="897"/>
      <c r="H108" s="761">
        <v>0</v>
      </c>
      <c r="I108" s="923"/>
      <c r="J108" s="833"/>
      <c r="K108" s="944"/>
      <c r="L108" s="771">
        <v>10000</v>
      </c>
      <c r="M108" s="1075"/>
      <c r="N108" s="983">
        <v>10000</v>
      </c>
      <c r="O108" s="917"/>
      <c r="P108" s="969">
        <v>30000</v>
      </c>
      <c r="Q108" s="897"/>
      <c r="R108" s="571"/>
      <c r="S108" s="571"/>
      <c r="T108" s="571"/>
      <c r="U108" s="571"/>
      <c r="V108" s="571"/>
    </row>
    <row r="109" spans="1:22" s="831" customFormat="1" outlineLevel="1" x14ac:dyDescent="0.35">
      <c r="A109" s="868" t="s">
        <v>178</v>
      </c>
      <c r="B109" s="1211" t="s">
        <v>1090</v>
      </c>
      <c r="C109" s="897"/>
      <c r="D109" s="758">
        <v>10000</v>
      </c>
      <c r="E109" s="897"/>
      <c r="F109" s="781">
        <v>4000</v>
      </c>
      <c r="G109" s="897"/>
      <c r="H109" s="761">
        <v>8000</v>
      </c>
      <c r="I109" s="923"/>
      <c r="J109" s="833"/>
      <c r="K109" s="944"/>
      <c r="L109" s="771">
        <v>0</v>
      </c>
      <c r="M109" s="1075"/>
      <c r="N109" s="983">
        <v>0</v>
      </c>
      <c r="O109" s="897"/>
      <c r="P109" s="969">
        <v>0</v>
      </c>
      <c r="Q109" s="897"/>
      <c r="R109" s="571"/>
      <c r="S109" s="571"/>
      <c r="T109" s="571"/>
      <c r="U109" s="571"/>
      <c r="V109" s="571"/>
    </row>
    <row r="110" spans="1:22" s="831" customFormat="1" outlineLevel="1" x14ac:dyDescent="0.35">
      <c r="A110" s="835" t="s">
        <v>410</v>
      </c>
      <c r="B110" s="1213" t="s">
        <v>1034</v>
      </c>
      <c r="C110" s="897"/>
      <c r="D110" s="758"/>
      <c r="E110" s="897"/>
      <c r="F110" s="781">
        <v>0</v>
      </c>
      <c r="G110" s="897"/>
      <c r="H110" s="761">
        <v>0</v>
      </c>
      <c r="I110" s="923"/>
      <c r="J110" s="833"/>
      <c r="K110" s="944"/>
      <c r="L110" s="771">
        <v>0</v>
      </c>
      <c r="M110" s="1075"/>
      <c r="N110" s="983">
        <v>0</v>
      </c>
      <c r="O110" s="897"/>
      <c r="P110" s="969">
        <v>60000</v>
      </c>
      <c r="Q110" s="897"/>
      <c r="R110" s="571"/>
      <c r="S110" s="571"/>
      <c r="T110" s="571"/>
      <c r="U110" s="571"/>
      <c r="V110" s="571"/>
    </row>
    <row r="111" spans="1:22" s="831" customFormat="1" outlineLevel="1" x14ac:dyDescent="0.35">
      <c r="A111" s="835" t="s">
        <v>411</v>
      </c>
      <c r="B111" s="1213" t="s">
        <v>1035</v>
      </c>
      <c r="C111" s="897"/>
      <c r="D111" s="758"/>
      <c r="E111" s="897"/>
      <c r="F111" s="781">
        <v>0</v>
      </c>
      <c r="G111" s="897"/>
      <c r="H111" s="761">
        <v>0</v>
      </c>
      <c r="I111" s="923"/>
      <c r="J111" s="833"/>
      <c r="K111" s="944"/>
      <c r="L111" s="771">
        <v>0</v>
      </c>
      <c r="M111" s="1075"/>
      <c r="N111" s="983">
        <v>0</v>
      </c>
      <c r="O111" s="897"/>
      <c r="P111" s="969">
        <v>20000</v>
      </c>
      <c r="Q111" s="897"/>
      <c r="R111" s="571"/>
      <c r="S111" s="571"/>
      <c r="T111" s="571"/>
      <c r="U111" s="571"/>
      <c r="V111" s="571"/>
    </row>
    <row r="112" spans="1:22" s="831" customFormat="1" outlineLevel="1" x14ac:dyDescent="0.35">
      <c r="A112" s="835" t="s">
        <v>412</v>
      </c>
      <c r="B112" s="1213" t="s">
        <v>1036</v>
      </c>
      <c r="C112" s="897"/>
      <c r="D112" s="758"/>
      <c r="E112" s="897"/>
      <c r="F112" s="781">
        <v>0</v>
      </c>
      <c r="G112" s="897"/>
      <c r="H112" s="761">
        <v>0</v>
      </c>
      <c r="I112" s="923"/>
      <c r="J112" s="833"/>
      <c r="K112" s="944"/>
      <c r="L112" s="771">
        <v>0</v>
      </c>
      <c r="M112" s="1075"/>
      <c r="N112" s="983">
        <v>0</v>
      </c>
      <c r="O112" s="897"/>
      <c r="P112" s="969">
        <v>20000</v>
      </c>
      <c r="Q112" s="897"/>
      <c r="R112" s="571"/>
      <c r="S112" s="571"/>
      <c r="T112" s="571"/>
      <c r="U112" s="571"/>
      <c r="V112" s="571"/>
    </row>
    <row r="113" spans="1:22" s="831" customFormat="1" outlineLevel="1" x14ac:dyDescent="0.35">
      <c r="A113" s="832" t="s">
        <v>182</v>
      </c>
      <c r="B113" s="1211" t="s">
        <v>1037</v>
      </c>
      <c r="C113" s="897"/>
      <c r="D113" s="758"/>
      <c r="E113" s="897"/>
      <c r="F113" s="781">
        <v>0</v>
      </c>
      <c r="G113" s="897"/>
      <c r="H113" s="761">
        <v>0</v>
      </c>
      <c r="I113" s="923"/>
      <c r="J113" s="833"/>
      <c r="K113" s="944"/>
      <c r="L113" s="771">
        <v>0</v>
      </c>
      <c r="M113" s="1075"/>
      <c r="N113" s="983">
        <v>0</v>
      </c>
      <c r="O113" s="897"/>
      <c r="P113" s="969">
        <v>0</v>
      </c>
      <c r="Q113" s="897"/>
      <c r="R113" s="571"/>
      <c r="S113" s="571"/>
      <c r="T113" s="571"/>
      <c r="U113" s="571"/>
      <c r="V113" s="571"/>
    </row>
    <row r="114" spans="1:22" s="831" customFormat="1" outlineLevel="1" x14ac:dyDescent="0.35">
      <c r="A114" s="868" t="s">
        <v>183</v>
      </c>
      <c r="B114" s="1211" t="s">
        <v>1091</v>
      </c>
      <c r="C114" s="897"/>
      <c r="D114" s="1097">
        <f t="shared" ref="D114:H114" si="24">D4*80</f>
        <v>65600</v>
      </c>
      <c r="E114" s="912"/>
      <c r="F114" s="1185">
        <f t="shared" si="24"/>
        <v>16800</v>
      </c>
      <c r="G114" s="1083">
        <f t="shared" si="24"/>
        <v>0</v>
      </c>
      <c r="H114" s="1090">
        <f t="shared" si="24"/>
        <v>26400</v>
      </c>
      <c r="I114" s="923"/>
      <c r="J114" s="833"/>
      <c r="K114" s="944"/>
      <c r="L114" s="1081">
        <f t="shared" ref="L114:P114" si="25">L4*80</f>
        <v>40000</v>
      </c>
      <c r="M114" s="1083">
        <f t="shared" si="25"/>
        <v>0</v>
      </c>
      <c r="N114" s="1082">
        <f t="shared" si="25"/>
        <v>38000</v>
      </c>
      <c r="O114" s="917"/>
      <c r="P114" s="1084">
        <f t="shared" si="25"/>
        <v>112000</v>
      </c>
      <c r="Q114" s="917"/>
      <c r="R114" s="571"/>
      <c r="S114" s="571"/>
      <c r="T114" s="571"/>
      <c r="U114" s="571"/>
      <c r="V114" s="571"/>
    </row>
    <row r="115" spans="1:22" s="831" customFormat="1" outlineLevel="1" x14ac:dyDescent="0.35">
      <c r="A115" s="835" t="s">
        <v>413</v>
      </c>
      <c r="B115" s="1213" t="s">
        <v>1038</v>
      </c>
      <c r="C115" s="897"/>
      <c r="D115" s="758"/>
      <c r="E115" s="897"/>
      <c r="F115" s="781">
        <v>10000</v>
      </c>
      <c r="G115" s="897"/>
      <c r="H115" s="761">
        <v>10000</v>
      </c>
      <c r="I115" s="923"/>
      <c r="J115" s="833"/>
      <c r="K115" s="944"/>
      <c r="L115" s="771">
        <v>6125</v>
      </c>
      <c r="M115" s="1075"/>
      <c r="N115" s="983">
        <v>6125</v>
      </c>
      <c r="O115" s="897"/>
      <c r="P115" s="969">
        <v>15000</v>
      </c>
      <c r="Q115" s="897"/>
      <c r="R115" s="571"/>
      <c r="S115" s="571"/>
      <c r="T115" s="571"/>
      <c r="U115" s="571"/>
      <c r="V115" s="571"/>
    </row>
    <row r="116" spans="1:22" s="831" customFormat="1" outlineLevel="1" x14ac:dyDescent="0.35">
      <c r="A116" s="835" t="s">
        <v>414</v>
      </c>
      <c r="B116" s="1213" t="s">
        <v>1039</v>
      </c>
      <c r="C116" s="897"/>
      <c r="D116" s="758"/>
      <c r="E116" s="897"/>
      <c r="F116" s="781">
        <v>0</v>
      </c>
      <c r="G116" s="897"/>
      <c r="H116" s="761">
        <v>0</v>
      </c>
      <c r="I116" s="923"/>
      <c r="J116" s="833"/>
      <c r="K116" s="944"/>
      <c r="L116" s="771">
        <v>30000</v>
      </c>
      <c r="M116" s="1075"/>
      <c r="N116" s="983">
        <v>30000</v>
      </c>
      <c r="O116" s="897"/>
      <c r="P116" s="969">
        <v>30000</v>
      </c>
      <c r="Q116" s="917"/>
      <c r="R116" s="571"/>
      <c r="S116" s="571"/>
      <c r="T116" s="571"/>
      <c r="U116" s="571"/>
      <c r="V116" s="571"/>
    </row>
    <row r="117" spans="1:22" s="831" customFormat="1" outlineLevel="1" x14ac:dyDescent="0.35">
      <c r="A117" s="832" t="s">
        <v>184</v>
      </c>
      <c r="B117" s="1211" t="s">
        <v>1040</v>
      </c>
      <c r="C117" s="897"/>
      <c r="D117" s="1097">
        <v>30000</v>
      </c>
      <c r="E117" s="912"/>
      <c r="F117" s="1092">
        <v>15000</v>
      </c>
      <c r="G117" s="897"/>
      <c r="H117" s="1090">
        <v>15000</v>
      </c>
      <c r="I117" s="923"/>
      <c r="J117" s="833"/>
      <c r="K117" s="944"/>
      <c r="L117" s="1081">
        <f t="shared" ref="L117:N117" si="26">L4*30</f>
        <v>15000</v>
      </c>
      <c r="M117" s="1083">
        <f t="shared" si="26"/>
        <v>0</v>
      </c>
      <c r="N117" s="1082">
        <f t="shared" si="26"/>
        <v>14250</v>
      </c>
      <c r="O117" s="897"/>
      <c r="P117" s="1084">
        <f t="shared" ref="P117" si="27">P4*30</f>
        <v>42000</v>
      </c>
      <c r="Q117" s="897"/>
      <c r="R117" s="571"/>
      <c r="S117" s="571"/>
      <c r="T117" s="571"/>
      <c r="U117" s="571"/>
      <c r="V117" s="571"/>
    </row>
    <row r="118" spans="1:22" s="831" customFormat="1" outlineLevel="1" x14ac:dyDescent="0.35">
      <c r="A118" s="832" t="s">
        <v>185</v>
      </c>
      <c r="B118" s="1211" t="s">
        <v>1041</v>
      </c>
      <c r="C118" s="897"/>
      <c r="D118" s="1097">
        <f t="shared" ref="D118:H118" si="28">D4*100</f>
        <v>82000</v>
      </c>
      <c r="E118" s="912"/>
      <c r="F118" s="1185">
        <f t="shared" si="28"/>
        <v>21000</v>
      </c>
      <c r="G118" s="1083">
        <f t="shared" si="28"/>
        <v>0</v>
      </c>
      <c r="H118" s="1090">
        <f t="shared" si="28"/>
        <v>33000</v>
      </c>
      <c r="I118" s="923"/>
      <c r="J118" s="833"/>
      <c r="K118" s="944"/>
      <c r="L118" s="1081">
        <f t="shared" ref="L118:N118" si="29">L4*100</f>
        <v>50000</v>
      </c>
      <c r="M118" s="1083">
        <f t="shared" si="29"/>
        <v>0</v>
      </c>
      <c r="N118" s="1082">
        <f t="shared" si="29"/>
        <v>47500</v>
      </c>
      <c r="O118" s="917"/>
      <c r="P118" s="1084">
        <f t="shared" ref="P118" si="30">P4*100</f>
        <v>140000</v>
      </c>
      <c r="Q118" s="917"/>
      <c r="R118" s="571"/>
      <c r="S118" s="571"/>
      <c r="T118" s="571"/>
      <c r="U118" s="571"/>
      <c r="V118" s="571"/>
    </row>
    <row r="119" spans="1:22" s="831" customFormat="1" outlineLevel="1" x14ac:dyDescent="0.35">
      <c r="A119" s="835" t="s">
        <v>415</v>
      </c>
      <c r="B119" s="1213" t="s">
        <v>1042</v>
      </c>
      <c r="C119" s="897"/>
      <c r="D119" s="758">
        <f>38*300</f>
        <v>11400</v>
      </c>
      <c r="E119" s="897"/>
      <c r="F119" s="781">
        <f>16*300</f>
        <v>4800</v>
      </c>
      <c r="G119" s="1093">
        <f t="shared" ref="G119" si="31">30*300</f>
        <v>9000</v>
      </c>
      <c r="H119" s="761">
        <f>21*300</f>
        <v>6300</v>
      </c>
      <c r="I119" s="923"/>
      <c r="J119" s="833"/>
      <c r="K119" s="944"/>
      <c r="L119" s="771">
        <f>30*300</f>
        <v>9000</v>
      </c>
      <c r="M119" s="1075"/>
      <c r="N119" s="1082">
        <f>30*300</f>
        <v>9000</v>
      </c>
      <c r="O119" s="897"/>
      <c r="P119" s="1084">
        <f>62*300</f>
        <v>18600</v>
      </c>
      <c r="Q119" s="897"/>
      <c r="R119" s="571"/>
      <c r="S119" s="571"/>
      <c r="T119" s="571"/>
      <c r="U119" s="571"/>
      <c r="V119" s="571"/>
    </row>
    <row r="120" spans="1:22" s="831" customFormat="1" outlineLevel="1" x14ac:dyDescent="0.35">
      <c r="A120" s="868" t="s">
        <v>187</v>
      </c>
      <c r="B120" s="1211" t="s">
        <v>1092</v>
      </c>
      <c r="C120" s="897"/>
      <c r="D120" s="1097">
        <f t="shared" ref="D120:H120" si="32">D4*15</f>
        <v>12300</v>
      </c>
      <c r="E120" s="897"/>
      <c r="F120" s="1092">
        <f t="shared" si="32"/>
        <v>3150</v>
      </c>
      <c r="G120" s="1083">
        <f t="shared" si="32"/>
        <v>0</v>
      </c>
      <c r="H120" s="1090">
        <f t="shared" si="32"/>
        <v>4950</v>
      </c>
      <c r="I120" s="923"/>
      <c r="J120" s="833"/>
      <c r="K120" s="944"/>
      <c r="L120" s="1081">
        <f t="shared" ref="L120:N120" si="33">L4*15</f>
        <v>7500</v>
      </c>
      <c r="M120" s="1083">
        <f t="shared" si="33"/>
        <v>0</v>
      </c>
      <c r="N120" s="1082">
        <f t="shared" si="33"/>
        <v>7125</v>
      </c>
      <c r="O120" s="897"/>
      <c r="P120" s="1084">
        <f t="shared" ref="P120" si="34">P4*15</f>
        <v>21000</v>
      </c>
      <c r="Q120" s="897"/>
      <c r="R120" s="571"/>
      <c r="S120" s="571"/>
      <c r="T120" s="571"/>
      <c r="U120" s="571"/>
      <c r="V120" s="571"/>
    </row>
    <row r="121" spans="1:22" s="831" customFormat="1" outlineLevel="1" x14ac:dyDescent="0.35">
      <c r="A121" s="832" t="s">
        <v>188</v>
      </c>
      <c r="B121" s="1211" t="s">
        <v>1043</v>
      </c>
      <c r="C121" s="897"/>
      <c r="D121" s="758"/>
      <c r="E121" s="897"/>
      <c r="F121" s="916">
        <v>1000</v>
      </c>
      <c r="G121" s="897"/>
      <c r="H121" s="761">
        <v>5000</v>
      </c>
      <c r="I121" s="923"/>
      <c r="J121" s="833"/>
      <c r="K121" s="944"/>
      <c r="L121" s="771">
        <v>0</v>
      </c>
      <c r="M121" s="1075"/>
      <c r="N121" s="983">
        <v>0</v>
      </c>
      <c r="O121" s="897"/>
      <c r="P121" s="969">
        <v>0</v>
      </c>
      <c r="Q121" s="897"/>
      <c r="R121" s="571"/>
      <c r="S121" s="571"/>
      <c r="T121" s="571"/>
      <c r="U121" s="571"/>
      <c r="V121" s="571"/>
    </row>
    <row r="122" spans="1:22" s="831" customFormat="1" outlineLevel="1" x14ac:dyDescent="0.35">
      <c r="A122" s="832" t="s">
        <v>416</v>
      </c>
      <c r="B122" s="1211" t="s">
        <v>1044</v>
      </c>
      <c r="C122" s="897"/>
      <c r="D122" s="758"/>
      <c r="E122" s="897"/>
      <c r="F122" s="781">
        <v>0</v>
      </c>
      <c r="G122" s="897"/>
      <c r="H122" s="761">
        <v>500</v>
      </c>
      <c r="I122" s="923"/>
      <c r="J122" s="833"/>
      <c r="K122" s="944"/>
      <c r="L122" s="771">
        <v>0</v>
      </c>
      <c r="M122" s="1075"/>
      <c r="N122" s="983">
        <v>0</v>
      </c>
      <c r="O122" s="897"/>
      <c r="P122" s="969">
        <v>0</v>
      </c>
      <c r="Q122" s="897"/>
      <c r="R122" s="571"/>
      <c r="S122" s="571"/>
      <c r="T122" s="571"/>
      <c r="U122" s="571"/>
      <c r="V122" s="571"/>
    </row>
    <row r="123" spans="1:22" s="831" customFormat="1" outlineLevel="1" x14ac:dyDescent="0.35">
      <c r="A123" s="832" t="s">
        <v>322</v>
      </c>
      <c r="B123" s="1211" t="s">
        <v>1045</v>
      </c>
      <c r="C123" s="897"/>
      <c r="D123" s="758"/>
      <c r="E123" s="897"/>
      <c r="F123" s="781">
        <v>0</v>
      </c>
      <c r="G123" s="897"/>
      <c r="H123" s="761">
        <v>0</v>
      </c>
      <c r="I123" s="923"/>
      <c r="J123" s="833"/>
      <c r="K123" s="944"/>
      <c r="L123" s="771">
        <v>0</v>
      </c>
      <c r="M123" s="1075"/>
      <c r="N123" s="983">
        <v>0</v>
      </c>
      <c r="O123" s="897"/>
      <c r="P123" s="969">
        <v>0</v>
      </c>
      <c r="Q123" s="897"/>
      <c r="R123" s="571"/>
      <c r="S123" s="571"/>
      <c r="T123" s="571"/>
      <c r="U123" s="571"/>
      <c r="V123" s="571"/>
    </row>
    <row r="124" spans="1:22" s="831" customFormat="1" outlineLevel="1" x14ac:dyDescent="0.35">
      <c r="A124" s="835" t="s">
        <v>417</v>
      </c>
      <c r="B124" s="1213" t="s">
        <v>1046</v>
      </c>
      <c r="C124" s="897"/>
      <c r="D124" s="758"/>
      <c r="E124" s="897"/>
      <c r="F124" s="781">
        <v>0</v>
      </c>
      <c r="G124" s="897"/>
      <c r="H124" s="761">
        <v>0</v>
      </c>
      <c r="I124" s="923"/>
      <c r="J124" s="833"/>
      <c r="K124" s="944"/>
      <c r="L124" s="771">
        <v>0</v>
      </c>
      <c r="M124" s="1075"/>
      <c r="N124" s="983">
        <v>0</v>
      </c>
      <c r="O124" s="897"/>
      <c r="P124" s="969">
        <v>0</v>
      </c>
      <c r="Q124" s="897"/>
      <c r="R124" s="571"/>
      <c r="S124" s="571"/>
      <c r="T124" s="571"/>
      <c r="U124" s="571"/>
      <c r="V124" s="571"/>
    </row>
    <row r="125" spans="1:22" s="831" customFormat="1" outlineLevel="1" x14ac:dyDescent="0.35">
      <c r="A125" s="832" t="s">
        <v>418</v>
      </c>
      <c r="B125" s="1211" t="s">
        <v>1047</v>
      </c>
      <c r="C125" s="897"/>
      <c r="D125" s="758"/>
      <c r="E125" s="897"/>
      <c r="F125" s="781"/>
      <c r="G125" s="917"/>
      <c r="H125" s="761"/>
      <c r="I125" s="923"/>
      <c r="J125" s="833"/>
      <c r="K125" s="944"/>
      <c r="L125" s="771">
        <v>0</v>
      </c>
      <c r="M125" s="1075"/>
      <c r="N125" s="983">
        <v>0</v>
      </c>
      <c r="O125" s="897"/>
      <c r="P125" s="969">
        <v>0</v>
      </c>
      <c r="Q125" s="897"/>
      <c r="R125" s="571"/>
      <c r="S125" s="571"/>
      <c r="T125" s="571"/>
      <c r="U125" s="571"/>
      <c r="V125" s="571"/>
    </row>
    <row r="126" spans="1:22" s="831" customFormat="1" outlineLevel="1" x14ac:dyDescent="0.35">
      <c r="A126" s="835" t="s">
        <v>419</v>
      </c>
      <c r="B126" s="1213" t="s">
        <v>1028</v>
      </c>
      <c r="C126" s="897"/>
      <c r="D126" s="758"/>
      <c r="E126" s="897"/>
      <c r="F126" s="781">
        <v>0</v>
      </c>
      <c r="G126" s="897"/>
      <c r="H126" s="761">
        <v>0</v>
      </c>
      <c r="I126" s="923"/>
      <c r="J126" s="833"/>
      <c r="K126" s="944"/>
      <c r="L126" s="771">
        <v>5000</v>
      </c>
      <c r="M126" s="1075"/>
      <c r="N126" s="983">
        <v>5000</v>
      </c>
      <c r="O126" s="897"/>
      <c r="P126" s="969">
        <v>10000</v>
      </c>
      <c r="Q126" s="897"/>
      <c r="R126" s="571"/>
      <c r="S126" s="571"/>
      <c r="T126" s="571"/>
      <c r="U126" s="571"/>
      <c r="V126" s="571"/>
    </row>
    <row r="127" spans="1:22" s="831" customFormat="1" outlineLevel="1" x14ac:dyDescent="0.35">
      <c r="A127" s="832" t="s">
        <v>420</v>
      </c>
      <c r="B127" s="1211" t="s">
        <v>1048</v>
      </c>
      <c r="C127" s="897"/>
      <c r="D127" s="1097">
        <f t="shared" ref="D127:H127" si="35">D4*100</f>
        <v>82000</v>
      </c>
      <c r="E127" s="897"/>
      <c r="F127" s="1092">
        <f t="shared" si="35"/>
        <v>21000</v>
      </c>
      <c r="G127" s="1083">
        <f t="shared" si="35"/>
        <v>0</v>
      </c>
      <c r="H127" s="1090">
        <f t="shared" si="35"/>
        <v>33000</v>
      </c>
      <c r="I127" s="923"/>
      <c r="J127" s="833"/>
      <c r="K127" s="944"/>
      <c r="L127" s="1081">
        <f t="shared" ref="L127:N127" si="36">L4*100</f>
        <v>50000</v>
      </c>
      <c r="M127" s="1083">
        <f t="shared" si="36"/>
        <v>0</v>
      </c>
      <c r="N127" s="1082">
        <f t="shared" si="36"/>
        <v>47500</v>
      </c>
      <c r="O127" s="897"/>
      <c r="P127" s="1084">
        <v>50000</v>
      </c>
      <c r="Q127" s="897"/>
      <c r="R127" s="571"/>
      <c r="S127" s="571"/>
      <c r="T127" s="571"/>
      <c r="U127" s="571"/>
      <c r="V127" s="571"/>
    </row>
    <row r="128" spans="1:22" s="831" customFormat="1" outlineLevel="1" x14ac:dyDescent="0.35">
      <c r="A128" s="832" t="s">
        <v>191</v>
      </c>
      <c r="B128" s="1211" t="s">
        <v>1049</v>
      </c>
      <c r="C128" s="897"/>
      <c r="D128" s="758">
        <v>35000</v>
      </c>
      <c r="E128" s="912"/>
      <c r="F128" s="781">
        <v>10000</v>
      </c>
      <c r="G128" s="917"/>
      <c r="H128" s="761">
        <f>15000+10000</f>
        <v>25000</v>
      </c>
      <c r="I128" s="923"/>
      <c r="J128" s="833"/>
      <c r="K128" s="944"/>
      <c r="L128" s="771">
        <v>15000</v>
      </c>
      <c r="M128" s="1075"/>
      <c r="N128" s="983">
        <v>15000</v>
      </c>
      <c r="O128" s="897"/>
      <c r="P128" s="969">
        <v>0</v>
      </c>
      <c r="Q128" s="897"/>
      <c r="R128" s="571"/>
      <c r="S128" s="571"/>
      <c r="T128" s="571"/>
      <c r="U128" s="571"/>
      <c r="V128" s="571"/>
    </row>
    <row r="129" spans="1:22" s="831" customFormat="1" outlineLevel="1" x14ac:dyDescent="0.35">
      <c r="A129" s="832" t="s">
        <v>421</v>
      </c>
      <c r="B129" s="1211" t="s">
        <v>1050</v>
      </c>
      <c r="C129" s="897"/>
      <c r="D129" s="758">
        <v>150000</v>
      </c>
      <c r="E129" s="912"/>
      <c r="F129" s="781">
        <v>53780</v>
      </c>
      <c r="G129" s="917"/>
      <c r="H129" s="761">
        <v>65000</v>
      </c>
      <c r="I129" s="923"/>
      <c r="J129" s="833"/>
      <c r="K129" s="944"/>
      <c r="L129" s="771">
        <v>100000</v>
      </c>
      <c r="M129" s="1075"/>
      <c r="N129" s="983">
        <v>90000</v>
      </c>
      <c r="O129" s="897"/>
      <c r="P129" s="969">
        <v>0</v>
      </c>
      <c r="Q129" s="897"/>
      <c r="R129" s="571"/>
      <c r="S129" s="571"/>
      <c r="T129" s="571"/>
      <c r="U129" s="571"/>
      <c r="V129" s="571"/>
    </row>
    <row r="130" spans="1:22" s="831" customFormat="1" outlineLevel="1" x14ac:dyDescent="0.35">
      <c r="A130" s="832" t="s">
        <v>193</v>
      </c>
      <c r="B130" s="1211" t="s">
        <v>1051</v>
      </c>
      <c r="C130" s="897"/>
      <c r="D130" s="758"/>
      <c r="E130" s="897"/>
      <c r="F130" s="781">
        <v>0</v>
      </c>
      <c r="G130" s="897"/>
      <c r="H130" s="761">
        <v>550</v>
      </c>
      <c r="I130" s="923"/>
      <c r="J130" s="833"/>
      <c r="K130" s="944"/>
      <c r="L130" s="771">
        <v>0</v>
      </c>
      <c r="M130" s="1075"/>
      <c r="N130" s="983">
        <v>0</v>
      </c>
      <c r="O130" s="897"/>
      <c r="P130" s="969">
        <v>0</v>
      </c>
      <c r="Q130" s="897"/>
      <c r="R130" s="571"/>
      <c r="S130" s="571"/>
      <c r="T130" s="571"/>
      <c r="U130" s="571"/>
      <c r="V130" s="571"/>
    </row>
    <row r="131" spans="1:22" s="831" customFormat="1" outlineLevel="1" x14ac:dyDescent="0.35">
      <c r="A131" s="832" t="s">
        <v>212</v>
      </c>
      <c r="B131" s="1211" t="s">
        <v>1052</v>
      </c>
      <c r="C131" s="897"/>
      <c r="D131" s="758"/>
      <c r="E131" s="897"/>
      <c r="F131" s="781">
        <v>0</v>
      </c>
      <c r="G131" s="897"/>
      <c r="H131" s="761">
        <v>0</v>
      </c>
      <c r="I131" s="923"/>
      <c r="J131" s="833"/>
      <c r="K131" s="944"/>
      <c r="L131" s="771">
        <v>0</v>
      </c>
      <c r="M131" s="1075"/>
      <c r="N131" s="983">
        <v>200000</v>
      </c>
      <c r="O131" s="897"/>
      <c r="P131" s="969">
        <v>0</v>
      </c>
      <c r="Q131" s="897"/>
      <c r="R131" s="571"/>
      <c r="S131" s="571"/>
      <c r="T131" s="571"/>
      <c r="U131" s="571"/>
      <c r="V131" s="571"/>
    </row>
    <row r="132" spans="1:22" s="831" customFormat="1" ht="15" outlineLevel="1" thickBot="1" x14ac:dyDescent="0.4">
      <c r="A132" s="838" t="s">
        <v>422</v>
      </c>
      <c r="B132" s="1227" t="s">
        <v>1053</v>
      </c>
      <c r="C132" s="898"/>
      <c r="D132" s="822">
        <v>30000</v>
      </c>
      <c r="E132" s="898"/>
      <c r="F132" s="818">
        <v>0</v>
      </c>
      <c r="G132" s="898"/>
      <c r="H132" s="761"/>
      <c r="I132" s="923"/>
      <c r="J132" s="837"/>
      <c r="K132" s="945"/>
      <c r="L132" s="820">
        <v>20000</v>
      </c>
      <c r="M132" s="1075"/>
      <c r="N132" s="984">
        <v>20000</v>
      </c>
      <c r="O132" s="898"/>
      <c r="P132" s="971">
        <v>30000</v>
      </c>
      <c r="Q132" s="898"/>
      <c r="R132" s="571"/>
      <c r="S132" s="571"/>
      <c r="T132" s="571"/>
      <c r="U132" s="571"/>
      <c r="V132" s="571"/>
    </row>
    <row r="133" spans="1:22" s="831" customFormat="1" ht="15" outlineLevel="1" thickBot="1" x14ac:dyDescent="0.4">
      <c r="A133" s="875" t="s">
        <v>423</v>
      </c>
      <c r="B133" s="1209"/>
      <c r="C133" s="851">
        <f>SUM(C96:C132)</f>
        <v>0</v>
      </c>
      <c r="D133" s="870">
        <f>SUM(D96:D132)</f>
        <v>576196.41</v>
      </c>
      <c r="E133" s="851"/>
      <c r="F133" s="870">
        <f>SUM(F96:F132)</f>
        <v>199543.39</v>
      </c>
      <c r="G133" s="851"/>
      <c r="H133" s="870">
        <f>SUM(H96:H132)</f>
        <v>296824.18</v>
      </c>
      <c r="I133" s="924"/>
      <c r="J133" s="870"/>
      <c r="K133" s="870"/>
      <c r="L133" s="870">
        <f>SUM(L96:L132)</f>
        <v>379790.1</v>
      </c>
      <c r="M133" s="1075"/>
      <c r="N133" s="870">
        <f>SUM(N96:N132)</f>
        <v>561513.08000000007</v>
      </c>
      <c r="O133" s="851"/>
      <c r="P133" s="870">
        <f>SUM(P96:P132)</f>
        <v>684662.29</v>
      </c>
      <c r="Q133" s="851"/>
      <c r="R133" s="571"/>
      <c r="S133" s="571"/>
      <c r="T133" s="571"/>
      <c r="U133" s="571"/>
      <c r="V133" s="571"/>
    </row>
    <row r="134" spans="1:22" s="762" customFormat="1" ht="15" thickBot="1" x14ac:dyDescent="0.4">
      <c r="A134" t="s">
        <v>424</v>
      </c>
      <c r="B134" s="1210" t="s">
        <v>1054</v>
      </c>
      <c r="C134" s="896"/>
      <c r="D134" s="823">
        <v>80000</v>
      </c>
      <c r="E134" s="911"/>
      <c r="F134" s="786">
        <v>20000</v>
      </c>
      <c r="G134" s="896"/>
      <c r="H134" s="925">
        <v>30000</v>
      </c>
      <c r="I134" s="851"/>
      <c r="J134" s="830"/>
      <c r="K134" s="943"/>
      <c r="L134" s="789">
        <v>60000</v>
      </c>
      <c r="M134" s="1075"/>
      <c r="N134" s="981">
        <v>60000</v>
      </c>
      <c r="O134" s="919"/>
      <c r="P134" s="968">
        <v>120000</v>
      </c>
      <c r="Q134" s="896"/>
      <c r="R134" s="571"/>
      <c r="S134" s="571"/>
      <c r="T134" s="571"/>
      <c r="U134" s="571"/>
      <c r="V134" s="571"/>
    </row>
    <row r="135" spans="1:22" s="831" customFormat="1" outlineLevel="1" x14ac:dyDescent="0.35">
      <c r="A135" s="832" t="s">
        <v>206</v>
      </c>
      <c r="B135" s="1211" t="s">
        <v>1055</v>
      </c>
      <c r="C135" s="897"/>
      <c r="D135" s="758">
        <v>15000</v>
      </c>
      <c r="E135" s="912"/>
      <c r="F135" s="781">
        <v>10000</v>
      </c>
      <c r="G135" s="897"/>
      <c r="H135" s="925">
        <v>15000</v>
      </c>
      <c r="I135" s="922"/>
      <c r="J135" s="833"/>
      <c r="K135" s="944"/>
      <c r="L135" s="771">
        <v>12000</v>
      </c>
      <c r="M135" s="1075"/>
      <c r="N135" s="983">
        <v>12000</v>
      </c>
      <c r="O135" s="897"/>
      <c r="P135" s="969">
        <v>20000</v>
      </c>
      <c r="Q135" s="897"/>
      <c r="R135" s="571"/>
      <c r="S135" s="571"/>
      <c r="T135" s="571"/>
      <c r="U135" s="571"/>
      <c r="V135" s="571"/>
    </row>
    <row r="136" spans="1:22" s="831" customFormat="1" outlineLevel="1" x14ac:dyDescent="0.35">
      <c r="A136" s="835" t="s">
        <v>425</v>
      </c>
      <c r="B136" s="1213" t="s">
        <v>1056</v>
      </c>
      <c r="C136" s="897"/>
      <c r="D136" s="758"/>
      <c r="E136" s="897"/>
      <c r="F136" s="781">
        <v>0</v>
      </c>
      <c r="G136" s="897"/>
      <c r="H136" s="761">
        <v>0</v>
      </c>
      <c r="I136" s="923"/>
      <c r="J136" s="833"/>
      <c r="K136" s="944"/>
      <c r="L136" s="771">
        <v>0</v>
      </c>
      <c r="M136" s="1075"/>
      <c r="N136" s="983">
        <v>0</v>
      </c>
      <c r="O136" s="897"/>
      <c r="P136" s="969">
        <v>0</v>
      </c>
      <c r="Q136" s="897"/>
      <c r="R136" s="571"/>
      <c r="S136" s="571"/>
      <c r="T136" s="571"/>
      <c r="U136" s="571"/>
      <c r="V136" s="571"/>
    </row>
    <row r="137" spans="1:22" s="831" customFormat="1" outlineLevel="1" x14ac:dyDescent="0.35">
      <c r="A137" s="835" t="s">
        <v>426</v>
      </c>
      <c r="B137" s="1213" t="s">
        <v>1057</v>
      </c>
      <c r="C137" s="897"/>
      <c r="D137" s="758"/>
      <c r="E137" s="897"/>
      <c r="F137" s="781">
        <v>0</v>
      </c>
      <c r="G137" s="897"/>
      <c r="H137" s="925">
        <v>0</v>
      </c>
      <c r="I137" s="923"/>
      <c r="J137" s="833"/>
      <c r="K137" s="944"/>
      <c r="L137" s="771">
        <v>0</v>
      </c>
      <c r="M137" s="1075"/>
      <c r="N137" s="983">
        <v>0</v>
      </c>
      <c r="O137" s="897"/>
      <c r="P137" s="969">
        <v>30000</v>
      </c>
      <c r="Q137" s="897"/>
      <c r="R137" s="571"/>
      <c r="S137" s="571"/>
      <c r="T137" s="571"/>
      <c r="U137" s="571"/>
      <c r="V137" s="571"/>
    </row>
    <row r="138" spans="1:22" s="831" customFormat="1" outlineLevel="1" x14ac:dyDescent="0.35">
      <c r="A138" s="832" t="s">
        <v>427</v>
      </c>
      <c r="B138" s="1211" t="s">
        <v>1058</v>
      </c>
      <c r="C138" s="897"/>
      <c r="D138" s="758">
        <v>6975</v>
      </c>
      <c r="E138" s="912"/>
      <c r="F138" s="781">
        <v>0</v>
      </c>
      <c r="G138" s="897"/>
      <c r="H138" s="761">
        <v>3000</v>
      </c>
      <c r="I138" s="923"/>
      <c r="J138" s="833"/>
      <c r="K138" s="944"/>
      <c r="L138" s="771">
        <v>0</v>
      </c>
      <c r="M138" s="1075"/>
      <c r="N138" s="983">
        <v>0</v>
      </c>
      <c r="O138" s="897"/>
      <c r="P138" s="969">
        <v>0</v>
      </c>
      <c r="Q138" s="897"/>
      <c r="R138" s="571"/>
      <c r="S138" s="571"/>
      <c r="T138" s="571"/>
      <c r="U138" s="571"/>
      <c r="V138" s="571"/>
    </row>
    <row r="139" spans="1:22" s="831" customFormat="1" outlineLevel="1" x14ac:dyDescent="0.35">
      <c r="A139" s="832" t="s">
        <v>428</v>
      </c>
      <c r="B139" s="1211" t="s">
        <v>1059</v>
      </c>
      <c r="C139" s="897"/>
      <c r="D139" s="758">
        <f>15597-2651</f>
        <v>12946</v>
      </c>
      <c r="E139" s="912"/>
      <c r="F139" s="781">
        <v>0</v>
      </c>
      <c r="G139" s="897"/>
      <c r="H139" s="761">
        <v>0</v>
      </c>
      <c r="I139" s="923"/>
      <c r="J139" s="833"/>
      <c r="K139" s="944"/>
      <c r="L139" s="771">
        <v>0</v>
      </c>
      <c r="M139" s="1075"/>
      <c r="N139" s="983">
        <v>0</v>
      </c>
      <c r="O139" s="897"/>
      <c r="P139" s="969"/>
      <c r="Q139" s="897"/>
      <c r="R139" s="571"/>
      <c r="S139" s="571"/>
      <c r="T139" s="571"/>
      <c r="U139" s="571"/>
      <c r="V139" s="571"/>
    </row>
    <row r="140" spans="1:22" s="831" customFormat="1" outlineLevel="1" x14ac:dyDescent="0.35">
      <c r="A140" s="832" t="s">
        <v>211</v>
      </c>
      <c r="B140" s="1211" t="s">
        <v>1060</v>
      </c>
      <c r="C140" s="897"/>
      <c r="D140" s="758">
        <v>50000</v>
      </c>
      <c r="E140" s="912"/>
      <c r="F140" s="781">
        <f>10000+5000</f>
        <v>15000</v>
      </c>
      <c r="G140" s="897"/>
      <c r="H140" s="761">
        <f>10000+5000</f>
        <v>15000</v>
      </c>
      <c r="I140" s="923"/>
      <c r="J140" s="833"/>
      <c r="K140" s="944"/>
      <c r="L140" s="771">
        <v>0</v>
      </c>
      <c r="M140" s="1075"/>
      <c r="N140" s="983">
        <v>0</v>
      </c>
      <c r="O140" s="897"/>
      <c r="P140" s="969">
        <v>0</v>
      </c>
      <c r="Q140" s="897"/>
      <c r="R140" s="571"/>
      <c r="S140" s="571"/>
      <c r="T140" s="571"/>
      <c r="U140" s="571"/>
      <c r="V140" s="571"/>
    </row>
    <row r="141" spans="1:22" s="831" customFormat="1" outlineLevel="1" x14ac:dyDescent="0.35">
      <c r="A141" s="832" t="s">
        <v>85</v>
      </c>
      <c r="B141" s="1211" t="s">
        <v>1061</v>
      </c>
      <c r="C141" s="897"/>
      <c r="D141" s="758">
        <v>15000</v>
      </c>
      <c r="E141" s="912"/>
      <c r="F141" s="781">
        <v>1500</v>
      </c>
      <c r="G141" s="897"/>
      <c r="H141" s="761">
        <v>0</v>
      </c>
      <c r="I141" s="923"/>
      <c r="J141" s="833"/>
      <c r="K141" s="944"/>
      <c r="L141" s="771">
        <v>3000</v>
      </c>
      <c r="M141" s="1075"/>
      <c r="N141" s="983">
        <v>3000</v>
      </c>
      <c r="O141" s="897"/>
      <c r="P141" s="969">
        <v>15000</v>
      </c>
      <c r="Q141" s="897"/>
      <c r="R141" s="571"/>
      <c r="S141" s="571"/>
      <c r="T141" s="571"/>
      <c r="U141" s="571"/>
      <c r="V141" s="571"/>
    </row>
    <row r="142" spans="1:22" s="831" customFormat="1" outlineLevel="1" x14ac:dyDescent="0.35">
      <c r="A142" s="832" t="s">
        <v>213</v>
      </c>
      <c r="B142" s="1211" t="s">
        <v>1063</v>
      </c>
      <c r="C142" s="897"/>
      <c r="D142" s="758"/>
      <c r="E142" s="897"/>
      <c r="F142" s="781">
        <v>0</v>
      </c>
      <c r="G142" s="897"/>
      <c r="H142" s="761">
        <v>0</v>
      </c>
      <c r="I142" s="923"/>
      <c r="J142" s="833"/>
      <c r="K142" s="944"/>
      <c r="L142" s="771">
        <v>0</v>
      </c>
      <c r="M142" s="1075"/>
      <c r="N142" s="983">
        <v>0</v>
      </c>
      <c r="O142" s="897"/>
      <c r="P142" s="969">
        <v>0</v>
      </c>
      <c r="Q142" s="897"/>
      <c r="R142" s="571"/>
      <c r="S142" s="571"/>
      <c r="T142" s="571"/>
      <c r="U142" s="571"/>
      <c r="V142" s="571"/>
    </row>
    <row r="143" spans="1:22" s="831" customFormat="1" outlineLevel="1" x14ac:dyDescent="0.35">
      <c r="A143" s="832" t="s">
        <v>214</v>
      </c>
      <c r="B143" s="1211" t="s">
        <v>1062</v>
      </c>
      <c r="C143" s="897"/>
      <c r="D143" s="758"/>
      <c r="E143" s="912"/>
      <c r="F143" s="781">
        <v>0</v>
      </c>
      <c r="G143" s="897"/>
      <c r="H143" s="761">
        <v>0</v>
      </c>
      <c r="I143" s="923"/>
      <c r="J143" s="833"/>
      <c r="K143" s="944"/>
      <c r="L143" s="771">
        <v>0</v>
      </c>
      <c r="M143" s="1075"/>
      <c r="N143" s="983">
        <v>0</v>
      </c>
      <c r="O143" s="897"/>
      <c r="P143" s="969">
        <v>0</v>
      </c>
      <c r="Q143" s="897"/>
      <c r="R143" s="571"/>
      <c r="S143" s="571"/>
      <c r="T143" s="571"/>
      <c r="U143" s="571"/>
      <c r="V143" s="571"/>
    </row>
    <row r="144" spans="1:22" s="831" customFormat="1" outlineLevel="1" x14ac:dyDescent="0.35">
      <c r="A144" s="832" t="s">
        <v>129</v>
      </c>
      <c r="B144" s="1211" t="s">
        <v>1064</v>
      </c>
      <c r="C144" s="897"/>
      <c r="D144" s="758"/>
      <c r="E144" s="912"/>
      <c r="F144" s="781">
        <v>0</v>
      </c>
      <c r="G144" s="917"/>
      <c r="H144" s="761">
        <v>0</v>
      </c>
      <c r="I144" s="923"/>
      <c r="J144" s="833"/>
      <c r="K144" s="944"/>
      <c r="L144" s="771">
        <v>0</v>
      </c>
      <c r="M144" s="1075"/>
      <c r="N144" s="983">
        <v>0</v>
      </c>
      <c r="O144" s="897"/>
      <c r="P144" s="969">
        <v>0</v>
      </c>
      <c r="Q144" s="897"/>
      <c r="R144" s="571"/>
      <c r="S144" s="571"/>
      <c r="T144" s="571"/>
      <c r="U144" s="571"/>
      <c r="V144" s="571"/>
    </row>
    <row r="145" spans="1:22" s="831" customFormat="1" outlineLevel="1" x14ac:dyDescent="0.35">
      <c r="A145" s="832" t="s">
        <v>429</v>
      </c>
      <c r="B145" s="1211" t="s">
        <v>1065</v>
      </c>
      <c r="C145" s="897"/>
      <c r="D145" s="758">
        <f>65000+18000</f>
        <v>83000</v>
      </c>
      <c r="E145" s="912"/>
      <c r="F145" s="781">
        <v>30000</v>
      </c>
      <c r="G145" s="917"/>
      <c r="H145" s="761">
        <v>40000</v>
      </c>
      <c r="I145" s="923"/>
      <c r="J145" s="833"/>
      <c r="K145" s="944"/>
      <c r="L145" s="771">
        <v>60000</v>
      </c>
      <c r="M145" s="1075"/>
      <c r="N145" s="983">
        <v>60000</v>
      </c>
      <c r="O145" s="917"/>
      <c r="P145" s="969">
        <v>120000</v>
      </c>
      <c r="Q145" s="917"/>
      <c r="R145" s="571"/>
      <c r="S145" s="571"/>
      <c r="T145" s="571"/>
      <c r="U145" s="571"/>
      <c r="V145" s="571"/>
    </row>
    <row r="146" spans="1:22" s="831" customFormat="1" outlineLevel="1" x14ac:dyDescent="0.35">
      <c r="A146" s="835" t="s">
        <v>430</v>
      </c>
      <c r="B146" s="1213" t="s">
        <v>1029</v>
      </c>
      <c r="C146" s="897"/>
      <c r="D146" s="758"/>
      <c r="E146" s="897"/>
      <c r="F146" s="781">
        <v>0</v>
      </c>
      <c r="G146" s="897"/>
      <c r="H146" s="761">
        <v>0</v>
      </c>
      <c r="I146" s="923"/>
      <c r="J146" s="833"/>
      <c r="K146" s="944"/>
      <c r="L146" s="771">
        <v>0</v>
      </c>
      <c r="M146" s="1075"/>
      <c r="N146" s="983">
        <v>0</v>
      </c>
      <c r="O146" s="897"/>
      <c r="P146" s="969">
        <v>30000</v>
      </c>
      <c r="Q146" s="897"/>
      <c r="R146" s="571"/>
      <c r="S146" s="571"/>
      <c r="T146" s="571"/>
      <c r="U146" s="571"/>
      <c r="V146" s="571"/>
    </row>
    <row r="147" spans="1:22" s="831" customFormat="1" outlineLevel="1" x14ac:dyDescent="0.35">
      <c r="A147" s="832" t="s">
        <v>67</v>
      </c>
      <c r="B147" s="1211" t="s">
        <v>1066</v>
      </c>
      <c r="C147" s="897"/>
      <c r="D147" s="758">
        <f>48000</f>
        <v>48000</v>
      </c>
      <c r="E147" s="912"/>
      <c r="F147" s="781">
        <v>10000</v>
      </c>
      <c r="G147" s="917"/>
      <c r="H147" s="761">
        <f>34330-10000</f>
        <v>24330</v>
      </c>
      <c r="I147" s="923"/>
      <c r="J147" s="833"/>
      <c r="K147" s="944"/>
      <c r="L147" s="771">
        <v>10000</v>
      </c>
      <c r="M147" s="1075"/>
      <c r="N147" s="983">
        <v>10000</v>
      </c>
      <c r="O147" s="897"/>
      <c r="P147" s="969">
        <v>20000</v>
      </c>
      <c r="Q147" s="897"/>
      <c r="R147" s="571"/>
      <c r="S147" s="571"/>
      <c r="T147" s="571"/>
      <c r="U147" s="571"/>
      <c r="V147" s="571"/>
    </row>
    <row r="148" spans="1:22" s="831" customFormat="1" outlineLevel="1" x14ac:dyDescent="0.35">
      <c r="A148" s="835" t="s">
        <v>431</v>
      </c>
      <c r="B148" s="1213" t="s">
        <v>1067</v>
      </c>
      <c r="C148" s="897"/>
      <c r="D148" s="758"/>
      <c r="E148" s="897"/>
      <c r="F148" s="781">
        <v>0</v>
      </c>
      <c r="G148" s="897"/>
      <c r="H148" s="761">
        <v>0</v>
      </c>
      <c r="I148" s="923"/>
      <c r="J148" s="833"/>
      <c r="K148" s="944"/>
      <c r="L148" s="771">
        <v>0</v>
      </c>
      <c r="M148" s="1075"/>
      <c r="N148" s="983">
        <v>0</v>
      </c>
      <c r="O148" s="897"/>
      <c r="P148" s="969">
        <v>0</v>
      </c>
      <c r="Q148" s="897"/>
      <c r="R148" s="571"/>
      <c r="S148" s="571"/>
      <c r="T148" s="571"/>
      <c r="U148" s="571"/>
      <c r="V148" s="571"/>
    </row>
    <row r="149" spans="1:22" s="831" customFormat="1" outlineLevel="1" x14ac:dyDescent="0.35">
      <c r="A149" s="832" t="s">
        <v>131</v>
      </c>
      <c r="B149" s="1211" t="s">
        <v>1068</v>
      </c>
      <c r="C149" s="897"/>
      <c r="D149" s="758"/>
      <c r="E149" s="897"/>
      <c r="F149" s="781"/>
      <c r="G149" s="897"/>
      <c r="H149" s="761">
        <f>10000-5000-2500</f>
        <v>2500</v>
      </c>
      <c r="I149" s="923"/>
      <c r="J149" s="833"/>
      <c r="K149" s="944"/>
      <c r="L149" s="771">
        <v>0</v>
      </c>
      <c r="M149" s="1075"/>
      <c r="N149" s="983">
        <v>0</v>
      </c>
      <c r="O149" s="897"/>
      <c r="P149" s="969">
        <v>0</v>
      </c>
      <c r="Q149" s="897"/>
      <c r="R149" s="571"/>
      <c r="S149" s="571"/>
      <c r="T149" s="571"/>
      <c r="U149" s="571"/>
      <c r="V149" s="571"/>
    </row>
    <row r="150" spans="1:22" s="831" customFormat="1" outlineLevel="1" x14ac:dyDescent="0.35">
      <c r="A150" s="832" t="s">
        <v>132</v>
      </c>
      <c r="B150" s="1211" t="s">
        <v>1069</v>
      </c>
      <c r="C150" s="897"/>
      <c r="D150" s="758">
        <f>10000-5000</f>
        <v>5000</v>
      </c>
      <c r="E150" s="897"/>
      <c r="F150" s="781">
        <v>2500</v>
      </c>
      <c r="G150" s="897"/>
      <c r="H150" s="761">
        <v>2500</v>
      </c>
      <c r="I150" s="923"/>
      <c r="J150" s="833"/>
      <c r="K150" s="944"/>
      <c r="L150" s="948">
        <v>0</v>
      </c>
      <c r="M150" s="1075"/>
      <c r="N150" s="982">
        <v>0</v>
      </c>
      <c r="O150" s="897"/>
      <c r="P150" s="969">
        <v>40000</v>
      </c>
      <c r="Q150" s="897"/>
      <c r="R150" s="571"/>
      <c r="S150" s="571"/>
      <c r="T150" s="571"/>
      <c r="U150" s="571"/>
      <c r="V150" s="571"/>
    </row>
    <row r="151" spans="1:22" s="831" customFormat="1" outlineLevel="1" x14ac:dyDescent="0.35">
      <c r="A151" s="832" t="s">
        <v>41</v>
      </c>
      <c r="B151" s="1211" t="s">
        <v>1070</v>
      </c>
      <c r="C151" s="897"/>
      <c r="D151" s="1041">
        <v>10450</v>
      </c>
      <c r="E151" s="897"/>
      <c r="F151" s="1041">
        <v>8700</v>
      </c>
      <c r="G151" s="897"/>
      <c r="H151" s="1041">
        <v>6500</v>
      </c>
      <c r="I151" s="923"/>
      <c r="J151" s="833"/>
      <c r="K151" s="944"/>
      <c r="L151" s="948">
        <v>15000</v>
      </c>
      <c r="M151" s="1075"/>
      <c r="N151" s="982">
        <v>15000</v>
      </c>
      <c r="O151" s="897"/>
      <c r="P151" s="969">
        <v>20000</v>
      </c>
      <c r="Q151" s="897"/>
      <c r="R151" s="571"/>
      <c r="S151" s="571"/>
      <c r="T151" s="571"/>
      <c r="U151" s="571"/>
      <c r="V151" s="571"/>
    </row>
    <row r="152" spans="1:22" s="831" customFormat="1" outlineLevel="1" x14ac:dyDescent="0.35">
      <c r="A152" s="832" t="s">
        <v>134</v>
      </c>
      <c r="B152" s="1211" t="s">
        <v>1071</v>
      </c>
      <c r="C152" s="897"/>
      <c r="D152" s="758">
        <v>5000</v>
      </c>
      <c r="E152" s="912"/>
      <c r="F152" s="781">
        <v>0</v>
      </c>
      <c r="G152" s="897"/>
      <c r="H152" s="761"/>
      <c r="I152" s="923"/>
      <c r="J152" s="833"/>
      <c r="K152" s="944"/>
      <c r="L152" s="948">
        <v>0</v>
      </c>
      <c r="M152" s="1075"/>
      <c r="N152" s="982">
        <v>0</v>
      </c>
      <c r="O152" s="897"/>
      <c r="P152" s="969">
        <f>5000+26000+1000</f>
        <v>32000</v>
      </c>
      <c r="Q152" s="897"/>
      <c r="R152" s="571"/>
      <c r="S152" s="571"/>
      <c r="T152" s="571"/>
      <c r="U152" s="571"/>
      <c r="V152" s="571"/>
    </row>
    <row r="153" spans="1:22" s="831" customFormat="1" outlineLevel="1" x14ac:dyDescent="0.35">
      <c r="A153" s="832" t="s">
        <v>135</v>
      </c>
      <c r="B153" s="1211" t="s">
        <v>1072</v>
      </c>
      <c r="C153" s="897"/>
      <c r="D153" s="758">
        <v>1550</v>
      </c>
      <c r="E153" s="912"/>
      <c r="F153" s="781">
        <f>1550+1500</f>
        <v>3050</v>
      </c>
      <c r="G153" s="917"/>
      <c r="H153" s="761">
        <v>3000</v>
      </c>
      <c r="I153" s="923"/>
      <c r="J153" s="833"/>
      <c r="K153" s="944"/>
      <c r="L153" s="948">
        <v>3000</v>
      </c>
      <c r="M153" s="1075"/>
      <c r="N153" s="982">
        <v>3000</v>
      </c>
      <c r="O153" s="917"/>
      <c r="P153" s="969">
        <v>1000</v>
      </c>
      <c r="Q153" s="917"/>
      <c r="R153" s="571"/>
      <c r="S153" s="571"/>
      <c r="T153" s="571"/>
      <c r="U153" s="571"/>
      <c r="V153" s="571"/>
    </row>
    <row r="154" spans="1:22" s="831" customFormat="1" outlineLevel="1" x14ac:dyDescent="0.35">
      <c r="A154" s="835" t="s">
        <v>432</v>
      </c>
      <c r="B154" s="1213" t="s">
        <v>1073</v>
      </c>
      <c r="C154" s="897"/>
      <c r="D154" s="758"/>
      <c r="E154" s="897"/>
      <c r="F154" s="781">
        <v>0</v>
      </c>
      <c r="G154" s="897"/>
      <c r="H154" s="761"/>
      <c r="I154" s="923"/>
      <c r="J154" s="833"/>
      <c r="K154" s="944"/>
      <c r="L154" s="948">
        <v>0</v>
      </c>
      <c r="M154" s="1075"/>
      <c r="N154" s="982">
        <v>0</v>
      </c>
      <c r="O154" s="897"/>
      <c r="P154" s="969">
        <v>0</v>
      </c>
      <c r="Q154" s="897"/>
      <c r="R154" s="571"/>
      <c r="S154" s="571"/>
      <c r="T154" s="571"/>
      <c r="U154" s="571"/>
      <c r="V154" s="571"/>
    </row>
    <row r="155" spans="1:22" s="831" customFormat="1" outlineLevel="1" x14ac:dyDescent="0.35">
      <c r="A155" s="832" t="s">
        <v>433</v>
      </c>
      <c r="B155" s="1211" t="s">
        <v>1074</v>
      </c>
      <c r="C155" s="897"/>
      <c r="D155" s="758">
        <v>22651</v>
      </c>
      <c r="E155" s="897"/>
      <c r="F155" s="781">
        <f>5000+10000</f>
        <v>15000</v>
      </c>
      <c r="G155" s="897"/>
      <c r="H155" s="761">
        <f>5000+1950+2766</f>
        <v>9716</v>
      </c>
      <c r="I155" s="923"/>
      <c r="J155" s="833"/>
      <c r="K155" s="944"/>
      <c r="L155" s="948">
        <v>0</v>
      </c>
      <c r="M155" s="1075"/>
      <c r="N155" s="982">
        <v>0</v>
      </c>
      <c r="O155" s="897"/>
      <c r="P155" s="970">
        <v>0</v>
      </c>
      <c r="Q155" s="897"/>
      <c r="R155" s="571"/>
      <c r="S155" s="571"/>
      <c r="T155" s="571"/>
      <c r="U155" s="571"/>
      <c r="V155" s="571"/>
    </row>
    <row r="156" spans="1:22" s="831" customFormat="1" outlineLevel="1" x14ac:dyDescent="0.35">
      <c r="A156" s="832" t="s">
        <v>434</v>
      </c>
      <c r="B156" s="1211" t="s">
        <v>1075</v>
      </c>
      <c r="C156" s="897"/>
      <c r="D156" s="758">
        <v>13000</v>
      </c>
      <c r="E156" s="912"/>
      <c r="F156" s="781">
        <v>5000</v>
      </c>
      <c r="G156" s="897"/>
      <c r="H156" s="761">
        <f>500+5000</f>
        <v>5500</v>
      </c>
      <c r="I156" s="923"/>
      <c r="J156" s="833"/>
      <c r="K156" s="944"/>
      <c r="L156" s="771">
        <v>5000</v>
      </c>
      <c r="M156" s="1075"/>
      <c r="N156" s="983">
        <v>5000</v>
      </c>
      <c r="O156" s="897"/>
      <c r="P156" s="970">
        <v>15000</v>
      </c>
      <c r="Q156" s="897"/>
      <c r="R156" s="571"/>
      <c r="S156" s="571"/>
      <c r="T156" s="571"/>
      <c r="U156" s="571"/>
      <c r="V156" s="571"/>
    </row>
    <row r="157" spans="1:22" s="831" customFormat="1" outlineLevel="1" x14ac:dyDescent="0.35">
      <c r="A157" s="835" t="s">
        <v>435</v>
      </c>
      <c r="B157" s="1213" t="s">
        <v>1076</v>
      </c>
      <c r="C157" s="897"/>
      <c r="D157" s="758"/>
      <c r="E157" s="897"/>
      <c r="F157" s="781">
        <v>0</v>
      </c>
      <c r="G157" s="897"/>
      <c r="H157" s="761"/>
      <c r="I157" s="923"/>
      <c r="J157" s="607"/>
      <c r="K157" s="1195"/>
      <c r="L157" s="771">
        <v>0</v>
      </c>
      <c r="M157" s="1075"/>
      <c r="N157" s="983">
        <v>0</v>
      </c>
      <c r="O157" s="897"/>
      <c r="P157" s="969">
        <v>0</v>
      </c>
      <c r="Q157" s="897"/>
      <c r="R157" s="571"/>
      <c r="S157" s="571"/>
      <c r="T157" s="571"/>
      <c r="U157" s="571"/>
      <c r="V157" s="571"/>
    </row>
    <row r="158" spans="1:22" s="831" customFormat="1" ht="15" outlineLevel="1" thickBot="1" x14ac:dyDescent="0.4">
      <c r="A158" s="838" t="s">
        <v>436</v>
      </c>
      <c r="B158" s="1227" t="s">
        <v>1077</v>
      </c>
      <c r="C158" s="898"/>
      <c r="D158" s="1181">
        <v>90000</v>
      </c>
      <c r="E158" s="1182"/>
      <c r="F158" s="1041">
        <f>28000+10000</f>
        <v>38000</v>
      </c>
      <c r="G158" s="1183"/>
      <c r="H158" s="1181">
        <v>40000</v>
      </c>
      <c r="I158" s="1184"/>
      <c r="J158" s="837"/>
      <c r="K158" s="945"/>
      <c r="L158" s="1181">
        <v>15000</v>
      </c>
      <c r="M158" s="1075"/>
      <c r="N158" s="983">
        <v>15000</v>
      </c>
      <c r="O158" s="898"/>
      <c r="P158" s="971">
        <v>0</v>
      </c>
      <c r="Q158" s="898"/>
      <c r="R158" s="571"/>
      <c r="S158" s="571"/>
      <c r="T158" s="571"/>
      <c r="U158" s="571"/>
      <c r="V158" s="571"/>
    </row>
    <row r="159" spans="1:22" s="831" customFormat="1" ht="15" outlineLevel="1" thickBot="1" x14ac:dyDescent="0.4">
      <c r="A159" s="875" t="s">
        <v>437</v>
      </c>
      <c r="B159" s="1209"/>
      <c r="C159" s="851">
        <f t="shared" ref="C159:D159" si="37">SUM(C134:C158)</f>
        <v>0</v>
      </c>
      <c r="D159" s="870">
        <f t="shared" si="37"/>
        <v>458572</v>
      </c>
      <c r="E159" s="851"/>
      <c r="F159" s="870">
        <f>SUM(F134:F158)</f>
        <v>158750</v>
      </c>
      <c r="G159" s="851"/>
      <c r="H159" s="870">
        <f>SUM(H134:H158)</f>
        <v>197046</v>
      </c>
      <c r="I159" s="924"/>
      <c r="J159" s="870"/>
      <c r="K159" s="870"/>
      <c r="L159" s="870">
        <f>SUM(L134:L158)</f>
        <v>183000</v>
      </c>
      <c r="M159" s="1075"/>
      <c r="N159" s="870">
        <f>SUM(N134:N158)</f>
        <v>183000</v>
      </c>
      <c r="O159" s="851"/>
      <c r="P159" s="870">
        <f>SUM(P134:P158)</f>
        <v>463000</v>
      </c>
      <c r="Q159" s="851"/>
      <c r="R159" s="571"/>
      <c r="S159" s="571"/>
      <c r="T159" s="571"/>
      <c r="U159" s="571"/>
      <c r="V159" s="571"/>
    </row>
    <row r="160" spans="1:22" s="762" customFormat="1" ht="15" thickBot="1" x14ac:dyDescent="0.4">
      <c r="A160" s="842" t="s">
        <v>438</v>
      </c>
      <c r="B160" s="1228" t="s">
        <v>1079</v>
      </c>
      <c r="C160" s="896"/>
      <c r="D160" s="823"/>
      <c r="E160" s="896"/>
      <c r="F160" s="786">
        <v>0</v>
      </c>
      <c r="G160" s="896"/>
      <c r="H160" s="787">
        <v>0</v>
      </c>
      <c r="I160" s="851"/>
      <c r="J160" s="830"/>
      <c r="K160" s="943"/>
      <c r="L160" s="789">
        <v>5500</v>
      </c>
      <c r="M160" s="1075"/>
      <c r="N160" s="981">
        <v>5500</v>
      </c>
      <c r="O160" s="896"/>
      <c r="P160" s="1186">
        <f>29000+19068</f>
        <v>48068</v>
      </c>
      <c r="Q160" s="896"/>
      <c r="R160" s="571"/>
      <c r="S160" s="571"/>
      <c r="T160" s="571"/>
      <c r="U160" s="571"/>
      <c r="V160" s="571"/>
    </row>
    <row r="161" spans="1:22" s="831" customFormat="1" outlineLevel="1" x14ac:dyDescent="0.35">
      <c r="A161" s="832" t="s">
        <v>139</v>
      </c>
      <c r="B161" s="1211" t="s">
        <v>1080</v>
      </c>
      <c r="C161" s="897"/>
      <c r="D161" s="758">
        <v>0</v>
      </c>
      <c r="E161" s="912"/>
      <c r="F161" s="781">
        <v>0</v>
      </c>
      <c r="G161" s="897"/>
      <c r="H161" s="761">
        <v>0</v>
      </c>
      <c r="I161" s="922"/>
      <c r="J161" s="833"/>
      <c r="K161" s="944"/>
      <c r="L161" s="771">
        <v>0</v>
      </c>
      <c r="M161" s="1075"/>
      <c r="N161" s="983">
        <v>0</v>
      </c>
      <c r="O161" s="897"/>
      <c r="P161" s="969">
        <v>0</v>
      </c>
      <c r="Q161" s="897"/>
      <c r="R161" s="571"/>
      <c r="S161" s="571"/>
      <c r="T161" s="571"/>
      <c r="U161" s="571"/>
      <c r="V161" s="571"/>
    </row>
    <row r="162" spans="1:22" s="831" customFormat="1" outlineLevel="1" x14ac:dyDescent="0.35">
      <c r="A162" s="868" t="s">
        <v>143</v>
      </c>
      <c r="B162" s="1223" t="s">
        <v>1081</v>
      </c>
      <c r="C162" s="897"/>
      <c r="D162" s="758">
        <v>275000</v>
      </c>
      <c r="E162" s="912"/>
      <c r="F162" s="781">
        <v>66000</v>
      </c>
      <c r="G162" s="917"/>
      <c r="H162" s="761">
        <v>70000</v>
      </c>
      <c r="I162" s="923"/>
      <c r="J162" s="833"/>
      <c r="K162" s="944"/>
      <c r="L162" s="771">
        <v>100000</v>
      </c>
      <c r="M162" s="1075"/>
      <c r="N162" s="983">
        <v>124925</v>
      </c>
      <c r="O162" s="897"/>
      <c r="P162" s="969">
        <v>380000</v>
      </c>
      <c r="Q162" s="897"/>
      <c r="R162" s="571"/>
      <c r="S162" s="571"/>
      <c r="T162" s="571"/>
      <c r="U162" s="571"/>
      <c r="V162" s="571"/>
    </row>
    <row r="163" spans="1:22" s="831" customFormat="1" outlineLevel="1" x14ac:dyDescent="0.35">
      <c r="A163" s="868" t="s">
        <v>439</v>
      </c>
      <c r="B163" s="1223" t="s">
        <v>1082</v>
      </c>
      <c r="C163" s="897"/>
      <c r="D163" s="758">
        <v>7000</v>
      </c>
      <c r="E163" s="912"/>
      <c r="F163" s="781">
        <f>5500+5000</f>
        <v>10500</v>
      </c>
      <c r="G163" s="917"/>
      <c r="H163" s="761">
        <v>2100</v>
      </c>
      <c r="I163" s="923"/>
      <c r="J163" s="833"/>
      <c r="K163" s="944"/>
      <c r="L163" s="771">
        <v>0</v>
      </c>
      <c r="M163" s="1075"/>
      <c r="N163" s="983">
        <v>0</v>
      </c>
      <c r="O163" s="897"/>
      <c r="P163" s="969">
        <v>0</v>
      </c>
      <c r="Q163" s="897"/>
      <c r="R163" s="571"/>
      <c r="S163" s="571"/>
      <c r="T163" s="571"/>
      <c r="U163" s="571"/>
      <c r="V163" s="571"/>
    </row>
    <row r="164" spans="1:22" s="831" customFormat="1" outlineLevel="1" x14ac:dyDescent="0.35">
      <c r="A164" s="868" t="s">
        <v>144</v>
      </c>
      <c r="B164" s="1223" t="s">
        <v>1083</v>
      </c>
      <c r="C164" s="897"/>
      <c r="D164" s="758">
        <v>25000</v>
      </c>
      <c r="E164" s="912"/>
      <c r="F164" s="781">
        <v>5750</v>
      </c>
      <c r="G164" s="917"/>
      <c r="H164" s="761">
        <v>6000</v>
      </c>
      <c r="I164" s="923"/>
      <c r="J164" s="833"/>
      <c r="K164" s="944"/>
      <c r="L164" s="771">
        <v>0</v>
      </c>
      <c r="M164" s="1075"/>
      <c r="N164" s="983">
        <v>0</v>
      </c>
      <c r="O164" s="897"/>
      <c r="P164" s="969">
        <v>0</v>
      </c>
      <c r="Q164" s="897"/>
      <c r="R164" s="571"/>
      <c r="S164" s="571"/>
      <c r="T164" s="571"/>
      <c r="U164" s="571"/>
      <c r="V164" s="571"/>
    </row>
    <row r="165" spans="1:22" s="831" customFormat="1" outlineLevel="1" x14ac:dyDescent="0.35">
      <c r="A165" s="868" t="s">
        <v>152</v>
      </c>
      <c r="B165" s="1223" t="s">
        <v>1084</v>
      </c>
      <c r="C165" s="897"/>
      <c r="D165" s="758">
        <f>1500+5000+10000</f>
        <v>16500</v>
      </c>
      <c r="E165" s="912"/>
      <c r="F165" s="916"/>
      <c r="G165" s="897"/>
      <c r="H165" s="761">
        <v>0</v>
      </c>
      <c r="I165" s="923"/>
      <c r="J165" s="833"/>
      <c r="K165" s="944"/>
      <c r="L165" s="771">
        <v>0</v>
      </c>
      <c r="M165" s="1075"/>
      <c r="N165" s="983">
        <v>0</v>
      </c>
      <c r="O165" s="897"/>
      <c r="P165" s="969">
        <v>0</v>
      </c>
      <c r="Q165" s="897"/>
      <c r="R165" s="571"/>
      <c r="S165" s="571"/>
      <c r="T165" s="571"/>
      <c r="U165" s="571"/>
      <c r="V165" s="571"/>
    </row>
    <row r="166" spans="1:22" s="831" customFormat="1" outlineLevel="1" x14ac:dyDescent="0.35">
      <c r="A166" s="868" t="s">
        <v>146</v>
      </c>
      <c r="B166" s="1223" t="s">
        <v>1085</v>
      </c>
      <c r="C166" s="897"/>
      <c r="D166" s="758"/>
      <c r="E166" s="897"/>
      <c r="F166" s="916">
        <f>8000-3000</f>
        <v>5000</v>
      </c>
      <c r="G166" s="917"/>
      <c r="H166" s="761">
        <v>20000</v>
      </c>
      <c r="I166" s="923"/>
      <c r="J166" s="833"/>
      <c r="K166" s="944"/>
      <c r="L166" s="771">
        <v>60000</v>
      </c>
      <c r="M166" s="1075"/>
      <c r="N166" s="983">
        <v>60000</v>
      </c>
      <c r="O166" s="897"/>
      <c r="P166" s="969">
        <v>0</v>
      </c>
      <c r="Q166" s="897"/>
      <c r="R166" s="571"/>
      <c r="S166" s="571"/>
      <c r="T166" s="571"/>
      <c r="U166" s="571"/>
      <c r="V166" s="571"/>
    </row>
    <row r="167" spans="1:22" s="831" customFormat="1" outlineLevel="1" x14ac:dyDescent="0.35">
      <c r="A167" s="832" t="s">
        <v>147</v>
      </c>
      <c r="B167" s="1226" t="s">
        <v>440</v>
      </c>
      <c r="C167" s="897"/>
      <c r="D167" s="758">
        <v>40000</v>
      </c>
      <c r="E167" s="912"/>
      <c r="F167" s="916">
        <f>10000+3000</f>
        <v>13000</v>
      </c>
      <c r="G167" s="917"/>
      <c r="H167" s="761">
        <v>10000</v>
      </c>
      <c r="I167" s="923"/>
      <c r="J167" s="833"/>
      <c r="K167" s="944"/>
      <c r="L167" s="771">
        <v>0</v>
      </c>
      <c r="M167" s="1075"/>
      <c r="N167" s="983">
        <v>0</v>
      </c>
      <c r="O167" s="897"/>
      <c r="P167" s="969">
        <v>0</v>
      </c>
      <c r="Q167" s="897"/>
      <c r="R167" s="571"/>
      <c r="S167" s="571"/>
      <c r="T167" s="571"/>
      <c r="U167" s="571"/>
      <c r="V167" s="571"/>
    </row>
    <row r="168" spans="1:22" s="831" customFormat="1" outlineLevel="1" x14ac:dyDescent="0.35">
      <c r="A168" s="832" t="s">
        <v>441</v>
      </c>
      <c r="B168" s="1211" t="s">
        <v>1078</v>
      </c>
      <c r="C168" s="897"/>
      <c r="D168" s="758" cm="1">
        <f t="array" ref="D168:E168">+'Leases &amp; Debt'!K3:L3+'Leases &amp; Debt'!K10:L10+'Leases &amp; Debt'!K13:L13</f>
        <v>2093803.6799999997</v>
      </c>
      <c r="E168" s="912">
        <v>0</v>
      </c>
      <c r="F168" s="781">
        <v>287763</v>
      </c>
      <c r="G168" s="917"/>
      <c r="H168" s="761">
        <f>'Leases &amp; Debt'!I15</f>
        <v>522035</v>
      </c>
      <c r="I168" s="923"/>
      <c r="J168" s="833"/>
      <c r="K168" s="944"/>
      <c r="L168" s="771">
        <v>0</v>
      </c>
      <c r="M168" s="1075"/>
      <c r="N168" s="983">
        <v>0</v>
      </c>
      <c r="O168" s="897"/>
      <c r="P168" s="969">
        <v>0</v>
      </c>
      <c r="Q168" s="897"/>
      <c r="R168" s="571"/>
      <c r="S168" s="571"/>
      <c r="T168" s="571"/>
      <c r="U168" s="571"/>
      <c r="V168" s="571"/>
    </row>
    <row r="169" spans="1:22" s="831" customFormat="1" outlineLevel="1" x14ac:dyDescent="0.35">
      <c r="A169" s="832" t="s">
        <v>442</v>
      </c>
      <c r="B169" s="1211" t="s">
        <v>1086</v>
      </c>
      <c r="C169" s="897"/>
      <c r="D169" s="758">
        <v>388154</v>
      </c>
      <c r="E169" s="912"/>
      <c r="F169" s="781">
        <v>0</v>
      </c>
      <c r="G169" s="897"/>
      <c r="H169" s="1154" cm="1">
        <f t="array" ref="H169:I169">+'Leases &amp; Debt'!K16:L16</f>
        <v>1394372</v>
      </c>
      <c r="I169" s="923">
        <v>0</v>
      </c>
      <c r="J169" s="833"/>
      <c r="K169" s="944"/>
      <c r="L169" s="771">
        <v>0</v>
      </c>
      <c r="M169" s="1075"/>
      <c r="N169" s="983">
        <v>0</v>
      </c>
      <c r="O169" s="897"/>
      <c r="P169" s="969">
        <v>0</v>
      </c>
      <c r="Q169" s="897"/>
      <c r="R169" s="571"/>
      <c r="S169" s="571"/>
      <c r="T169" s="571"/>
      <c r="U169" s="571"/>
      <c r="V169" s="571"/>
    </row>
    <row r="170" spans="1:22" s="831" customFormat="1" ht="15" outlineLevel="1" thickBot="1" x14ac:dyDescent="0.4">
      <c r="A170" s="838" t="s">
        <v>142</v>
      </c>
      <c r="B170" s="1227" t="s">
        <v>1087</v>
      </c>
      <c r="C170" s="898"/>
      <c r="D170" s="906">
        <v>10000</v>
      </c>
      <c r="E170" s="913"/>
      <c r="F170" s="818">
        <v>10661.01</v>
      </c>
      <c r="G170" s="898"/>
      <c r="H170" s="819">
        <v>5587.003333333334</v>
      </c>
      <c r="I170" s="923"/>
      <c r="J170" s="837"/>
      <c r="K170" s="936"/>
      <c r="L170" s="820"/>
      <c r="M170" s="1075"/>
      <c r="N170" s="984"/>
      <c r="O170" s="898"/>
      <c r="P170" s="971">
        <v>0</v>
      </c>
      <c r="Q170" s="898"/>
      <c r="R170" s="571"/>
      <c r="S170" s="571"/>
      <c r="T170" s="571"/>
      <c r="U170" s="571"/>
      <c r="V170" s="571"/>
    </row>
    <row r="171" spans="1:22" s="831" customFormat="1" ht="15" outlineLevel="1" thickBot="1" x14ac:dyDescent="0.4">
      <c r="A171" s="876" t="s">
        <v>443</v>
      </c>
      <c r="B171" s="1220"/>
      <c r="C171" s="854">
        <f t="shared" ref="C171" si="38">SUM(C160:C170)</f>
        <v>0</v>
      </c>
      <c r="D171" s="873">
        <f t="shared" ref="D171" si="39">SUM(D160:D170)</f>
        <v>2855457.6799999997</v>
      </c>
      <c r="E171" s="854"/>
      <c r="F171" s="873">
        <f t="shared" ref="F171" si="40">SUM(F160:F170)</f>
        <v>398674.01</v>
      </c>
      <c r="G171" s="854"/>
      <c r="H171" s="873">
        <f t="shared" ref="H171" si="41">SUM(H160:H170)</f>
        <v>2030094.0033333334</v>
      </c>
      <c r="I171" s="884"/>
      <c r="J171" s="873"/>
      <c r="K171" s="873"/>
      <c r="L171" s="873">
        <f t="shared" ref="L171:N171" si="42">SUM(L160:L170)</f>
        <v>165500</v>
      </c>
      <c r="M171" s="1075"/>
      <c r="N171" s="873">
        <f t="shared" si="42"/>
        <v>190425</v>
      </c>
      <c r="O171" s="854"/>
      <c r="P171" s="873">
        <f t="shared" ref="P171" si="43">SUM(P160:P170)</f>
        <v>428068</v>
      </c>
      <c r="Q171" s="854"/>
      <c r="R171" s="571"/>
      <c r="S171" s="571"/>
      <c r="T171" s="571"/>
      <c r="U171" s="571"/>
      <c r="V171" s="571"/>
    </row>
    <row r="172" spans="1:22" s="762" customFormat="1" ht="19" thickBot="1" x14ac:dyDescent="0.5">
      <c r="A172" s="877" t="s">
        <v>444</v>
      </c>
      <c r="B172" s="1229"/>
      <c r="C172" s="855">
        <f>C171+C159+C133+C95+C82</f>
        <v>0</v>
      </c>
      <c r="D172" s="828">
        <f>D171+D159+D133+D95+D82</f>
        <v>13203693.838266667</v>
      </c>
      <c r="E172" s="855"/>
      <c r="F172" s="828">
        <f>F171+F159+F133+F95+F82</f>
        <v>3708510.4980000001</v>
      </c>
      <c r="G172" s="855"/>
      <c r="H172" s="828">
        <f>H171+H159+H133+H95+H82</f>
        <v>6662348.3203333337</v>
      </c>
      <c r="I172" s="854"/>
      <c r="J172" s="828"/>
      <c r="K172" s="828"/>
      <c r="L172" s="828">
        <f>L171+L159+L133+L95+L82</f>
        <v>6297587.5198666658</v>
      </c>
      <c r="M172" s="1075"/>
      <c r="N172" s="828">
        <f>N171+N159+N133+N95+N82</f>
        <v>6256523.6438533328</v>
      </c>
      <c r="O172" s="855"/>
      <c r="P172" s="828">
        <f>P171+P159+P133+P95+P82</f>
        <v>15359039.405306667</v>
      </c>
      <c r="Q172" s="855"/>
      <c r="R172" s="571"/>
      <c r="S172" s="571"/>
      <c r="T172" s="571"/>
      <c r="U172" s="571"/>
      <c r="V172" s="571"/>
    </row>
    <row r="173" spans="1:22" s="863" customFormat="1" ht="19" thickBot="1" x14ac:dyDescent="0.5">
      <c r="A173" s="821"/>
      <c r="B173" s="1230"/>
      <c r="C173" s="867"/>
      <c r="D173" s="773"/>
      <c r="E173" s="867"/>
      <c r="F173" s="773"/>
      <c r="G173" s="867"/>
      <c r="H173" s="773"/>
      <c r="I173" s="855"/>
      <c r="J173" s="773"/>
      <c r="K173" s="938"/>
      <c r="L173" s="773"/>
      <c r="M173" s="1075"/>
      <c r="N173" s="773"/>
      <c r="O173" s="867"/>
      <c r="P173" s="773"/>
      <c r="Q173" s="867"/>
      <c r="R173" s="865"/>
      <c r="S173" s="865"/>
      <c r="T173" s="865"/>
      <c r="U173" s="865"/>
      <c r="V173" s="865"/>
    </row>
    <row r="174" spans="1:22" s="862" customFormat="1" ht="17.25" customHeight="1" x14ac:dyDescent="0.35">
      <c r="A174" s="798" t="s">
        <v>445</v>
      </c>
      <c r="B174" s="1231"/>
      <c r="C174" s="899"/>
      <c r="D174" s="646">
        <f>D57-D172</f>
        <v>-730797.02226666734</v>
      </c>
      <c r="E174" s="899"/>
      <c r="F174" s="782">
        <f>F57-F172</f>
        <v>198114.48199999984</v>
      </c>
      <c r="G174" s="899"/>
      <c r="H174" s="774">
        <f>H57-H172</f>
        <v>55093.049666665494</v>
      </c>
      <c r="I174" s="885"/>
      <c r="J174" s="775"/>
      <c r="K174" s="946"/>
      <c r="L174" s="783">
        <f>L57-L172</f>
        <v>144037.13213333394</v>
      </c>
      <c r="M174" s="1075"/>
      <c r="N174" s="976">
        <f>N57-N172</f>
        <v>79675.89334666729</v>
      </c>
      <c r="O174" s="899"/>
      <c r="P174" s="972">
        <f>P57-P172</f>
        <v>370143.08109333366</v>
      </c>
      <c r="Q174" s="899"/>
      <c r="R174" s="865"/>
      <c r="S174" s="865"/>
      <c r="T174" s="865"/>
      <c r="U174" s="865"/>
      <c r="V174" s="865"/>
    </row>
    <row r="175" spans="1:22" s="693" customFormat="1" ht="15.5" x14ac:dyDescent="0.35">
      <c r="A175" s="799" t="s">
        <v>446</v>
      </c>
      <c r="B175" s="1232"/>
      <c r="C175" s="900"/>
      <c r="D175" s="1096">
        <v>2158260</v>
      </c>
      <c r="E175" s="899"/>
      <c r="F175" s="1087">
        <v>87716</v>
      </c>
      <c r="G175" s="900"/>
      <c r="H175" s="1087">
        <v>145545</v>
      </c>
      <c r="I175" s="886"/>
      <c r="J175" s="772"/>
      <c r="K175" s="933"/>
      <c r="L175" s="652"/>
      <c r="M175" s="1075"/>
      <c r="N175" s="977"/>
      <c r="O175" s="900"/>
      <c r="P175" s="1087">
        <v>966984</v>
      </c>
      <c r="Q175" s="900"/>
      <c r="R175" s="865"/>
      <c r="S175" s="865"/>
      <c r="T175" s="865"/>
      <c r="U175" s="865"/>
      <c r="V175" s="865"/>
    </row>
    <row r="176" spans="1:22" s="572" customFormat="1" ht="15" thickBot="1" x14ac:dyDescent="0.4">
      <c r="A176" s="800" t="s">
        <v>447</v>
      </c>
      <c r="B176" s="1233"/>
      <c r="C176" s="901"/>
      <c r="D176" s="790">
        <f>D174+D175</f>
        <v>1427462.9777333327</v>
      </c>
      <c r="E176" s="914"/>
      <c r="F176" s="790">
        <f>F174+F175</f>
        <v>285830.48199999984</v>
      </c>
      <c r="G176" s="901"/>
      <c r="H176" s="790">
        <f>H174+H175</f>
        <v>200638.04966666549</v>
      </c>
      <c r="I176" s="883"/>
      <c r="J176" s="793"/>
      <c r="K176" s="947"/>
      <c r="L176" s="790">
        <f>L174+L175</f>
        <v>144037.13213333394</v>
      </c>
      <c r="M176" s="1075"/>
      <c r="N176" s="790">
        <f>N174+N175</f>
        <v>79675.89334666729</v>
      </c>
      <c r="O176" s="901"/>
      <c r="P176" s="790">
        <f>P174+P175</f>
        <v>1337127.0810933337</v>
      </c>
      <c r="Q176" s="901"/>
      <c r="R176" s="571"/>
      <c r="S176" s="571"/>
      <c r="T176" s="571"/>
      <c r="U176" s="571"/>
      <c r="V176" s="571"/>
    </row>
    <row r="177" spans="1:22" s="572" customFormat="1" ht="15" thickBot="1" x14ac:dyDescent="0.4">
      <c r="A177" s="878" t="s">
        <v>448</v>
      </c>
      <c r="B177" s="1234"/>
      <c r="C177" s="856"/>
      <c r="D177" s="845">
        <f>0.03*D57</f>
        <v>374186.90447999997</v>
      </c>
      <c r="E177" s="856"/>
      <c r="F177" s="846">
        <f>0.03*(F57-F54)</f>
        <v>117198.7494</v>
      </c>
      <c r="G177" s="856"/>
      <c r="H177" s="848">
        <f>0.03*(H57-H54)</f>
        <v>141823.24109999996</v>
      </c>
      <c r="I177" s="887"/>
      <c r="J177" s="824"/>
      <c r="K177" s="825"/>
      <c r="L177" s="961" t="s">
        <v>449</v>
      </c>
      <c r="M177" s="1075"/>
      <c r="N177" s="979" t="s">
        <v>449</v>
      </c>
      <c r="O177" s="856"/>
      <c r="P177" s="974" t="s">
        <v>449</v>
      </c>
      <c r="Q177" s="856"/>
      <c r="R177" s="571"/>
      <c r="S177" s="571"/>
      <c r="T177" s="571"/>
      <c r="U177" s="571"/>
      <c r="V177" s="571"/>
    </row>
    <row r="178" spans="1:22" s="572" customFormat="1" ht="15" thickBot="1" x14ac:dyDescent="0.4">
      <c r="A178" s="879" t="s">
        <v>450</v>
      </c>
      <c r="B178" s="1235"/>
      <c r="C178" s="858"/>
      <c r="D178" s="907">
        <f>0.01*D57</f>
        <v>124728.96816</v>
      </c>
      <c r="E178" s="858"/>
      <c r="F178" s="847">
        <f>0.01*(F57-F54)</f>
        <v>39066.249799999998</v>
      </c>
      <c r="G178" s="858"/>
      <c r="H178" s="849">
        <f>0.01*(H57-H54)</f>
        <v>47274.41369999999</v>
      </c>
      <c r="I178" s="856"/>
      <c r="J178" s="826"/>
      <c r="K178" s="827"/>
      <c r="L178" s="962" t="s">
        <v>449</v>
      </c>
      <c r="M178" s="1075"/>
      <c r="N178" s="980" t="s">
        <v>449</v>
      </c>
      <c r="O178" s="858"/>
      <c r="P178" s="975" t="s">
        <v>449</v>
      </c>
      <c r="Q178" s="858"/>
      <c r="R178" s="571"/>
      <c r="S178" s="571"/>
      <c r="T178" s="571"/>
      <c r="U178" s="571"/>
      <c r="V178" s="571"/>
    </row>
    <row r="179" spans="1:22" s="572" customFormat="1" ht="15" thickBot="1" x14ac:dyDescent="0.4">
      <c r="A179" s="1031" t="s">
        <v>451</v>
      </c>
      <c r="B179" s="1236"/>
      <c r="C179" s="1032"/>
      <c r="D179" s="1033">
        <f t="shared" ref="D179:G179" si="44">(D174+D175)-(D177+D178)</f>
        <v>928547.10509333271</v>
      </c>
      <c r="E179" s="1032">
        <f t="shared" si="44"/>
        <v>0</v>
      </c>
      <c r="F179" s="1034">
        <f>(F174+F175)-(F177+F178)</f>
        <v>129565.48279999985</v>
      </c>
      <c r="G179" s="1032">
        <f t="shared" si="44"/>
        <v>0</v>
      </c>
      <c r="H179" s="1035">
        <f>(H174+H175)-(H177+H178)</f>
        <v>11540.394866665534</v>
      </c>
      <c r="I179" s="858"/>
      <c r="J179" s="1036"/>
      <c r="K179" s="1037"/>
      <c r="L179" s="1038">
        <f>L176</f>
        <v>144037.13213333394</v>
      </c>
      <c r="M179" s="1075"/>
      <c r="N179" s="1040">
        <f>N176</f>
        <v>79675.89334666729</v>
      </c>
      <c r="O179" s="1032"/>
      <c r="P179" s="1039">
        <f>P176</f>
        <v>1337127.0810933337</v>
      </c>
      <c r="Q179" s="1032"/>
      <c r="R179" s="571"/>
      <c r="S179" s="571"/>
      <c r="T179" s="571"/>
      <c r="U179" s="571"/>
      <c r="V179" s="571"/>
    </row>
    <row r="180" spans="1:22" s="572" customFormat="1" ht="15" thickBot="1" x14ac:dyDescent="0.4">
      <c r="A180" s="571"/>
      <c r="B180" s="1237"/>
      <c r="C180" s="571"/>
      <c r="D180" s="571"/>
      <c r="E180" s="571"/>
      <c r="F180" s="571"/>
      <c r="G180" s="571"/>
      <c r="H180" s="571"/>
      <c r="I180" s="1196"/>
      <c r="J180" s="571"/>
      <c r="K180" s="571"/>
      <c r="L180" s="571"/>
      <c r="M180"/>
      <c r="N180" s="571"/>
      <c r="O180" s="571"/>
      <c r="P180" s="571"/>
      <c r="Q180" s="571"/>
      <c r="R180" s="571"/>
      <c r="S180" s="571"/>
      <c r="T180" s="571"/>
      <c r="U180" s="571"/>
      <c r="V180" s="571"/>
    </row>
    <row r="183" spans="1:22" x14ac:dyDescent="0.35">
      <c r="C183" s="571">
        <f t="shared" ref="C183:Q183" si="45">+C57-C172</f>
        <v>0</v>
      </c>
      <c r="D183" s="571">
        <f t="shared" si="45"/>
        <v>-730797.02226666734</v>
      </c>
      <c r="E183" s="571">
        <f t="shared" si="45"/>
        <v>0</v>
      </c>
      <c r="F183" s="571">
        <f t="shared" si="45"/>
        <v>198114.48199999984</v>
      </c>
      <c r="G183" s="571">
        <f t="shared" si="45"/>
        <v>0</v>
      </c>
      <c r="H183" s="571">
        <f t="shared" si="45"/>
        <v>55093.049666665494</v>
      </c>
      <c r="I183" s="571">
        <f t="shared" si="45"/>
        <v>0</v>
      </c>
      <c r="J183" s="571">
        <f t="shared" si="45"/>
        <v>0</v>
      </c>
      <c r="K183" s="571">
        <f t="shared" si="45"/>
        <v>0</v>
      </c>
      <c r="L183" s="571">
        <f t="shared" si="45"/>
        <v>144037.13213333394</v>
      </c>
      <c r="M183" s="571">
        <f t="shared" si="45"/>
        <v>0</v>
      </c>
      <c r="N183" s="571">
        <f t="shared" si="45"/>
        <v>79675.89334666729</v>
      </c>
      <c r="O183" s="571">
        <f t="shared" si="45"/>
        <v>0</v>
      </c>
      <c r="P183" s="571">
        <f t="shared" si="45"/>
        <v>370143.08109333366</v>
      </c>
      <c r="Q183" s="571">
        <f t="shared" si="45"/>
        <v>0</v>
      </c>
    </row>
  </sheetData>
  <protectedRanges>
    <protectedRange algorithmName="SHA-512" hashValue="sib5Nlt62x8Cjehj5QpvQOfZQRWFyVXdW4ymlOfnLMMNdxZw1XVdONARla6+9R164l5kN77+d8cnUihMlL+w0A==" saltValue="TiYlffcKhraV9z9Br0ykmA==" spinCount="100000" sqref="E59 E62 E70 E96 E101 E103 E108 E114 E117:E118 E128:E129 E134:E135 E138:E141 E143:E145 E147 E152:E153 E156 E158 E161:E165 E167:E170 E84:E93 E64:E66 D11:E13 D47:E51 D15:E45 D173:H173 E73:E75 J173:Q173 I174" name="Range1_3"/>
  </protectedRanges>
  <pageMargins left="0.25" right="0.2" top="0.75" bottom="0.75" header="0.3" footer="0.3"/>
  <pageSetup paperSize="3" scale="67" fitToHeight="0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2C38-3EA8-419B-AC44-F2FEFD58E317}">
  <sheetPr>
    <tabColor theme="1"/>
  </sheetPr>
  <dimension ref="A1:S64"/>
  <sheetViews>
    <sheetView topLeftCell="A4" workbookViewId="0">
      <selection activeCell="F41" sqref="F41"/>
    </sheetView>
  </sheetViews>
  <sheetFormatPr defaultColWidth="9.1796875" defaultRowHeight="14.5" x14ac:dyDescent="0.35"/>
  <cols>
    <col min="1" max="1" width="9.54296875" style="620" bestFit="1" customWidth="1"/>
    <col min="2" max="3" width="9.1796875" style="620"/>
    <col min="4" max="4" width="15.453125" style="620" customWidth="1"/>
    <col min="5" max="8" width="12.54296875" style="620" bestFit="1" customWidth="1"/>
    <col min="9" max="9" width="10" style="620" bestFit="1" customWidth="1"/>
    <col min="10" max="10" width="11.54296875" style="620" bestFit="1" customWidth="1"/>
    <col min="11" max="11" width="10" style="620" bestFit="1" customWidth="1"/>
    <col min="12" max="12" width="11.54296875" style="620" bestFit="1" customWidth="1"/>
    <col min="13" max="13" width="7" style="620" customWidth="1"/>
    <col min="14" max="14" width="11.54296875" style="620" bestFit="1" customWidth="1"/>
    <col min="15" max="16" width="7.26953125" style="620" customWidth="1"/>
    <col min="17" max="17" width="6.1796875" style="620" customWidth="1"/>
    <col min="18" max="18" width="11.54296875" style="620" bestFit="1" customWidth="1"/>
    <col min="19" max="19" width="12.54296875" style="620" bestFit="1" customWidth="1"/>
    <col min="20" max="16384" width="9.1796875" style="620"/>
  </cols>
  <sheetData>
    <row r="1" spans="1:19" ht="15.5" x14ac:dyDescent="0.35">
      <c r="A1" s="619" t="s">
        <v>858</v>
      </c>
    </row>
    <row r="2" spans="1:19" ht="15.5" x14ac:dyDescent="0.35">
      <c r="A2" s="619" t="s">
        <v>859</v>
      </c>
      <c r="E2" s="621">
        <f>E10/12</f>
        <v>31457.291666666668</v>
      </c>
      <c r="F2" s="621">
        <f>F10/12</f>
        <v>53790.159999999996</v>
      </c>
    </row>
    <row r="3" spans="1:19" ht="15.5" x14ac:dyDescent="0.35">
      <c r="A3" s="622">
        <v>44772</v>
      </c>
      <c r="E3" s="621">
        <f>E2*6</f>
        <v>188743.75</v>
      </c>
      <c r="F3" s="621">
        <f>F2*6</f>
        <v>322740.95999999996</v>
      </c>
      <c r="G3" s="621">
        <f>SUM(E3:F3)</f>
        <v>511484.70999999996</v>
      </c>
    </row>
    <row r="4" spans="1:19" x14ac:dyDescent="0.35">
      <c r="R4" s="623"/>
      <c r="S4" s="624" t="s">
        <v>860</v>
      </c>
    </row>
    <row r="5" spans="1:19" x14ac:dyDescent="0.35">
      <c r="R5" s="623"/>
      <c r="S5" s="624" t="s">
        <v>861</v>
      </c>
    </row>
    <row r="6" spans="1:19" ht="15" thickBot="1" x14ac:dyDescent="0.4">
      <c r="A6" s="625" t="s">
        <v>97</v>
      </c>
      <c r="E6" s="626">
        <v>2022</v>
      </c>
      <c r="F6" s="627">
        <v>2023</v>
      </c>
      <c r="G6" s="627">
        <v>2024</v>
      </c>
      <c r="H6" s="627">
        <v>2025</v>
      </c>
      <c r="I6" s="627">
        <v>2026</v>
      </c>
      <c r="J6" s="627">
        <v>2027</v>
      </c>
      <c r="K6" s="627">
        <v>2028</v>
      </c>
      <c r="L6" s="627">
        <v>2029</v>
      </c>
      <c r="M6" s="627">
        <v>2030</v>
      </c>
      <c r="N6" s="627">
        <v>2031</v>
      </c>
      <c r="O6" s="627">
        <v>2032</v>
      </c>
      <c r="P6" s="627">
        <v>2033</v>
      </c>
      <c r="Q6" s="627">
        <v>2034</v>
      </c>
      <c r="R6" s="628">
        <v>2035</v>
      </c>
      <c r="S6" s="626" t="s">
        <v>581</v>
      </c>
    </row>
    <row r="7" spans="1:19" x14ac:dyDescent="0.35">
      <c r="A7" s="620" t="s">
        <v>862</v>
      </c>
      <c r="E7" s="629">
        <v>368375</v>
      </c>
      <c r="F7" s="630">
        <v>368375</v>
      </c>
      <c r="G7" s="630">
        <v>368375</v>
      </c>
      <c r="H7" s="630">
        <v>490640.63</v>
      </c>
      <c r="I7" s="630">
        <v>499843.75</v>
      </c>
      <c r="J7" s="630">
        <v>8333390.5999999996</v>
      </c>
      <c r="K7" s="630"/>
      <c r="L7" s="630"/>
      <c r="M7" s="630"/>
      <c r="N7" s="630"/>
      <c r="O7" s="630"/>
      <c r="P7" s="630"/>
      <c r="Q7" s="630"/>
      <c r="R7" s="631"/>
      <c r="S7" s="629">
        <f>SUM(F7:R7)</f>
        <v>10060624.98</v>
      </c>
    </row>
    <row r="8" spans="1:19" x14ac:dyDescent="0.35">
      <c r="A8" s="620" t="s">
        <v>863</v>
      </c>
      <c r="E8" s="632">
        <v>9112.5</v>
      </c>
      <c r="F8" s="630">
        <v>9112.5</v>
      </c>
      <c r="G8" s="630">
        <v>129893.75</v>
      </c>
      <c r="H8" s="630">
        <v>10337.5</v>
      </c>
      <c r="I8" s="630"/>
      <c r="J8" s="630"/>
      <c r="K8" s="630"/>
      <c r="L8" s="630"/>
      <c r="M8" s="630"/>
      <c r="N8" s="630"/>
      <c r="O8" s="630"/>
      <c r="P8" s="630"/>
      <c r="Q8" s="630"/>
      <c r="R8" s="631"/>
      <c r="S8" s="629">
        <f>SUM(F8:R8)</f>
        <v>149343.75</v>
      </c>
    </row>
    <row r="9" spans="1:19" ht="15" thickBot="1" x14ac:dyDescent="0.4">
      <c r="A9" s="620" t="s">
        <v>864</v>
      </c>
      <c r="E9" s="633"/>
      <c r="F9" s="634">
        <f>+(3671.87+264322.55)</f>
        <v>267994.42</v>
      </c>
      <c r="G9" s="634" t="s">
        <v>865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5"/>
      <c r="S9" s="633">
        <f>SUM(F9:R9)</f>
        <v>267994.42</v>
      </c>
    </row>
    <row r="10" spans="1:19" x14ac:dyDescent="0.35">
      <c r="A10" s="620" t="s">
        <v>866</v>
      </c>
      <c r="E10" s="629">
        <f>SUM(E7:E9)</f>
        <v>377487.5</v>
      </c>
      <c r="F10" s="630">
        <f>SUM(F7:F9)</f>
        <v>645481.91999999993</v>
      </c>
      <c r="G10" s="630">
        <f>SUM(G7:G9)</f>
        <v>498268.75</v>
      </c>
      <c r="H10" s="630">
        <f t="shared" ref="H10:M10" si="0">SUM(H7:H9)</f>
        <v>500978.13</v>
      </c>
      <c r="I10" s="630">
        <f>SUM(I7:I9)</f>
        <v>499843.75</v>
      </c>
      <c r="J10" s="630">
        <f t="shared" si="0"/>
        <v>8333390.5999999996</v>
      </c>
      <c r="K10" s="630">
        <f t="shared" si="0"/>
        <v>0</v>
      </c>
      <c r="L10" s="630">
        <f t="shared" si="0"/>
        <v>0</v>
      </c>
      <c r="M10" s="630">
        <f t="shared" si="0"/>
        <v>0</v>
      </c>
      <c r="N10" s="630"/>
      <c r="O10" s="630"/>
      <c r="P10" s="630"/>
      <c r="Q10" s="630"/>
      <c r="R10" s="631"/>
      <c r="S10" s="629">
        <f>SUM(F10:R10)</f>
        <v>10477963.149999999</v>
      </c>
    </row>
    <row r="11" spans="1:19" x14ac:dyDescent="0.35"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36"/>
      <c r="S11" s="629"/>
    </row>
    <row r="12" spans="1:19" x14ac:dyDescent="0.35">
      <c r="A12" s="620" t="s">
        <v>867</v>
      </c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36"/>
      <c r="S12" s="629"/>
    </row>
    <row r="13" spans="1:19" x14ac:dyDescent="0.35">
      <c r="A13" s="620" t="s">
        <v>868</v>
      </c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36"/>
      <c r="S13" s="629"/>
    </row>
    <row r="14" spans="1:19" x14ac:dyDescent="0.35">
      <c r="A14" s="620" t="s">
        <v>869</v>
      </c>
      <c r="R14" s="623"/>
    </row>
    <row r="15" spans="1:19" x14ac:dyDescent="0.35">
      <c r="A15" s="620" t="s">
        <v>870</v>
      </c>
      <c r="R15" s="623"/>
    </row>
    <row r="16" spans="1:19" x14ac:dyDescent="0.35">
      <c r="A16" s="620" t="s">
        <v>871</v>
      </c>
      <c r="R16" s="623"/>
    </row>
    <row r="17" spans="1:19" x14ac:dyDescent="0.35">
      <c r="A17" s="620" t="s">
        <v>872</v>
      </c>
      <c r="R17" s="623"/>
    </row>
    <row r="18" spans="1:19" x14ac:dyDescent="0.35">
      <c r="E18" s="621">
        <f>E24/12</f>
        <v>54100.25</v>
      </c>
      <c r="F18" s="621">
        <f>F24/12</f>
        <v>54986.583333333336</v>
      </c>
      <c r="S18" s="624" t="s">
        <v>873</v>
      </c>
    </row>
    <row r="19" spans="1:19" x14ac:dyDescent="0.35">
      <c r="E19" s="621">
        <f>E18*6</f>
        <v>324601.5</v>
      </c>
      <c r="F19" s="621">
        <f>F18*6</f>
        <v>329919.5</v>
      </c>
      <c r="G19" s="621">
        <f>SUM(E19:F19)</f>
        <v>654521</v>
      </c>
      <c r="S19" s="624" t="s">
        <v>861</v>
      </c>
    </row>
    <row r="20" spans="1:19" ht="15" thickBot="1" x14ac:dyDescent="0.4">
      <c r="A20" s="625" t="s">
        <v>573</v>
      </c>
      <c r="E20" s="626">
        <v>2022</v>
      </c>
      <c r="F20" s="627">
        <v>2023</v>
      </c>
      <c r="G20" s="627">
        <v>2024</v>
      </c>
      <c r="H20" s="627">
        <v>2025</v>
      </c>
      <c r="I20" s="627">
        <v>2026</v>
      </c>
      <c r="J20" s="627">
        <v>2027</v>
      </c>
      <c r="K20" s="627">
        <v>2028</v>
      </c>
      <c r="L20" s="627">
        <v>2029</v>
      </c>
      <c r="M20" s="627">
        <v>2030</v>
      </c>
      <c r="N20" s="627">
        <v>2031</v>
      </c>
      <c r="O20" s="627">
        <v>2032</v>
      </c>
      <c r="P20" s="627">
        <v>2033</v>
      </c>
      <c r="Q20" s="627">
        <v>2034</v>
      </c>
      <c r="R20" s="627">
        <v>2035</v>
      </c>
      <c r="S20" s="637" t="s">
        <v>581</v>
      </c>
    </row>
    <row r="21" spans="1:19" x14ac:dyDescent="0.35">
      <c r="A21" s="620" t="s">
        <v>874</v>
      </c>
      <c r="E21" s="629">
        <v>531831</v>
      </c>
      <c r="F21" s="630">
        <v>542467</v>
      </c>
      <c r="G21" s="630">
        <v>553317</v>
      </c>
      <c r="H21" s="630">
        <v>564383</v>
      </c>
      <c r="I21" s="630">
        <v>575671</v>
      </c>
      <c r="J21" s="630"/>
      <c r="K21" s="630"/>
      <c r="L21" s="630"/>
      <c r="M21" s="630"/>
      <c r="N21" s="630">
        <v>3055729</v>
      </c>
      <c r="O21" s="630"/>
      <c r="P21" s="630"/>
      <c r="Q21" s="630"/>
      <c r="R21" s="630">
        <v>2672032</v>
      </c>
      <c r="S21" s="629">
        <f>SUM(F21:R21)</f>
        <v>7963599</v>
      </c>
    </row>
    <row r="22" spans="1:19" x14ac:dyDescent="0.35">
      <c r="A22" s="620" t="s">
        <v>875</v>
      </c>
      <c r="E22" s="629">
        <f>+(9781*12)</f>
        <v>117372</v>
      </c>
      <c r="F22" s="630">
        <f>+(9781*12)</f>
        <v>117372</v>
      </c>
      <c r="G22" s="630">
        <f>+(9781*8)</f>
        <v>78248</v>
      </c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29">
        <f>SUM(F22:R22)</f>
        <v>195620</v>
      </c>
    </row>
    <row r="23" spans="1:19" ht="15" thickBot="1" x14ac:dyDescent="0.4">
      <c r="A23" s="620" t="s">
        <v>876</v>
      </c>
      <c r="E23" s="633"/>
      <c r="F23" s="634"/>
      <c r="G23" s="634">
        <v>1277000</v>
      </c>
      <c r="H23" s="634" t="s">
        <v>877</v>
      </c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3">
        <f>SUM(F23:R23)</f>
        <v>1277000</v>
      </c>
    </row>
    <row r="24" spans="1:19" x14ac:dyDescent="0.35">
      <c r="A24" s="620" t="s">
        <v>866</v>
      </c>
      <c r="E24" s="629">
        <f t="shared" ref="E24:L24" si="1">SUM(E21:E23)</f>
        <v>649203</v>
      </c>
      <c r="F24" s="630">
        <f t="shared" si="1"/>
        <v>659839</v>
      </c>
      <c r="G24" s="630">
        <f t="shared" si="1"/>
        <v>1908565</v>
      </c>
      <c r="H24" s="630">
        <f t="shared" si="1"/>
        <v>564383</v>
      </c>
      <c r="I24" s="630">
        <f t="shared" si="1"/>
        <v>575671</v>
      </c>
      <c r="J24" s="630">
        <f t="shared" si="1"/>
        <v>0</v>
      </c>
      <c r="K24" s="630">
        <f t="shared" si="1"/>
        <v>0</v>
      </c>
      <c r="L24" s="630">
        <f t="shared" si="1"/>
        <v>0</v>
      </c>
      <c r="M24" s="630"/>
      <c r="N24" s="630"/>
      <c r="O24" s="630"/>
      <c r="P24" s="630"/>
      <c r="Q24" s="630"/>
      <c r="R24" s="630"/>
      <c r="S24" s="636">
        <f>SUM(S21:S23)</f>
        <v>9436219</v>
      </c>
    </row>
    <row r="25" spans="1:19" x14ac:dyDescent="0.35"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</row>
    <row r="26" spans="1:19" x14ac:dyDescent="0.35">
      <c r="A26" s="620" t="s">
        <v>878</v>
      </c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</row>
    <row r="27" spans="1:19" x14ac:dyDescent="0.35">
      <c r="A27" s="620" t="s">
        <v>879</v>
      </c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</row>
    <row r="28" spans="1:19" x14ac:dyDescent="0.35">
      <c r="E28" s="638">
        <v>522035.46</v>
      </c>
    </row>
    <row r="29" spans="1:19" x14ac:dyDescent="0.35">
      <c r="E29" s="638">
        <v>10440.709999999999</v>
      </c>
    </row>
    <row r="30" spans="1:19" x14ac:dyDescent="0.35">
      <c r="E30" s="638">
        <f>SUM(E28:E29)</f>
        <v>532476.17000000004</v>
      </c>
    </row>
    <row r="31" spans="1:19" x14ac:dyDescent="0.35">
      <c r="A31" s="620" t="s">
        <v>880</v>
      </c>
      <c r="E31" s="638"/>
    </row>
    <row r="32" spans="1:19" x14ac:dyDescent="0.35">
      <c r="A32" s="639" t="s">
        <v>881</v>
      </c>
    </row>
    <row r="33" spans="1:19" x14ac:dyDescent="0.35">
      <c r="A33" s="639" t="s">
        <v>882</v>
      </c>
    </row>
    <row r="34" spans="1:19" x14ac:dyDescent="0.35">
      <c r="A34" s="639" t="s">
        <v>883</v>
      </c>
      <c r="J34" s="624"/>
    </row>
    <row r="35" spans="1:19" x14ac:dyDescent="0.35">
      <c r="A35" s="639"/>
      <c r="E35" s="644">
        <f>E40</f>
        <v>25121.25</v>
      </c>
      <c r="F35" s="621">
        <f>F40/12</f>
        <v>14494.088333333333</v>
      </c>
      <c r="L35" s="624" t="s">
        <v>884</v>
      </c>
      <c r="S35" s="624" t="s">
        <v>885</v>
      </c>
    </row>
    <row r="36" spans="1:19" x14ac:dyDescent="0.35">
      <c r="A36" s="640" t="s">
        <v>572</v>
      </c>
      <c r="E36" s="644">
        <f>E35</f>
        <v>25121.25</v>
      </c>
      <c r="F36" s="621">
        <f>F35*6</f>
        <v>86964.53</v>
      </c>
      <c r="G36" s="644">
        <f>SUM(E36:F36)</f>
        <v>112085.78</v>
      </c>
      <c r="L36" s="624" t="s">
        <v>886</v>
      </c>
      <c r="S36" s="624" t="s">
        <v>861</v>
      </c>
    </row>
    <row r="37" spans="1:19" ht="15" thickBot="1" x14ac:dyDescent="0.4">
      <c r="A37" s="620" t="s">
        <v>887</v>
      </c>
      <c r="E37" s="626">
        <v>2022</v>
      </c>
      <c r="F37" s="627">
        <v>2023</v>
      </c>
      <c r="G37" s="627">
        <v>2024</v>
      </c>
      <c r="H37" s="627">
        <v>2025</v>
      </c>
      <c r="I37" s="627">
        <v>2026</v>
      </c>
      <c r="J37" s="627">
        <v>2027</v>
      </c>
      <c r="K37" s="627">
        <v>2028</v>
      </c>
      <c r="L37" s="627">
        <v>2029</v>
      </c>
      <c r="M37" s="627">
        <v>2030</v>
      </c>
      <c r="N37" s="627">
        <v>2031</v>
      </c>
      <c r="O37" s="627">
        <v>2032</v>
      </c>
      <c r="P37" s="627">
        <v>2033</v>
      </c>
      <c r="Q37" s="627">
        <v>2034</v>
      </c>
      <c r="R37" s="627">
        <v>2035</v>
      </c>
      <c r="S37" s="637" t="s">
        <v>581</v>
      </c>
    </row>
    <row r="38" spans="1:19" x14ac:dyDescent="0.35">
      <c r="A38" s="620" t="s">
        <v>888</v>
      </c>
      <c r="E38" s="629">
        <v>0</v>
      </c>
      <c r="F38" s="630">
        <v>126079.06</v>
      </c>
      <c r="G38" s="630">
        <v>240162.5</v>
      </c>
      <c r="H38" s="630">
        <v>240162.5</v>
      </c>
      <c r="I38" s="630">
        <v>240162.5</v>
      </c>
      <c r="J38" s="630">
        <v>240162.5</v>
      </c>
      <c r="K38" s="630">
        <v>240162.5</v>
      </c>
      <c r="L38" s="630">
        <v>5884912.5</v>
      </c>
      <c r="M38" s="630">
        <v>0</v>
      </c>
      <c r="N38" s="630"/>
      <c r="O38" s="630"/>
      <c r="P38" s="630"/>
      <c r="Q38" s="630"/>
      <c r="R38" s="630"/>
      <c r="S38" s="629">
        <f>SUM(F38:R38)</f>
        <v>7211804.0600000005</v>
      </c>
    </row>
    <row r="39" spans="1:19" ht="15" thickBot="1" x14ac:dyDescent="0.4">
      <c r="A39" s="620" t="s">
        <v>889</v>
      </c>
      <c r="E39" s="641">
        <v>25121.25</v>
      </c>
      <c r="F39" s="634">
        <v>47850</v>
      </c>
      <c r="G39" s="634">
        <v>47850</v>
      </c>
      <c r="H39" s="634">
        <v>162850</v>
      </c>
      <c r="I39" s="634">
        <v>166525</v>
      </c>
      <c r="J39" s="634">
        <v>164650</v>
      </c>
      <c r="K39" s="634">
        <v>162500</v>
      </c>
      <c r="L39" s="634">
        <v>385075</v>
      </c>
      <c r="M39" s="634"/>
      <c r="N39" s="634"/>
      <c r="O39" s="634"/>
      <c r="P39" s="634"/>
      <c r="Q39" s="634"/>
      <c r="R39" s="634"/>
      <c r="S39" s="633">
        <f>SUM(F39:R39)</f>
        <v>1137300</v>
      </c>
    </row>
    <row r="40" spans="1:19" x14ac:dyDescent="0.35">
      <c r="A40" s="620" t="s">
        <v>866</v>
      </c>
      <c r="E40" s="629">
        <f t="shared" ref="E40:M40" si="2">SUM(E38:E39)</f>
        <v>25121.25</v>
      </c>
      <c r="F40" s="630">
        <f>SUM(F38:F39)</f>
        <v>173929.06</v>
      </c>
      <c r="G40" s="630">
        <f t="shared" si="2"/>
        <v>288012.5</v>
      </c>
      <c r="H40" s="630">
        <f t="shared" si="2"/>
        <v>403012.5</v>
      </c>
      <c r="I40" s="630">
        <f t="shared" si="2"/>
        <v>406687.5</v>
      </c>
      <c r="J40" s="630">
        <f t="shared" si="2"/>
        <v>404812.5</v>
      </c>
      <c r="K40" s="630">
        <f t="shared" si="2"/>
        <v>402662.5</v>
      </c>
      <c r="L40" s="630">
        <f t="shared" si="2"/>
        <v>6269987.5</v>
      </c>
      <c r="M40" s="630">
        <f t="shared" si="2"/>
        <v>0</v>
      </c>
      <c r="N40" s="630"/>
      <c r="O40" s="630"/>
      <c r="P40" s="630"/>
      <c r="Q40" s="630"/>
      <c r="R40" s="630"/>
      <c r="S40" s="636">
        <f>SUM(S38:S39)</f>
        <v>8349104.0600000005</v>
      </c>
    </row>
    <row r="41" spans="1:19" x14ac:dyDescent="0.35">
      <c r="A41" s="620" t="s">
        <v>890</v>
      </c>
      <c r="E41" s="629"/>
      <c r="F41" s="629">
        <v>604180</v>
      </c>
      <c r="G41" s="629">
        <v>620341</v>
      </c>
      <c r="H41" s="630">
        <v>363894</v>
      </c>
      <c r="I41" s="629">
        <v>579685</v>
      </c>
      <c r="J41" s="629"/>
      <c r="K41" s="629"/>
      <c r="L41" s="629">
        <v>1809551</v>
      </c>
      <c r="M41" s="629"/>
      <c r="N41" s="629"/>
      <c r="O41" s="629"/>
      <c r="P41" s="629"/>
      <c r="Q41" s="629"/>
      <c r="R41" s="629"/>
      <c r="S41" s="629"/>
    </row>
    <row r="42" spans="1:19" x14ac:dyDescent="0.35"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 t="s">
        <v>891</v>
      </c>
      <c r="S42" s="642">
        <f>+(S10+S24+S40)</f>
        <v>28263286.210000001</v>
      </c>
    </row>
    <row r="43" spans="1:19" x14ac:dyDescent="0.35">
      <c r="A43" s="620" t="s">
        <v>892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</row>
    <row r="44" spans="1:19" x14ac:dyDescent="0.35">
      <c r="A44" s="620" t="s">
        <v>870</v>
      </c>
    </row>
    <row r="45" spans="1:19" x14ac:dyDescent="0.35">
      <c r="A45" s="620" t="s">
        <v>871</v>
      </c>
    </row>
    <row r="46" spans="1:19" x14ac:dyDescent="0.35">
      <c r="A46" s="620" t="s">
        <v>872</v>
      </c>
    </row>
    <row r="47" spans="1:19" x14ac:dyDescent="0.35">
      <c r="A47" s="620" t="s">
        <v>893</v>
      </c>
    </row>
    <row r="49" spans="1:6" x14ac:dyDescent="0.35">
      <c r="A49" s="620" t="s">
        <v>894</v>
      </c>
    </row>
    <row r="50" spans="1:6" x14ac:dyDescent="0.35">
      <c r="A50" s="620" t="s">
        <v>895</v>
      </c>
    </row>
    <row r="51" spans="1:6" x14ac:dyDescent="0.35">
      <c r="A51" s="620" t="s">
        <v>896</v>
      </c>
    </row>
    <row r="52" spans="1:6" x14ac:dyDescent="0.35">
      <c r="A52" s="620" t="s">
        <v>897</v>
      </c>
    </row>
    <row r="53" spans="1:6" x14ac:dyDescent="0.35">
      <c r="A53" s="620" t="s">
        <v>898</v>
      </c>
    </row>
    <row r="55" spans="1:6" x14ac:dyDescent="0.35">
      <c r="A55" s="620" t="s">
        <v>899</v>
      </c>
      <c r="C55" s="638"/>
      <c r="D55" s="638"/>
      <c r="E55" s="638"/>
      <c r="F55" s="638"/>
    </row>
    <row r="56" spans="1:6" x14ac:dyDescent="0.35">
      <c r="A56" s="620" t="s">
        <v>900</v>
      </c>
      <c r="C56" s="638"/>
      <c r="D56" s="638">
        <v>176081.33</v>
      </c>
      <c r="E56" s="638"/>
      <c r="F56" s="638"/>
    </row>
    <row r="57" spans="1:6" ht="15" thickBot="1" x14ac:dyDescent="0.4">
      <c r="A57" s="620" t="s">
        <v>901</v>
      </c>
      <c r="C57" s="638"/>
      <c r="D57" s="643">
        <v>5645000</v>
      </c>
      <c r="E57" s="638"/>
      <c r="F57" s="638"/>
    </row>
    <row r="58" spans="1:6" x14ac:dyDescent="0.35">
      <c r="A58" s="620" t="s">
        <v>902</v>
      </c>
      <c r="C58" s="638"/>
      <c r="D58" s="638">
        <f>SUM(D56:D57)</f>
        <v>5821081.3300000001</v>
      </c>
      <c r="E58" s="638"/>
      <c r="F58" s="638"/>
    </row>
    <row r="59" spans="1:6" x14ac:dyDescent="0.35">
      <c r="C59" s="638"/>
      <c r="D59" s="638"/>
      <c r="E59" s="638"/>
      <c r="F59" s="638"/>
    </row>
    <row r="60" spans="1:6" ht="15" thickBot="1" x14ac:dyDescent="0.4">
      <c r="A60" s="620" t="s">
        <v>903</v>
      </c>
      <c r="C60" s="638"/>
      <c r="D60" s="643">
        <v>5884912.5</v>
      </c>
      <c r="E60" s="638"/>
      <c r="F60" s="638"/>
    </row>
    <row r="61" spans="1:6" x14ac:dyDescent="0.35">
      <c r="A61" s="620" t="s">
        <v>904</v>
      </c>
      <c r="C61" s="638"/>
      <c r="D61" s="638">
        <f>+(D60-D58)</f>
        <v>63831.169999999925</v>
      </c>
      <c r="E61" s="638" t="s">
        <v>905</v>
      </c>
      <c r="F61" s="638"/>
    </row>
    <row r="62" spans="1:6" x14ac:dyDescent="0.35">
      <c r="C62" s="638"/>
      <c r="D62" s="638"/>
      <c r="E62" s="638"/>
      <c r="F62" s="638"/>
    </row>
    <row r="63" spans="1:6" x14ac:dyDescent="0.35">
      <c r="C63" s="638"/>
      <c r="D63" s="638"/>
      <c r="E63" s="638"/>
      <c r="F63" s="638"/>
    </row>
    <row r="64" spans="1:6" x14ac:dyDescent="0.35">
      <c r="C64" s="638"/>
      <c r="D64" s="638"/>
      <c r="E64" s="638"/>
      <c r="F64" s="63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CBF0-872E-4F3E-AB73-571393095737}">
  <sheetPr>
    <tabColor rgb="FF00B0F0"/>
  </sheetPr>
  <dimension ref="A1:G66"/>
  <sheetViews>
    <sheetView topLeftCell="A20" zoomScale="99" zoomScaleNormal="99" workbookViewId="0">
      <selection activeCell="C10" sqref="C10"/>
    </sheetView>
  </sheetViews>
  <sheetFormatPr defaultRowHeight="14.5" x14ac:dyDescent="0.35"/>
  <cols>
    <col min="1" max="1" width="29.453125" customWidth="1"/>
    <col min="2" max="2" width="35.26953125" customWidth="1"/>
    <col min="3" max="7" width="15.54296875" customWidth="1"/>
  </cols>
  <sheetData>
    <row r="1" spans="1:7" ht="18" customHeight="1" x14ac:dyDescent="0.35">
      <c r="A1" s="1272" t="s">
        <v>906</v>
      </c>
      <c r="B1" s="1272"/>
      <c r="C1" s="1272"/>
      <c r="D1" s="1272"/>
      <c r="E1" s="1272"/>
      <c r="F1" s="1272"/>
      <c r="G1" s="1272"/>
    </row>
    <row r="2" spans="1:7" x14ac:dyDescent="0.35">
      <c r="A2" s="1326" t="s">
        <v>907</v>
      </c>
      <c r="B2" s="1326"/>
      <c r="C2" s="1326"/>
      <c r="D2" s="1326"/>
      <c r="E2" s="1326"/>
      <c r="F2" s="1326"/>
      <c r="G2" s="1326"/>
    </row>
    <row r="3" spans="1:7" x14ac:dyDescent="0.35">
      <c r="B3" s="16"/>
      <c r="C3" s="16"/>
    </row>
    <row r="4" spans="1:7" x14ac:dyDescent="0.35">
      <c r="A4" s="17" t="s">
        <v>93</v>
      </c>
      <c r="B4" s="18" t="s">
        <v>94</v>
      </c>
      <c r="C4" s="50" t="s">
        <v>95</v>
      </c>
      <c r="D4" s="50" t="s">
        <v>538</v>
      </c>
      <c r="E4" s="50" t="s">
        <v>539</v>
      </c>
      <c r="F4" s="50" t="s">
        <v>540</v>
      </c>
      <c r="G4" s="50" t="s">
        <v>541</v>
      </c>
    </row>
    <row r="5" spans="1:7" x14ac:dyDescent="0.35">
      <c r="A5" s="2"/>
      <c r="B5" s="16"/>
      <c r="C5" s="16"/>
    </row>
    <row r="6" spans="1:7" x14ac:dyDescent="0.35">
      <c r="A6" s="2"/>
      <c r="B6" s="19" t="s">
        <v>348</v>
      </c>
      <c r="C6" s="57">
        <v>450</v>
      </c>
      <c r="D6" s="57">
        <v>475</v>
      </c>
      <c r="E6" s="57">
        <v>500</v>
      </c>
      <c r="F6" s="57">
        <v>525</v>
      </c>
      <c r="G6" s="57">
        <v>550</v>
      </c>
    </row>
    <row r="7" spans="1:7" x14ac:dyDescent="0.35">
      <c r="A7" s="2"/>
      <c r="B7" s="19" t="s">
        <v>349</v>
      </c>
      <c r="C7" s="91">
        <f>C6*0.95</f>
        <v>427.5</v>
      </c>
      <c r="D7" s="91">
        <f>D6*0.95</f>
        <v>451.25</v>
      </c>
      <c r="E7" s="91">
        <f>E6*0.95</f>
        <v>475</v>
      </c>
      <c r="F7" s="91">
        <f>F6*0.95</f>
        <v>498.75</v>
      </c>
      <c r="G7" s="91">
        <f>G6*0.95</f>
        <v>522.5</v>
      </c>
    </row>
    <row r="8" spans="1:7" x14ac:dyDescent="0.35">
      <c r="A8" s="2"/>
      <c r="B8" s="19" t="s">
        <v>908</v>
      </c>
      <c r="C8" s="69">
        <v>10800</v>
      </c>
      <c r="D8" s="70">
        <f>C8+(C8*0.03)</f>
        <v>11124</v>
      </c>
      <c r="E8" s="70">
        <f>D8+(D8*0.03)</f>
        <v>11457.72</v>
      </c>
      <c r="F8" s="70">
        <f>E8+(E8*0.03)</f>
        <v>11801.451599999999</v>
      </c>
      <c r="G8" s="70">
        <f>F8+(F8*0.03)</f>
        <v>12155.495147999998</v>
      </c>
    </row>
    <row r="10" spans="1:7" x14ac:dyDescent="0.35">
      <c r="A10" s="2" t="s">
        <v>102</v>
      </c>
      <c r="B10" s="16" t="s">
        <v>909</v>
      </c>
      <c r="C10" s="64">
        <f>C7*C8</f>
        <v>4617000</v>
      </c>
      <c r="D10" s="64">
        <f>D7*D8</f>
        <v>5019705</v>
      </c>
      <c r="E10" s="64">
        <f>E7*E8</f>
        <v>5442417</v>
      </c>
      <c r="F10" s="64">
        <f>F7*F8</f>
        <v>5885973.9854999995</v>
      </c>
      <c r="G10" s="64">
        <f>G7*G8</f>
        <v>6351246.214829999</v>
      </c>
    </row>
    <row r="11" spans="1:7" x14ac:dyDescent="0.35">
      <c r="A11" s="2" t="s">
        <v>102</v>
      </c>
      <c r="B11" s="16" t="s">
        <v>20</v>
      </c>
      <c r="C11" s="65">
        <v>60000</v>
      </c>
      <c r="D11" s="65">
        <v>60000</v>
      </c>
      <c r="E11" s="65">
        <v>60000</v>
      </c>
      <c r="F11" s="65">
        <v>60000</v>
      </c>
      <c r="G11" s="65">
        <v>60000</v>
      </c>
    </row>
    <row r="12" spans="1:7" x14ac:dyDescent="0.35">
      <c r="A12" s="2" t="s">
        <v>100</v>
      </c>
      <c r="B12" t="s">
        <v>264</v>
      </c>
      <c r="C12" s="64">
        <v>200000</v>
      </c>
      <c r="D12" s="34"/>
      <c r="E12" s="34"/>
      <c r="F12" s="34"/>
      <c r="G12" s="34"/>
    </row>
    <row r="13" spans="1:7" x14ac:dyDescent="0.35">
      <c r="A13" s="2" t="s">
        <v>100</v>
      </c>
      <c r="B13" s="16" t="s">
        <v>910</v>
      </c>
      <c r="C13" s="64">
        <v>100000</v>
      </c>
      <c r="D13" s="64">
        <v>100000</v>
      </c>
      <c r="E13" s="64">
        <v>100000</v>
      </c>
      <c r="F13" s="64">
        <v>100000</v>
      </c>
      <c r="G13" s="64">
        <v>100000</v>
      </c>
    </row>
    <row r="14" spans="1:7" x14ac:dyDescent="0.35">
      <c r="A14" s="2" t="s">
        <v>7</v>
      </c>
      <c r="B14" s="16" t="s">
        <v>911</v>
      </c>
      <c r="C14" s="64">
        <v>0</v>
      </c>
      <c r="D14" s="34">
        <f>C66</f>
        <v>111066.54999999981</v>
      </c>
      <c r="E14" s="34">
        <f>D66</f>
        <v>55888.89650000073</v>
      </c>
      <c r="F14" s="34">
        <f>E66</f>
        <v>253198.70794499945</v>
      </c>
      <c r="G14" s="34">
        <f>F66</f>
        <v>314115.7547653513</v>
      </c>
    </row>
    <row r="15" spans="1:7" ht="16" thickBot="1" x14ac:dyDescent="0.4">
      <c r="A15" s="21"/>
      <c r="B15" s="21"/>
      <c r="C15" s="66">
        <f>SUM(C10:C14)</f>
        <v>4977000</v>
      </c>
      <c r="D15" s="66">
        <f>SUM(D10:D14)</f>
        <v>5290771.55</v>
      </c>
      <c r="E15" s="66">
        <f>SUM(E10:E14)</f>
        <v>5658305.8965000007</v>
      </c>
      <c r="F15" s="66">
        <f>SUM(F10:F14)</f>
        <v>6299172.6934449989</v>
      </c>
      <c r="G15" s="66">
        <f>SUM(G10:G14)</f>
        <v>6825361.9695953503</v>
      </c>
    </row>
    <row r="16" spans="1:7" x14ac:dyDescent="0.35">
      <c r="C16" s="49"/>
      <c r="D16" s="49"/>
      <c r="E16" s="49"/>
      <c r="F16" s="49"/>
      <c r="G16" s="49"/>
    </row>
    <row r="17" spans="1:7" x14ac:dyDescent="0.35">
      <c r="A17" s="2" t="s">
        <v>236</v>
      </c>
      <c r="B17" s="22" t="s">
        <v>912</v>
      </c>
      <c r="C17" s="35">
        <v>2421000</v>
      </c>
      <c r="D17" s="34">
        <f>C17+(C17*0.03)</f>
        <v>2493630</v>
      </c>
      <c r="E17" s="34">
        <f>D17+(D17*0.04)</f>
        <v>2593375.2000000002</v>
      </c>
      <c r="F17" s="34">
        <f>E17+(E17*0.04)+288000</f>
        <v>2985110.2080000001</v>
      </c>
      <c r="G17" s="34">
        <f>F17+(F17*0.04)</f>
        <v>3104514.61632</v>
      </c>
    </row>
    <row r="18" spans="1:7" x14ac:dyDescent="0.35">
      <c r="A18" s="2" t="s">
        <v>237</v>
      </c>
      <c r="B18" s="16" t="s">
        <v>913</v>
      </c>
      <c r="C18" s="34">
        <v>10000</v>
      </c>
      <c r="D18" s="34">
        <v>10000</v>
      </c>
      <c r="E18" s="34">
        <v>10000</v>
      </c>
      <c r="F18" s="34">
        <v>10000</v>
      </c>
      <c r="G18" s="34">
        <v>10000</v>
      </c>
    </row>
    <row r="19" spans="1:7" x14ac:dyDescent="0.35">
      <c r="A19" s="2" t="s">
        <v>238</v>
      </c>
      <c r="B19" s="16" t="s">
        <v>914</v>
      </c>
      <c r="C19" s="35">
        <f>1948000*0.04</f>
        <v>77920</v>
      </c>
      <c r="D19" s="34">
        <f>C19+(C19*0.03)</f>
        <v>80257.600000000006</v>
      </c>
      <c r="E19" s="34">
        <f>D19+(D19*0.03)</f>
        <v>82665.328000000009</v>
      </c>
      <c r="F19" s="34">
        <f>E19+(E19*0.03)</f>
        <v>85145.287840000005</v>
      </c>
      <c r="G19" s="34">
        <f>F19+(F19*0.03)</f>
        <v>87699.646475200003</v>
      </c>
    </row>
    <row r="20" spans="1:7" x14ac:dyDescent="0.35">
      <c r="A20" s="2" t="s">
        <v>239</v>
      </c>
      <c r="B20" s="16" t="s">
        <v>915</v>
      </c>
      <c r="C20" s="34">
        <f>C17*0.0145</f>
        <v>35104.5</v>
      </c>
      <c r="D20" s="34">
        <f>D17*0.0145</f>
        <v>36157.635000000002</v>
      </c>
      <c r="E20" s="34">
        <f>E17*0.0145</f>
        <v>37603.940400000007</v>
      </c>
      <c r="F20" s="34">
        <f>F17*0.0145</f>
        <v>43284.098016000004</v>
      </c>
      <c r="G20" s="34">
        <f>G17*0.0145</f>
        <v>45015.46193664</v>
      </c>
    </row>
    <row r="21" spans="1:7" x14ac:dyDescent="0.35">
      <c r="A21" s="2" t="s">
        <v>239</v>
      </c>
      <c r="B21" s="16" t="s">
        <v>916</v>
      </c>
      <c r="C21" s="34">
        <f>(44*0.8)*6300</f>
        <v>221760.00000000003</v>
      </c>
      <c r="D21" s="34">
        <f>((44*0.8)*((6900+(6900*0.05)))-((44*0.8)*(100*12)))</f>
        <v>212784.00000000003</v>
      </c>
      <c r="E21" s="34">
        <f>D21+(D21*0.05)</f>
        <v>223423.20000000004</v>
      </c>
      <c r="F21" s="34">
        <f>E21+(E21*0.05)</f>
        <v>234594.36000000004</v>
      </c>
      <c r="G21" s="34">
        <f>F21+(F21*0.05)</f>
        <v>246324.07800000004</v>
      </c>
    </row>
    <row r="22" spans="1:7" x14ac:dyDescent="0.35">
      <c r="A22" s="2" t="s">
        <v>239</v>
      </c>
      <c r="B22" s="16" t="s">
        <v>917</v>
      </c>
      <c r="C22" s="34">
        <f>C17*0.0126</f>
        <v>30504.6</v>
      </c>
      <c r="D22" s="34">
        <f>D17*0.0126</f>
        <v>31419.738000000001</v>
      </c>
      <c r="E22" s="34">
        <f>E17*0.0126</f>
        <v>32676.527520000003</v>
      </c>
      <c r="F22" s="34">
        <f>F17*0.0126</f>
        <v>37612.388620800004</v>
      </c>
      <c r="G22" s="34">
        <f>G17*0.0126</f>
        <v>39116.884165632</v>
      </c>
    </row>
    <row r="23" spans="1:7" x14ac:dyDescent="0.35">
      <c r="A23" s="2" t="s">
        <v>239</v>
      </c>
      <c r="B23" s="16" t="s">
        <v>918</v>
      </c>
      <c r="C23" s="34">
        <f>C17*0.018</f>
        <v>43578</v>
      </c>
      <c r="D23" s="34">
        <f>D17*0.018</f>
        <v>44885.34</v>
      </c>
      <c r="E23" s="34">
        <f>E17*0.018</f>
        <v>46680.753599999996</v>
      </c>
      <c r="F23" s="34">
        <f>F17*0.018</f>
        <v>53731.983743999997</v>
      </c>
      <c r="G23" s="34">
        <f>G17*0.018</f>
        <v>55881.263093759997</v>
      </c>
    </row>
    <row r="24" spans="1:7" x14ac:dyDescent="0.35">
      <c r="A24" s="2" t="s">
        <v>239</v>
      </c>
      <c r="B24" s="16" t="s">
        <v>919</v>
      </c>
      <c r="C24" s="34">
        <f>C17*0.008</f>
        <v>19368</v>
      </c>
      <c r="D24" s="34">
        <f>D17*0.008</f>
        <v>19949.04</v>
      </c>
      <c r="E24" s="34">
        <f>E17*0.008</f>
        <v>20747.001600000003</v>
      </c>
      <c r="F24" s="34">
        <f>F17*0.008</f>
        <v>23880.881664</v>
      </c>
      <c r="G24" s="34">
        <f>G17*0.008</f>
        <v>24836.116930560001</v>
      </c>
    </row>
    <row r="25" spans="1:7" x14ac:dyDescent="0.35">
      <c r="A25" s="2" t="s">
        <v>236</v>
      </c>
      <c r="B25" s="16" t="s">
        <v>920</v>
      </c>
      <c r="C25" s="34">
        <v>144000</v>
      </c>
      <c r="D25" s="34">
        <f>C25+(C25*0.03)</f>
        <v>148320</v>
      </c>
      <c r="E25" s="34">
        <f>D25+(D25*0.04)</f>
        <v>154252.79999999999</v>
      </c>
      <c r="F25" s="34">
        <f>E25+(E25*0.04)</f>
        <v>160422.91199999998</v>
      </c>
      <c r="G25" s="34">
        <f>F25+(F25*0.04)</f>
        <v>166839.82847999997</v>
      </c>
    </row>
    <row r="26" spans="1:7" x14ac:dyDescent="0.35">
      <c r="A26" s="2" t="s">
        <v>239</v>
      </c>
      <c r="B26" s="16" t="s">
        <v>921</v>
      </c>
      <c r="C26" s="34">
        <f>C25*0.0145</f>
        <v>2088</v>
      </c>
      <c r="D26" s="34">
        <f>D25*0.0145</f>
        <v>2150.6400000000003</v>
      </c>
      <c r="E26" s="34">
        <f>E25*0.0145</f>
        <v>2236.6655999999998</v>
      </c>
      <c r="F26" s="34">
        <f>F25*0.0145</f>
        <v>2326.132224</v>
      </c>
      <c r="G26" s="34">
        <f>G25*0.0145</f>
        <v>2419.1775129599996</v>
      </c>
    </row>
    <row r="27" spans="1:7" x14ac:dyDescent="0.35">
      <c r="A27" s="2" t="s">
        <v>239</v>
      </c>
      <c r="B27" s="16" t="s">
        <v>922</v>
      </c>
      <c r="C27" s="34">
        <f>C25*0.0126</f>
        <v>1814.4</v>
      </c>
      <c r="D27" s="34">
        <f>D25*0.0126</f>
        <v>1868.8320000000001</v>
      </c>
      <c r="E27" s="34">
        <f>E25*0.0126</f>
        <v>1943.5852799999998</v>
      </c>
      <c r="F27" s="34">
        <f>F25*0.0126</f>
        <v>2021.3286911999999</v>
      </c>
      <c r="G27" s="34">
        <f>G25*0.0126</f>
        <v>2102.1818388479996</v>
      </c>
    </row>
    <row r="28" spans="1:7" x14ac:dyDescent="0.35">
      <c r="A28" s="2" t="s">
        <v>239</v>
      </c>
      <c r="B28" s="16" t="s">
        <v>918</v>
      </c>
      <c r="C28" s="34">
        <f>C25*0.018</f>
        <v>2592</v>
      </c>
      <c r="D28" s="34">
        <f>D25*0.018</f>
        <v>2669.7599999999998</v>
      </c>
      <c r="E28" s="34">
        <f>E25*0.018</f>
        <v>2776.5503999999996</v>
      </c>
      <c r="F28" s="34">
        <f>F25*0.018</f>
        <v>2887.6124159999995</v>
      </c>
      <c r="G28" s="34">
        <f>G25*0.018</f>
        <v>3003.1169126399991</v>
      </c>
    </row>
    <row r="29" spans="1:7" x14ac:dyDescent="0.35">
      <c r="A29" s="2" t="s">
        <v>239</v>
      </c>
      <c r="B29" s="16" t="s">
        <v>923</v>
      </c>
      <c r="C29" s="34">
        <f>C25*0.008</f>
        <v>1152</v>
      </c>
      <c r="D29" s="34">
        <f>D25*0.008</f>
        <v>1186.56</v>
      </c>
      <c r="E29" s="34">
        <f>E25*0.008</f>
        <v>1234.0223999999998</v>
      </c>
      <c r="F29" s="34">
        <f>F25*0.008</f>
        <v>1283.383296</v>
      </c>
      <c r="G29" s="34">
        <f>G25*0.008</f>
        <v>1334.7186278399997</v>
      </c>
    </row>
    <row r="30" spans="1:7" x14ac:dyDescent="0.35">
      <c r="A30" s="2" t="s">
        <v>241</v>
      </c>
      <c r="B30" s="16" t="s">
        <v>924</v>
      </c>
      <c r="C30" s="51">
        <v>484500</v>
      </c>
      <c r="D30" s="34">
        <f>C30+(C30*0.03)</f>
        <v>499035</v>
      </c>
      <c r="E30" s="34">
        <f>D30+(D30*0.03)</f>
        <v>514006.05</v>
      </c>
      <c r="F30" s="34">
        <f>E30+(E30*0.03)</f>
        <v>529426.23149999999</v>
      </c>
      <c r="G30" s="34">
        <f>F30+(F30*0.03)</f>
        <v>545309.01844500005</v>
      </c>
    </row>
    <row r="31" spans="1:7" x14ac:dyDescent="0.35">
      <c r="A31" s="2" t="s">
        <v>242</v>
      </c>
      <c r="B31" s="16" t="s">
        <v>925</v>
      </c>
      <c r="C31" s="51">
        <f>C30*0.0145</f>
        <v>7025.25</v>
      </c>
      <c r="D31" s="51">
        <f>D30*0.0145</f>
        <v>7236.0075000000006</v>
      </c>
      <c r="E31" s="51">
        <f>E30*0.0145</f>
        <v>7453.0877250000003</v>
      </c>
      <c r="F31" s="51">
        <f>F30*0.0145</f>
        <v>7676.6803567500001</v>
      </c>
      <c r="G31" s="34">
        <f>G30*0.0145</f>
        <v>7906.9807674525009</v>
      </c>
    </row>
    <row r="32" spans="1:7" x14ac:dyDescent="0.35">
      <c r="A32" s="2" t="s">
        <v>242</v>
      </c>
      <c r="B32" s="16" t="s">
        <v>926</v>
      </c>
      <c r="C32" s="51">
        <f>C30*0.0126</f>
        <v>6104.7</v>
      </c>
      <c r="D32" s="51">
        <f>D30*0.0126</f>
        <v>6287.8410000000003</v>
      </c>
      <c r="E32" s="51">
        <f>E30*0.0126</f>
        <v>6476.4762300000002</v>
      </c>
      <c r="F32" s="51">
        <f>F30*0.0126</f>
        <v>6670.7705169000001</v>
      </c>
      <c r="G32" s="34">
        <f>G30*0.0126</f>
        <v>6870.893632407001</v>
      </c>
    </row>
    <row r="33" spans="1:7" x14ac:dyDescent="0.35">
      <c r="A33" s="2" t="s">
        <v>242</v>
      </c>
      <c r="B33" s="16" t="s">
        <v>927</v>
      </c>
      <c r="C33" s="51">
        <f>C30*0.018</f>
        <v>8721</v>
      </c>
      <c r="D33" s="51">
        <f>D30*0.018</f>
        <v>8982.6299999999992</v>
      </c>
      <c r="E33" s="51">
        <f>E30*0.018</f>
        <v>9252.1088999999993</v>
      </c>
      <c r="F33" s="51">
        <f>F30*0.018</f>
        <v>9529.6721669999988</v>
      </c>
      <c r="G33" s="34">
        <f>G30*0.018</f>
        <v>9815.5623320100003</v>
      </c>
    </row>
    <row r="34" spans="1:7" x14ac:dyDescent="0.35">
      <c r="A34" s="2" t="s">
        <v>242</v>
      </c>
      <c r="B34" s="16" t="s">
        <v>928</v>
      </c>
      <c r="C34" s="51">
        <f>C30*0.008</f>
        <v>3876</v>
      </c>
      <c r="D34" s="51">
        <f>D30*0.008</f>
        <v>3992.28</v>
      </c>
      <c r="E34" s="51">
        <f>E30*0.008</f>
        <v>4112.0483999999997</v>
      </c>
      <c r="F34" s="51">
        <f>F30*0.008</f>
        <v>4235.4098519999998</v>
      </c>
      <c r="G34" s="34">
        <f>G30*0.008</f>
        <v>4362.4721475600008</v>
      </c>
    </row>
    <row r="35" spans="1:7" x14ac:dyDescent="0.35">
      <c r="A35" s="2" t="s">
        <v>245</v>
      </c>
      <c r="B35" s="22" t="s">
        <v>275</v>
      </c>
      <c r="C35" s="51">
        <v>50000</v>
      </c>
      <c r="D35" s="51">
        <v>200000</v>
      </c>
      <c r="E35" s="51">
        <v>200000</v>
      </c>
      <c r="F35" s="51">
        <v>200000</v>
      </c>
      <c r="G35" s="34">
        <v>200000</v>
      </c>
    </row>
    <row r="36" spans="1:7" x14ac:dyDescent="0.35">
      <c r="A36" s="2" t="s">
        <v>247</v>
      </c>
      <c r="B36" s="16" t="s">
        <v>82</v>
      </c>
      <c r="C36" s="51">
        <v>20000</v>
      </c>
      <c r="D36" s="34">
        <f>C36+(C36*0.03)</f>
        <v>20600</v>
      </c>
      <c r="E36" s="34">
        <f>D36+(D36*0.03)</f>
        <v>21218</v>
      </c>
      <c r="F36" s="34">
        <f>E36+(E36*0.03)</f>
        <v>21854.54</v>
      </c>
      <c r="G36" s="34">
        <f>F36+(F36*0.03)</f>
        <v>22510.176200000002</v>
      </c>
    </row>
    <row r="37" spans="1:7" x14ac:dyDescent="0.35">
      <c r="A37" s="2" t="s">
        <v>248</v>
      </c>
      <c r="B37" s="16" t="s">
        <v>929</v>
      </c>
      <c r="C37" s="51">
        <v>100000</v>
      </c>
      <c r="D37" s="34">
        <f t="shared" ref="D37:G38" si="0">C37+(C37*0.03)</f>
        <v>103000</v>
      </c>
      <c r="E37" s="34">
        <f t="shared" si="0"/>
        <v>106090</v>
      </c>
      <c r="F37" s="34">
        <f t="shared" si="0"/>
        <v>109272.7</v>
      </c>
      <c r="G37" s="34">
        <f t="shared" si="0"/>
        <v>112550.88099999999</v>
      </c>
    </row>
    <row r="38" spans="1:7" x14ac:dyDescent="0.35">
      <c r="A38" s="2" t="s">
        <v>248</v>
      </c>
      <c r="B38" s="16" t="s">
        <v>930</v>
      </c>
      <c r="C38" s="51">
        <v>250000</v>
      </c>
      <c r="D38" s="34">
        <f t="shared" si="0"/>
        <v>257500</v>
      </c>
      <c r="E38" s="34">
        <f t="shared" si="0"/>
        <v>265225</v>
      </c>
      <c r="F38" s="34">
        <f t="shared" si="0"/>
        <v>273181.75</v>
      </c>
      <c r="G38" s="34">
        <f t="shared" si="0"/>
        <v>281377.20250000001</v>
      </c>
    </row>
    <row r="39" spans="1:7" x14ac:dyDescent="0.35">
      <c r="A39" s="2" t="s">
        <v>248</v>
      </c>
      <c r="B39" s="16" t="s">
        <v>36</v>
      </c>
      <c r="C39" s="82">
        <v>300000</v>
      </c>
      <c r="D39" s="34">
        <v>400000</v>
      </c>
      <c r="E39" s="34">
        <v>400000</v>
      </c>
      <c r="F39" s="34">
        <v>500000</v>
      </c>
      <c r="G39" s="34">
        <v>500000</v>
      </c>
    </row>
    <row r="40" spans="1:7" x14ac:dyDescent="0.35">
      <c r="A40" s="2" t="s">
        <v>249</v>
      </c>
      <c r="B40" s="23" t="s">
        <v>73</v>
      </c>
      <c r="C40" s="51">
        <v>60000</v>
      </c>
      <c r="D40" s="34">
        <f>C40+(C40*0.03)</f>
        <v>61800</v>
      </c>
      <c r="E40" s="34">
        <f t="shared" ref="E40:G41" si="1">D40+(D40*0.03)</f>
        <v>63654</v>
      </c>
      <c r="F40" s="34">
        <f t="shared" si="1"/>
        <v>65563.62</v>
      </c>
      <c r="G40" s="34">
        <f t="shared" si="1"/>
        <v>67530.528599999991</v>
      </c>
    </row>
    <row r="41" spans="1:7" x14ac:dyDescent="0.35">
      <c r="A41" s="2" t="s">
        <v>249</v>
      </c>
      <c r="B41" s="23" t="s">
        <v>50</v>
      </c>
      <c r="C41" s="34">
        <v>30000</v>
      </c>
      <c r="D41" s="34">
        <f>C41+(C41*0.03)</f>
        <v>30900</v>
      </c>
      <c r="E41" s="34">
        <f t="shared" si="1"/>
        <v>31827</v>
      </c>
      <c r="F41" s="34">
        <f t="shared" si="1"/>
        <v>32781.81</v>
      </c>
      <c r="G41" s="34">
        <f t="shared" si="1"/>
        <v>33765.264299999995</v>
      </c>
    </row>
    <row r="42" spans="1:7" x14ac:dyDescent="0.35">
      <c r="A42" s="2" t="s">
        <v>250</v>
      </c>
      <c r="B42" s="23" t="s">
        <v>342</v>
      </c>
      <c r="C42" s="51">
        <v>20000</v>
      </c>
      <c r="D42" s="34">
        <v>20000</v>
      </c>
      <c r="E42" s="34">
        <v>20000</v>
      </c>
      <c r="F42" s="34">
        <v>20000</v>
      </c>
      <c r="G42" s="34">
        <v>20000</v>
      </c>
    </row>
    <row r="43" spans="1:7" x14ac:dyDescent="0.35">
      <c r="A43" s="2" t="s">
        <v>250</v>
      </c>
      <c r="B43" s="2" t="s">
        <v>281</v>
      </c>
      <c r="C43" s="51">
        <v>20000</v>
      </c>
      <c r="D43" s="34">
        <f>C43+(C43*0.03)</f>
        <v>20600</v>
      </c>
      <c r="E43" s="34">
        <f t="shared" ref="E43:G44" si="2">D43+(D43*0.03)</f>
        <v>21218</v>
      </c>
      <c r="F43" s="34">
        <f t="shared" si="2"/>
        <v>21854.54</v>
      </c>
      <c r="G43" s="34">
        <f t="shared" si="2"/>
        <v>22510.176200000002</v>
      </c>
    </row>
    <row r="44" spans="1:7" x14ac:dyDescent="0.35">
      <c r="A44" s="2" t="s">
        <v>250</v>
      </c>
      <c r="B44" s="2" t="s">
        <v>282</v>
      </c>
      <c r="C44" s="51">
        <v>6125</v>
      </c>
      <c r="D44" s="34">
        <f>C44+(C44*0.03)</f>
        <v>6308.75</v>
      </c>
      <c r="E44" s="34">
        <f t="shared" si="2"/>
        <v>6498.0124999999998</v>
      </c>
      <c r="F44" s="34">
        <f t="shared" si="2"/>
        <v>6692.9528749999999</v>
      </c>
      <c r="G44" s="34">
        <f t="shared" si="2"/>
        <v>6893.7414612499997</v>
      </c>
    </row>
    <row r="45" spans="1:7" x14ac:dyDescent="0.35">
      <c r="A45" s="2" t="s">
        <v>250</v>
      </c>
      <c r="B45" s="2" t="s">
        <v>931</v>
      </c>
      <c r="C45" s="51">
        <v>45000</v>
      </c>
      <c r="D45" s="34">
        <f t="shared" ref="D45:G60" si="3">C45+(C45*0.03)</f>
        <v>46350</v>
      </c>
      <c r="E45" s="34">
        <f t="shared" si="3"/>
        <v>47740.5</v>
      </c>
      <c r="F45" s="34">
        <f t="shared" si="3"/>
        <v>49172.714999999997</v>
      </c>
      <c r="G45" s="34">
        <f t="shared" si="3"/>
        <v>50647.896449999993</v>
      </c>
    </row>
    <row r="46" spans="1:7" x14ac:dyDescent="0.35">
      <c r="A46" s="2" t="s">
        <v>250</v>
      </c>
      <c r="B46" s="2" t="s">
        <v>56</v>
      </c>
      <c r="C46" s="51">
        <v>6200</v>
      </c>
      <c r="D46" s="34">
        <f t="shared" si="3"/>
        <v>6386</v>
      </c>
      <c r="E46" s="34">
        <f t="shared" si="3"/>
        <v>6577.58</v>
      </c>
      <c r="F46" s="34">
        <f t="shared" si="3"/>
        <v>6774.9074000000001</v>
      </c>
      <c r="G46" s="34">
        <f t="shared" si="3"/>
        <v>6978.154622</v>
      </c>
    </row>
    <row r="47" spans="1:7" x14ac:dyDescent="0.35">
      <c r="A47" s="2" t="s">
        <v>250</v>
      </c>
      <c r="B47" s="2" t="s">
        <v>53</v>
      </c>
      <c r="C47" s="51">
        <v>50000</v>
      </c>
      <c r="D47" s="34">
        <f t="shared" si="3"/>
        <v>51500</v>
      </c>
      <c r="E47" s="34">
        <f t="shared" si="3"/>
        <v>53045</v>
      </c>
      <c r="F47" s="34">
        <f t="shared" si="3"/>
        <v>54636.35</v>
      </c>
      <c r="G47" s="34">
        <f t="shared" si="3"/>
        <v>56275.440499999997</v>
      </c>
    </row>
    <row r="48" spans="1:7" s="14" customFormat="1" x14ac:dyDescent="0.35">
      <c r="A48" s="2" t="s">
        <v>250</v>
      </c>
      <c r="B48" s="2" t="s">
        <v>55</v>
      </c>
      <c r="C48" s="51">
        <v>20000</v>
      </c>
      <c r="D48" s="34">
        <f t="shared" si="3"/>
        <v>20600</v>
      </c>
      <c r="E48" s="34">
        <f t="shared" si="3"/>
        <v>21218</v>
      </c>
      <c r="F48" s="34">
        <f t="shared" si="3"/>
        <v>21854.54</v>
      </c>
      <c r="G48" s="34">
        <f t="shared" si="3"/>
        <v>22510.176200000002</v>
      </c>
    </row>
    <row r="49" spans="1:7" s="14" customFormat="1" x14ac:dyDescent="0.35">
      <c r="A49" s="2" t="s">
        <v>250</v>
      </c>
      <c r="B49" s="2" t="s">
        <v>54</v>
      </c>
      <c r="C49" s="51">
        <v>5000</v>
      </c>
      <c r="D49" s="34">
        <f t="shared" si="3"/>
        <v>5150</v>
      </c>
      <c r="E49" s="34">
        <f t="shared" si="3"/>
        <v>5304.5</v>
      </c>
      <c r="F49" s="34">
        <f t="shared" si="3"/>
        <v>5463.6350000000002</v>
      </c>
      <c r="G49" s="34">
        <f t="shared" si="3"/>
        <v>5627.5440500000004</v>
      </c>
    </row>
    <row r="50" spans="1:7" s="14" customFormat="1" x14ac:dyDescent="0.35">
      <c r="A50" s="2" t="s">
        <v>250</v>
      </c>
      <c r="B50" t="s">
        <v>47</v>
      </c>
      <c r="C50" s="51">
        <v>10000</v>
      </c>
      <c r="D50" s="34">
        <f t="shared" si="3"/>
        <v>10300</v>
      </c>
      <c r="E50" s="34">
        <f t="shared" si="3"/>
        <v>10609</v>
      </c>
      <c r="F50" s="34">
        <f t="shared" si="3"/>
        <v>10927.27</v>
      </c>
      <c r="G50" s="34">
        <f t="shared" si="3"/>
        <v>11255.088100000001</v>
      </c>
    </row>
    <row r="51" spans="1:7" s="14" customFormat="1" x14ac:dyDescent="0.35">
      <c r="A51" s="2" t="s">
        <v>252</v>
      </c>
      <c r="B51" s="23" t="s">
        <v>45</v>
      </c>
      <c r="C51" s="71">
        <v>130000</v>
      </c>
      <c r="D51" s="34">
        <f t="shared" si="3"/>
        <v>133900</v>
      </c>
      <c r="E51" s="34">
        <f t="shared" si="3"/>
        <v>137917</v>
      </c>
      <c r="F51" s="34">
        <f t="shared" si="3"/>
        <v>142054.51</v>
      </c>
      <c r="G51" s="34">
        <f t="shared" si="3"/>
        <v>146316.1453</v>
      </c>
    </row>
    <row r="52" spans="1:7" s="14" customFormat="1" x14ac:dyDescent="0.35">
      <c r="A52" s="2" t="s">
        <v>252</v>
      </c>
      <c r="B52" s="23" t="s">
        <v>46</v>
      </c>
      <c r="C52" s="71">
        <v>60000</v>
      </c>
      <c r="D52" s="34">
        <f t="shared" si="3"/>
        <v>61800</v>
      </c>
      <c r="E52" s="34">
        <f t="shared" si="3"/>
        <v>63654</v>
      </c>
      <c r="F52" s="34">
        <f t="shared" si="3"/>
        <v>65563.62</v>
      </c>
      <c r="G52" s="34">
        <f t="shared" si="3"/>
        <v>67530.528599999991</v>
      </c>
    </row>
    <row r="53" spans="1:7" s="14" customFormat="1" x14ac:dyDescent="0.35">
      <c r="A53" s="2" t="s">
        <v>252</v>
      </c>
      <c r="B53" s="2" t="s">
        <v>78</v>
      </c>
      <c r="C53" s="71">
        <v>80000</v>
      </c>
      <c r="D53" s="34">
        <f t="shared" si="3"/>
        <v>82400</v>
      </c>
      <c r="E53" s="34">
        <f t="shared" si="3"/>
        <v>84872</v>
      </c>
      <c r="F53" s="34">
        <f t="shared" si="3"/>
        <v>87418.16</v>
      </c>
      <c r="G53" s="34">
        <f t="shared" si="3"/>
        <v>90040.704800000007</v>
      </c>
    </row>
    <row r="54" spans="1:7" s="14" customFormat="1" x14ac:dyDescent="0.35">
      <c r="A54" s="2" t="s">
        <v>252</v>
      </c>
      <c r="B54" t="s">
        <v>48</v>
      </c>
      <c r="C54" s="71">
        <v>15000</v>
      </c>
      <c r="D54" s="34">
        <f t="shared" si="3"/>
        <v>15450</v>
      </c>
      <c r="E54" s="34">
        <f t="shared" si="3"/>
        <v>15913.5</v>
      </c>
      <c r="F54" s="34">
        <f t="shared" si="3"/>
        <v>16390.904999999999</v>
      </c>
      <c r="G54" s="34">
        <f t="shared" si="3"/>
        <v>16882.632149999998</v>
      </c>
    </row>
    <row r="55" spans="1:7" s="14" customFormat="1" x14ac:dyDescent="0.35">
      <c r="A55" s="2" t="s">
        <v>252</v>
      </c>
      <c r="B55" s="2" t="s">
        <v>41</v>
      </c>
      <c r="C55" s="51">
        <v>15000</v>
      </c>
      <c r="D55" s="34">
        <f t="shared" si="3"/>
        <v>15450</v>
      </c>
      <c r="E55" s="34">
        <f t="shared" si="3"/>
        <v>15913.5</v>
      </c>
      <c r="F55" s="34">
        <f t="shared" si="3"/>
        <v>16390.904999999999</v>
      </c>
      <c r="G55" s="34">
        <f t="shared" si="3"/>
        <v>16882.632149999998</v>
      </c>
    </row>
    <row r="56" spans="1:7" s="14" customFormat="1" x14ac:dyDescent="0.35">
      <c r="A56" s="2" t="s">
        <v>254</v>
      </c>
      <c r="B56" s="2" t="s">
        <v>66</v>
      </c>
      <c r="C56" s="51">
        <v>10000</v>
      </c>
      <c r="D56" s="34">
        <f t="shared" si="3"/>
        <v>10300</v>
      </c>
      <c r="E56" s="34">
        <f t="shared" si="3"/>
        <v>10609</v>
      </c>
      <c r="F56" s="34">
        <f t="shared" si="3"/>
        <v>10927.27</v>
      </c>
      <c r="G56" s="34">
        <f t="shared" si="3"/>
        <v>11255.088100000001</v>
      </c>
    </row>
    <row r="57" spans="1:7" s="14" customFormat="1" x14ac:dyDescent="0.35">
      <c r="A57" s="2" t="s">
        <v>254</v>
      </c>
      <c r="B57" s="16" t="s">
        <v>68</v>
      </c>
      <c r="C57" s="51">
        <v>5500</v>
      </c>
      <c r="D57" s="34">
        <f t="shared" si="3"/>
        <v>5665</v>
      </c>
      <c r="E57" s="34">
        <f t="shared" si="3"/>
        <v>5834.95</v>
      </c>
      <c r="F57" s="34">
        <f t="shared" si="3"/>
        <v>6009.9984999999997</v>
      </c>
      <c r="G57" s="34">
        <f t="shared" si="3"/>
        <v>6190.2984550000001</v>
      </c>
    </row>
    <row r="58" spans="1:7" s="14" customFormat="1" x14ac:dyDescent="0.35">
      <c r="A58" s="2" t="s">
        <v>254</v>
      </c>
      <c r="B58" s="2" t="s">
        <v>71</v>
      </c>
      <c r="C58" s="51">
        <v>5000</v>
      </c>
      <c r="D58" s="34">
        <f t="shared" si="3"/>
        <v>5150</v>
      </c>
      <c r="E58" s="34">
        <f t="shared" si="3"/>
        <v>5304.5</v>
      </c>
      <c r="F58" s="34">
        <f t="shared" si="3"/>
        <v>5463.6350000000002</v>
      </c>
      <c r="G58" s="34">
        <f t="shared" si="3"/>
        <v>5627.5440500000004</v>
      </c>
    </row>
    <row r="59" spans="1:7" x14ac:dyDescent="0.35">
      <c r="A59" s="2" t="s">
        <v>255</v>
      </c>
      <c r="B59" s="2" t="s">
        <v>70</v>
      </c>
      <c r="C59" s="51">
        <v>2000</v>
      </c>
      <c r="D59" s="34">
        <f t="shared" si="3"/>
        <v>2060</v>
      </c>
      <c r="E59" s="34">
        <f t="shared" si="3"/>
        <v>2121.8000000000002</v>
      </c>
      <c r="F59" s="34">
        <f t="shared" si="3"/>
        <v>2185.4540000000002</v>
      </c>
      <c r="G59" s="34">
        <f t="shared" si="3"/>
        <v>2251.0176200000001</v>
      </c>
    </row>
    <row r="60" spans="1:7" x14ac:dyDescent="0.35">
      <c r="A60" s="2" t="s">
        <v>256</v>
      </c>
      <c r="B60" s="2" t="s">
        <v>69</v>
      </c>
      <c r="C60" s="51">
        <v>20000</v>
      </c>
      <c r="D60" s="34">
        <f t="shared" si="3"/>
        <v>20600</v>
      </c>
      <c r="E60" s="34">
        <f t="shared" si="3"/>
        <v>21218</v>
      </c>
      <c r="F60" s="34">
        <f t="shared" si="3"/>
        <v>21854.54</v>
      </c>
      <c r="G60" s="34">
        <f t="shared" si="3"/>
        <v>22510.176200000002</v>
      </c>
    </row>
    <row r="61" spans="1:7" x14ac:dyDescent="0.35">
      <c r="A61" s="2" t="s">
        <v>257</v>
      </c>
      <c r="B61" s="2" t="s">
        <v>67</v>
      </c>
      <c r="C61" s="51">
        <v>10000</v>
      </c>
      <c r="D61" s="34">
        <f>C61+(C61*0.03)</f>
        <v>10300</v>
      </c>
      <c r="E61" s="34">
        <f>D61+(D61*0.03)</f>
        <v>10609</v>
      </c>
      <c r="F61" s="34">
        <f>E61+(E61*0.03)</f>
        <v>10927.27</v>
      </c>
      <c r="G61" s="34">
        <f>F61+(F61*0.03)</f>
        <v>11255.088100000001</v>
      </c>
    </row>
    <row r="62" spans="1:7" ht="16" thickBot="1" x14ac:dyDescent="0.4">
      <c r="A62" s="21"/>
      <c r="B62" s="24" t="s">
        <v>518</v>
      </c>
      <c r="C62" s="38">
        <f>SUM(C17:C61)</f>
        <v>4865933.45</v>
      </c>
      <c r="D62" s="38">
        <f>SUM(D17:D61)</f>
        <v>5234882.6534999991</v>
      </c>
      <c r="E62" s="38">
        <f>SUM(E17:E61)</f>
        <v>5405107.1885550013</v>
      </c>
      <c r="F62" s="38">
        <f>SUM(F17:F61)</f>
        <v>5985056.9386796476</v>
      </c>
      <c r="G62" s="38">
        <f>SUM(G17:G61)</f>
        <v>6180526.1433267575</v>
      </c>
    </row>
    <row r="63" spans="1:7" x14ac:dyDescent="0.35">
      <c r="C63" s="49"/>
      <c r="D63" s="49"/>
      <c r="E63" s="49"/>
      <c r="F63" s="49"/>
      <c r="G63" s="49"/>
    </row>
    <row r="64" spans="1:7" ht="15" thickBot="1" x14ac:dyDescent="0.4">
      <c r="A64" s="5"/>
      <c r="B64" s="6" t="s">
        <v>558</v>
      </c>
      <c r="C64" s="67">
        <f>C15-C62</f>
        <v>111066.54999999981</v>
      </c>
      <c r="D64" s="67">
        <f>D15-D62</f>
        <v>55888.89650000073</v>
      </c>
      <c r="E64" s="67">
        <f>E15-E62</f>
        <v>253198.70794499945</v>
      </c>
      <c r="F64" s="67">
        <f>F15-F62</f>
        <v>314115.7547653513</v>
      </c>
      <c r="G64" s="67">
        <f>G15-G62</f>
        <v>644835.82626859285</v>
      </c>
    </row>
    <row r="65" spans="1:7" x14ac:dyDescent="0.35">
      <c r="B65" s="8"/>
      <c r="C65" s="49"/>
      <c r="D65" s="49"/>
      <c r="E65" s="49"/>
      <c r="F65" s="49"/>
      <c r="G65" s="49"/>
    </row>
    <row r="66" spans="1:7" ht="16" thickBot="1" x14ac:dyDescent="0.4">
      <c r="A66" s="5"/>
      <c r="B66" s="6" t="s">
        <v>559</v>
      </c>
      <c r="C66" s="68">
        <f>C64</f>
        <v>111066.54999999981</v>
      </c>
      <c r="D66" s="68">
        <f>D64</f>
        <v>55888.89650000073</v>
      </c>
      <c r="E66" s="68">
        <f>E64</f>
        <v>253198.70794499945</v>
      </c>
      <c r="F66" s="68">
        <f>F64</f>
        <v>314115.7547653513</v>
      </c>
      <c r="G66" s="68">
        <f>G64</f>
        <v>644835.82626859285</v>
      </c>
    </row>
  </sheetData>
  <mergeCells count="2">
    <mergeCell ref="A1:G1"/>
    <mergeCell ref="A2:G2"/>
  </mergeCells>
  <dataValidations count="1">
    <dataValidation type="list" allowBlank="1" showInputMessage="1" showErrorMessage="1" sqref="A15:A16" xr:uid="{9BE55822-BD91-4A22-B2F2-C0D9EC751825}">
      <formula1>#REF!</formula1>
    </dataValidation>
  </dataValidations>
  <pageMargins left="0.7" right="0.7" top="0.75" bottom="0.75" header="0.3" footer="0.3"/>
  <pageSetup scale="82" orientation="portrait" r:id="rId1"/>
  <rowBreaks count="2" manualBreakCount="2">
    <brk id="20" max="16383" man="1"/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1B1D-61D6-450B-A74D-5E490406C5AB}">
  <sheetPr>
    <tabColor rgb="FF00B0F0"/>
  </sheetPr>
  <dimension ref="A1:G77"/>
  <sheetViews>
    <sheetView zoomScale="103" zoomScaleNormal="103" workbookViewId="0">
      <selection activeCell="I52" sqref="I52"/>
    </sheetView>
  </sheetViews>
  <sheetFormatPr defaultRowHeight="14.5" x14ac:dyDescent="0.35"/>
  <cols>
    <col min="1" max="1" width="27.7265625" customWidth="1"/>
    <col min="2" max="2" width="44.1796875" customWidth="1"/>
    <col min="3" max="3" width="15.54296875" style="13" customWidth="1"/>
    <col min="4" max="7" width="15.54296875" customWidth="1"/>
  </cols>
  <sheetData>
    <row r="1" spans="1:7" ht="18.5" x14ac:dyDescent="0.45">
      <c r="A1" s="1260" t="s">
        <v>932</v>
      </c>
      <c r="B1" s="1260"/>
      <c r="C1" s="1260"/>
      <c r="D1" s="1260"/>
      <c r="E1" s="1260"/>
      <c r="F1" s="1260"/>
      <c r="G1" s="1260"/>
    </row>
    <row r="2" spans="1:7" x14ac:dyDescent="0.35">
      <c r="A2" s="1326" t="s">
        <v>933</v>
      </c>
      <c r="B2" s="1326"/>
      <c r="C2" s="1326"/>
      <c r="D2" s="1326"/>
      <c r="E2" s="1326"/>
      <c r="F2" s="1326"/>
      <c r="G2" s="1326"/>
    </row>
    <row r="3" spans="1:7" x14ac:dyDescent="0.35">
      <c r="C3"/>
    </row>
    <row r="4" spans="1:7" x14ac:dyDescent="0.35">
      <c r="A4" s="17" t="s">
        <v>93</v>
      </c>
      <c r="B4" s="9" t="s">
        <v>94</v>
      </c>
      <c r="C4" s="50" t="s">
        <v>95</v>
      </c>
      <c r="D4" s="50" t="s">
        <v>538</v>
      </c>
      <c r="E4" s="50" t="s">
        <v>539</v>
      </c>
      <c r="F4" s="50" t="s">
        <v>540</v>
      </c>
      <c r="G4" s="50" t="s">
        <v>541</v>
      </c>
    </row>
    <row r="5" spans="1:7" x14ac:dyDescent="0.35">
      <c r="C5"/>
    </row>
    <row r="6" spans="1:7" x14ac:dyDescent="0.35">
      <c r="B6" s="19" t="s">
        <v>348</v>
      </c>
      <c r="C6" s="57">
        <v>400</v>
      </c>
      <c r="D6" s="57">
        <v>425</v>
      </c>
      <c r="E6" s="57">
        <v>450</v>
      </c>
      <c r="F6" s="57">
        <v>475</v>
      </c>
      <c r="G6" s="57">
        <v>500</v>
      </c>
    </row>
    <row r="7" spans="1:7" x14ac:dyDescent="0.35">
      <c r="B7" s="19" t="s">
        <v>349</v>
      </c>
      <c r="C7" s="57">
        <v>400</v>
      </c>
      <c r="D7" s="57">
        <v>425</v>
      </c>
      <c r="E7" s="57">
        <v>450</v>
      </c>
      <c r="F7" s="57">
        <v>475</v>
      </c>
      <c r="G7" s="57">
        <v>500</v>
      </c>
    </row>
    <row r="8" spans="1:7" x14ac:dyDescent="0.35">
      <c r="B8" s="19" t="s">
        <v>934</v>
      </c>
      <c r="C8" s="47">
        <v>10200</v>
      </c>
      <c r="D8" s="47">
        <f>C8+(C8*0.03)</f>
        <v>10506</v>
      </c>
      <c r="E8" s="47">
        <f>D8+(D8*0.03)</f>
        <v>10821.18</v>
      </c>
      <c r="F8" s="47">
        <f>E8+(E8*0.03)</f>
        <v>11145.815399999999</v>
      </c>
      <c r="G8" s="47">
        <f>F8+(F8*0.03)</f>
        <v>11480.189861999999</v>
      </c>
    </row>
    <row r="10" spans="1:7" x14ac:dyDescent="0.35">
      <c r="A10" t="s">
        <v>100</v>
      </c>
      <c r="B10" t="s">
        <v>935</v>
      </c>
      <c r="C10" s="34">
        <v>100000</v>
      </c>
      <c r="D10" s="34">
        <v>100000</v>
      </c>
      <c r="E10" s="34">
        <v>100000</v>
      </c>
      <c r="F10" s="34">
        <v>100000</v>
      </c>
      <c r="G10" s="34">
        <v>100000</v>
      </c>
    </row>
    <row r="11" spans="1:7" x14ac:dyDescent="0.35">
      <c r="A11" t="s">
        <v>100</v>
      </c>
      <c r="B11" t="s">
        <v>936</v>
      </c>
      <c r="C11" s="35">
        <v>200000</v>
      </c>
      <c r="D11" s="34">
        <v>200000</v>
      </c>
      <c r="E11" s="34">
        <v>0</v>
      </c>
      <c r="F11" s="34">
        <v>0</v>
      </c>
      <c r="G11" s="34">
        <v>0</v>
      </c>
    </row>
    <row r="12" spans="1:7" x14ac:dyDescent="0.35">
      <c r="A12" t="s">
        <v>102</v>
      </c>
      <c r="B12" t="s">
        <v>937</v>
      </c>
      <c r="C12" s="34">
        <v>150000</v>
      </c>
      <c r="D12" s="34">
        <f t="shared" ref="D12:G13" si="0">C12+(C12*0.03)</f>
        <v>154500</v>
      </c>
      <c r="E12" s="34">
        <f t="shared" si="0"/>
        <v>159135</v>
      </c>
      <c r="F12" s="34">
        <f t="shared" si="0"/>
        <v>163909.04999999999</v>
      </c>
      <c r="G12" s="34">
        <f t="shared" si="0"/>
        <v>168826.32149999999</v>
      </c>
    </row>
    <row r="13" spans="1:7" x14ac:dyDescent="0.35">
      <c r="A13" t="s">
        <v>102</v>
      </c>
      <c r="B13" t="s">
        <v>938</v>
      </c>
      <c r="C13" s="35">
        <v>200000</v>
      </c>
      <c r="D13" s="34">
        <f t="shared" si="0"/>
        <v>206000</v>
      </c>
      <c r="E13" s="34">
        <f t="shared" si="0"/>
        <v>212180</v>
      </c>
      <c r="F13" s="34">
        <f t="shared" si="0"/>
        <v>218545.4</v>
      </c>
      <c r="G13" s="34">
        <f t="shared" si="0"/>
        <v>225101.76199999999</v>
      </c>
    </row>
    <row r="14" spans="1:7" x14ac:dyDescent="0.35">
      <c r="A14" t="s">
        <v>102</v>
      </c>
      <c r="B14" t="s">
        <v>939</v>
      </c>
      <c r="C14" s="54">
        <f>C7*C8</f>
        <v>4080000</v>
      </c>
      <c r="D14" s="34">
        <f>D7*D8</f>
        <v>4465050</v>
      </c>
      <c r="E14" s="34">
        <f>E7*E8</f>
        <v>4869531</v>
      </c>
      <c r="F14" s="34">
        <f>F7*F8</f>
        <v>5294262.3149999995</v>
      </c>
      <c r="G14" s="34">
        <f>G7*G8</f>
        <v>5740094.9309999999</v>
      </c>
    </row>
    <row r="15" spans="1:7" x14ac:dyDescent="0.35">
      <c r="A15" t="s">
        <v>7</v>
      </c>
      <c r="B15" t="s">
        <v>911</v>
      </c>
      <c r="C15" s="35">
        <v>0</v>
      </c>
      <c r="D15" s="35">
        <f>C77</f>
        <v>63397.8</v>
      </c>
      <c r="E15" s="35">
        <f>D77</f>
        <v>202449.99800000002</v>
      </c>
      <c r="F15" s="35">
        <f>E77</f>
        <v>301646.88954150036</v>
      </c>
      <c r="G15" s="35">
        <f>F77</f>
        <v>299830.87904620694</v>
      </c>
    </row>
    <row r="16" spans="1:7" ht="16" thickBot="1" x14ac:dyDescent="0.4">
      <c r="A16" s="3"/>
      <c r="B16" s="10" t="s">
        <v>371</v>
      </c>
      <c r="C16" s="36">
        <f>SUM(C10:C15)</f>
        <v>4730000</v>
      </c>
      <c r="D16" s="36">
        <f>SUM(D10:D15)</f>
        <v>5188947.8</v>
      </c>
      <c r="E16" s="36">
        <f>SUM(E10:E15)</f>
        <v>5543295.9979999997</v>
      </c>
      <c r="F16" s="36">
        <f>SUM(F10:F15)</f>
        <v>6078363.6545414999</v>
      </c>
      <c r="G16" s="36">
        <f>SUM(G10:G15)</f>
        <v>6533853.8935462069</v>
      </c>
    </row>
    <row r="17" spans="1:7" x14ac:dyDescent="0.35">
      <c r="C17" s="53"/>
      <c r="D17" s="8"/>
      <c r="E17" s="8"/>
      <c r="F17" s="8"/>
      <c r="G17" s="8"/>
    </row>
    <row r="18" spans="1:7" x14ac:dyDescent="0.35">
      <c r="A18" t="s">
        <v>122</v>
      </c>
      <c r="B18" t="s">
        <v>123</v>
      </c>
      <c r="C18" s="34">
        <v>1726000</v>
      </c>
      <c r="D18" s="34">
        <f>C18+(C18*0.03)</f>
        <v>1777780</v>
      </c>
      <c r="E18" s="34">
        <f>D18+(D18*0.04)</f>
        <v>1848891.2</v>
      </c>
      <c r="F18" s="34">
        <f>E18+(E18*0.04)+220000</f>
        <v>2142846.8480000002</v>
      </c>
      <c r="G18" s="34">
        <f>F18+(F18*0.04)</f>
        <v>2228560.7219200004</v>
      </c>
    </row>
    <row r="19" spans="1:7" x14ac:dyDescent="0.35">
      <c r="A19" t="s">
        <v>122</v>
      </c>
      <c r="B19" s="2" t="s">
        <v>154</v>
      </c>
      <c r="C19" s="34">
        <f>1435000*0.04</f>
        <v>57400</v>
      </c>
      <c r="D19" s="34">
        <f>C19+(C19*0.03)</f>
        <v>59122</v>
      </c>
      <c r="E19" s="34">
        <f t="shared" ref="E19:G20" si="1">D19+(D19*0.03)</f>
        <v>60895.66</v>
      </c>
      <c r="F19" s="34">
        <f t="shared" si="1"/>
        <v>62722.529800000004</v>
      </c>
      <c r="G19" s="34">
        <f t="shared" si="1"/>
        <v>64604.205694000004</v>
      </c>
    </row>
    <row r="20" spans="1:7" x14ac:dyDescent="0.35">
      <c r="A20" t="s">
        <v>155</v>
      </c>
      <c r="B20" t="s">
        <v>587</v>
      </c>
      <c r="C20" s="34">
        <f>C18*0.0145</f>
        <v>25027</v>
      </c>
      <c r="D20" s="34">
        <f>C20+(C20*0.03)</f>
        <v>25777.81</v>
      </c>
      <c r="E20" s="34">
        <f t="shared" si="1"/>
        <v>26551.1443</v>
      </c>
      <c r="F20" s="34">
        <f t="shared" si="1"/>
        <v>27347.678628999998</v>
      </c>
      <c r="G20" s="34">
        <f t="shared" si="1"/>
        <v>28168.108987869997</v>
      </c>
    </row>
    <row r="21" spans="1:7" x14ac:dyDescent="0.35">
      <c r="A21" t="s">
        <v>155</v>
      </c>
      <c r="B21" t="s">
        <v>586</v>
      </c>
      <c r="C21" s="34">
        <f>C18*0.214</f>
        <v>369364</v>
      </c>
      <c r="D21" s="34">
        <f>D18*0.214</f>
        <v>380444.92</v>
      </c>
      <c r="E21" s="34">
        <f>E18*0.214</f>
        <v>395662.71679999999</v>
      </c>
      <c r="F21" s="34">
        <f>F18*0.214</f>
        <v>458569.22547200002</v>
      </c>
      <c r="G21" s="34">
        <f>G18*0.214</f>
        <v>476911.99449088005</v>
      </c>
    </row>
    <row r="22" spans="1:7" x14ac:dyDescent="0.35">
      <c r="A22" t="s">
        <v>155</v>
      </c>
      <c r="B22" t="s">
        <v>158</v>
      </c>
      <c r="C22" s="35">
        <f>(33*0.8)*6300</f>
        <v>166320</v>
      </c>
      <c r="D22" s="34">
        <f>((33*0.8)*((6900+(6900*0.05)))-((33*0.8)*(100*12)))</f>
        <v>159588.00000000003</v>
      </c>
      <c r="E22" s="34">
        <f>D22+(D22*0.05)</f>
        <v>167567.40000000002</v>
      </c>
      <c r="F22" s="34">
        <f>E22+(E22*0.05)</f>
        <v>175945.77000000002</v>
      </c>
      <c r="G22" s="34">
        <f>F22+(F22*0.05)</f>
        <v>184743.05850000001</v>
      </c>
    </row>
    <row r="23" spans="1:7" x14ac:dyDescent="0.35">
      <c r="A23" t="s">
        <v>122</v>
      </c>
      <c r="B23" t="s">
        <v>77</v>
      </c>
      <c r="C23" s="34">
        <v>69000</v>
      </c>
      <c r="D23" s="34">
        <f t="shared" ref="D23:G25" si="2">C23+(C23*0.03)</f>
        <v>71070</v>
      </c>
      <c r="E23" s="34">
        <f t="shared" si="2"/>
        <v>73202.100000000006</v>
      </c>
      <c r="F23" s="34">
        <f t="shared" si="2"/>
        <v>75398.163</v>
      </c>
      <c r="G23" s="34">
        <f t="shared" si="2"/>
        <v>77660.107889999999</v>
      </c>
    </row>
    <row r="24" spans="1:7" x14ac:dyDescent="0.35">
      <c r="A24" t="s">
        <v>155</v>
      </c>
      <c r="B24" t="s">
        <v>587</v>
      </c>
      <c r="C24" s="34">
        <f>C23*0.0145</f>
        <v>1000.5</v>
      </c>
      <c r="D24" s="34">
        <f t="shared" si="2"/>
        <v>1030.5150000000001</v>
      </c>
      <c r="E24" s="34">
        <f t="shared" si="2"/>
        <v>1061.4304500000001</v>
      </c>
      <c r="F24" s="34">
        <f t="shared" si="2"/>
        <v>1093.2733635</v>
      </c>
      <c r="G24" s="34">
        <f t="shared" si="2"/>
        <v>1126.0715644049999</v>
      </c>
    </row>
    <row r="25" spans="1:7" x14ac:dyDescent="0.35">
      <c r="A25" t="s">
        <v>155</v>
      </c>
      <c r="B25" t="s">
        <v>586</v>
      </c>
      <c r="C25" s="34">
        <f>C23*0.214</f>
        <v>14766</v>
      </c>
      <c r="D25" s="34">
        <f t="shared" si="2"/>
        <v>15208.98</v>
      </c>
      <c r="E25" s="34">
        <f t="shared" si="2"/>
        <v>15665.249399999999</v>
      </c>
      <c r="F25" s="34">
        <f t="shared" si="2"/>
        <v>16135.206881999999</v>
      </c>
      <c r="G25" s="34">
        <f t="shared" si="2"/>
        <v>16619.26308846</v>
      </c>
    </row>
    <row r="26" spans="1:7" x14ac:dyDescent="0.35">
      <c r="A26" t="s">
        <v>122</v>
      </c>
      <c r="B26" t="s">
        <v>164</v>
      </c>
      <c r="C26" s="34">
        <v>340000</v>
      </c>
      <c r="D26" s="34">
        <f>C26+(C26*0.03)</f>
        <v>350200</v>
      </c>
      <c r="E26" s="34">
        <f>D26+(D26*0.03)</f>
        <v>360706</v>
      </c>
      <c r="F26" s="34">
        <f>E26+(E26*0.03)</f>
        <v>371527.18</v>
      </c>
      <c r="G26" s="34">
        <f>F26+(F26*0.03)</f>
        <v>382672.99540000001</v>
      </c>
    </row>
    <row r="27" spans="1:7" x14ac:dyDescent="0.35">
      <c r="A27" t="s">
        <v>122</v>
      </c>
      <c r="B27" t="s">
        <v>166</v>
      </c>
      <c r="C27" s="34">
        <v>10000</v>
      </c>
      <c r="D27" s="37">
        <v>10000</v>
      </c>
      <c r="E27" s="37">
        <v>10000</v>
      </c>
      <c r="F27" s="37">
        <v>10000</v>
      </c>
      <c r="G27" s="37">
        <v>10000</v>
      </c>
    </row>
    <row r="28" spans="1:7" x14ac:dyDescent="0.35">
      <c r="A28" t="s">
        <v>155</v>
      </c>
      <c r="B28" t="s">
        <v>587</v>
      </c>
      <c r="C28" s="34">
        <f>C26*0.0145</f>
        <v>4930</v>
      </c>
      <c r="D28" s="34">
        <f>C28+(C28*0.03)</f>
        <v>5077.8999999999996</v>
      </c>
      <c r="E28" s="34">
        <f>D28+(D28*0.03)</f>
        <v>5230.2369999999992</v>
      </c>
      <c r="F28" s="34">
        <f>E28+(E28*0.03)</f>
        <v>5387.1441099999993</v>
      </c>
      <c r="G28" s="34">
        <f>F28+(F28*0.03)</f>
        <v>5548.7584332999995</v>
      </c>
    </row>
    <row r="29" spans="1:7" x14ac:dyDescent="0.35">
      <c r="A29" t="s">
        <v>155</v>
      </c>
      <c r="B29" t="s">
        <v>586</v>
      </c>
      <c r="C29" s="34">
        <f>C26*0.214</f>
        <v>72760</v>
      </c>
      <c r="D29" s="34">
        <f>D26*0.214</f>
        <v>74942.8</v>
      </c>
      <c r="E29" s="34">
        <f>E26*0.214</f>
        <v>77191.084000000003</v>
      </c>
      <c r="F29" s="34">
        <f>F26*0.214</f>
        <v>79506.816519999993</v>
      </c>
      <c r="G29" s="34">
        <f>G26*0.214</f>
        <v>81892.021015599996</v>
      </c>
    </row>
    <row r="30" spans="1:7" x14ac:dyDescent="0.35">
      <c r="A30" t="s">
        <v>172</v>
      </c>
      <c r="B30" t="s">
        <v>175</v>
      </c>
      <c r="C30" s="34">
        <v>30000</v>
      </c>
      <c r="D30" s="34">
        <f t="shared" ref="D30:G45" si="3">C30+(C30*0.03)</f>
        <v>30900</v>
      </c>
      <c r="E30" s="34">
        <f t="shared" si="3"/>
        <v>31827</v>
      </c>
      <c r="F30" s="34">
        <f t="shared" si="3"/>
        <v>32781.81</v>
      </c>
      <c r="G30" s="34">
        <f t="shared" si="3"/>
        <v>33765.264299999995</v>
      </c>
    </row>
    <row r="31" spans="1:7" x14ac:dyDescent="0.35">
      <c r="A31" t="s">
        <v>172</v>
      </c>
      <c r="B31" t="s">
        <v>176</v>
      </c>
      <c r="C31" s="34"/>
      <c r="D31" s="34"/>
      <c r="E31" s="34"/>
      <c r="F31" s="34"/>
      <c r="G31" s="34"/>
    </row>
    <row r="32" spans="1:7" x14ac:dyDescent="0.35">
      <c r="A32" t="s">
        <v>172</v>
      </c>
      <c r="B32" s="2" t="s">
        <v>177</v>
      </c>
      <c r="C32" s="34">
        <v>10000</v>
      </c>
      <c r="D32" s="34">
        <f t="shared" si="3"/>
        <v>10300</v>
      </c>
      <c r="E32" s="34">
        <f t="shared" si="3"/>
        <v>10609</v>
      </c>
      <c r="F32" s="34">
        <f t="shared" si="3"/>
        <v>10927.27</v>
      </c>
      <c r="G32" s="34">
        <f t="shared" si="3"/>
        <v>11255.088100000001</v>
      </c>
    </row>
    <row r="33" spans="1:7" x14ac:dyDescent="0.35">
      <c r="A33" t="s">
        <v>172</v>
      </c>
      <c r="B33" s="2" t="s">
        <v>178</v>
      </c>
      <c r="C33" s="34">
        <v>20000</v>
      </c>
      <c r="D33" s="34">
        <f t="shared" si="3"/>
        <v>20600</v>
      </c>
      <c r="E33" s="34">
        <f t="shared" si="3"/>
        <v>21218</v>
      </c>
      <c r="F33" s="34">
        <f t="shared" si="3"/>
        <v>21854.54</v>
      </c>
      <c r="G33" s="34">
        <f t="shared" si="3"/>
        <v>22510.176200000002</v>
      </c>
    </row>
    <row r="34" spans="1:7" x14ac:dyDescent="0.35">
      <c r="A34" t="s">
        <v>172</v>
      </c>
      <c r="B34" t="s">
        <v>179</v>
      </c>
      <c r="C34" s="34">
        <v>5000</v>
      </c>
      <c r="D34" s="34">
        <f t="shared" si="3"/>
        <v>5150</v>
      </c>
      <c r="E34" s="34">
        <f t="shared" si="3"/>
        <v>5304.5</v>
      </c>
      <c r="F34" s="34">
        <f t="shared" si="3"/>
        <v>5463.6350000000002</v>
      </c>
      <c r="G34" s="34">
        <f t="shared" si="3"/>
        <v>5627.5440500000004</v>
      </c>
    </row>
    <row r="35" spans="1:7" x14ac:dyDescent="0.35">
      <c r="A35" t="s">
        <v>181</v>
      </c>
      <c r="B35" t="s">
        <v>182</v>
      </c>
      <c r="C35" s="34">
        <v>5000</v>
      </c>
      <c r="D35" s="34">
        <f t="shared" si="3"/>
        <v>5150</v>
      </c>
      <c r="E35" s="34">
        <f t="shared" si="3"/>
        <v>5304.5</v>
      </c>
      <c r="F35" s="34">
        <f t="shared" si="3"/>
        <v>5463.6350000000002</v>
      </c>
      <c r="G35" s="34">
        <f t="shared" si="3"/>
        <v>5627.5440500000004</v>
      </c>
    </row>
    <row r="36" spans="1:7" x14ac:dyDescent="0.35">
      <c r="A36" t="s">
        <v>181</v>
      </c>
      <c r="B36" t="s">
        <v>183</v>
      </c>
      <c r="C36" s="37">
        <v>30000</v>
      </c>
      <c r="D36" s="34">
        <f t="shared" si="3"/>
        <v>30900</v>
      </c>
      <c r="E36" s="34">
        <f t="shared" si="3"/>
        <v>31827</v>
      </c>
      <c r="F36" s="34">
        <f t="shared" si="3"/>
        <v>32781.81</v>
      </c>
      <c r="G36" s="34">
        <f t="shared" si="3"/>
        <v>33765.264299999995</v>
      </c>
    </row>
    <row r="37" spans="1:7" x14ac:dyDescent="0.35">
      <c r="A37" t="s">
        <v>181</v>
      </c>
      <c r="B37" t="s">
        <v>184</v>
      </c>
      <c r="C37" s="34">
        <v>20000</v>
      </c>
      <c r="D37" s="34">
        <f t="shared" si="3"/>
        <v>20600</v>
      </c>
      <c r="E37" s="34">
        <f t="shared" si="3"/>
        <v>21218</v>
      </c>
      <c r="F37" s="34">
        <f t="shared" si="3"/>
        <v>21854.54</v>
      </c>
      <c r="G37" s="34">
        <f t="shared" si="3"/>
        <v>22510.176200000002</v>
      </c>
    </row>
    <row r="38" spans="1:7" x14ac:dyDescent="0.35">
      <c r="A38" t="s">
        <v>181</v>
      </c>
      <c r="B38" t="s">
        <v>185</v>
      </c>
      <c r="C38" s="34">
        <v>50000</v>
      </c>
      <c r="D38" s="34">
        <f t="shared" si="3"/>
        <v>51500</v>
      </c>
      <c r="E38" s="34">
        <f t="shared" si="3"/>
        <v>53045</v>
      </c>
      <c r="F38" s="34">
        <f t="shared" si="3"/>
        <v>54636.35</v>
      </c>
      <c r="G38" s="34">
        <f t="shared" si="3"/>
        <v>56275.440499999997</v>
      </c>
    </row>
    <row r="39" spans="1:7" x14ac:dyDescent="0.35">
      <c r="A39" t="s">
        <v>181</v>
      </c>
      <c r="B39" t="s">
        <v>186</v>
      </c>
      <c r="C39" s="34">
        <v>5000</v>
      </c>
      <c r="D39" s="34">
        <f t="shared" si="3"/>
        <v>5150</v>
      </c>
      <c r="E39" s="34">
        <f t="shared" si="3"/>
        <v>5304.5</v>
      </c>
      <c r="F39" s="34">
        <f t="shared" si="3"/>
        <v>5463.6350000000002</v>
      </c>
      <c r="G39" s="34">
        <f t="shared" si="3"/>
        <v>5627.5440500000004</v>
      </c>
    </row>
    <row r="40" spans="1:7" x14ac:dyDescent="0.35">
      <c r="A40" t="s">
        <v>181</v>
      </c>
      <c r="B40" t="s">
        <v>187</v>
      </c>
      <c r="C40" s="34">
        <v>2000</v>
      </c>
      <c r="D40" s="34">
        <f t="shared" si="3"/>
        <v>2060</v>
      </c>
      <c r="E40" s="34">
        <f t="shared" si="3"/>
        <v>2121.8000000000002</v>
      </c>
      <c r="F40" s="34">
        <f t="shared" si="3"/>
        <v>2185.4540000000002</v>
      </c>
      <c r="G40" s="34">
        <f t="shared" si="3"/>
        <v>2251.0176200000001</v>
      </c>
    </row>
    <row r="41" spans="1:7" x14ac:dyDescent="0.35">
      <c r="A41" t="s">
        <v>181</v>
      </c>
      <c r="B41" t="s">
        <v>188</v>
      </c>
      <c r="C41" s="34">
        <v>5000</v>
      </c>
      <c r="D41" s="34">
        <f t="shared" si="3"/>
        <v>5150</v>
      </c>
      <c r="E41" s="34">
        <f t="shared" si="3"/>
        <v>5304.5</v>
      </c>
      <c r="F41" s="34">
        <f t="shared" si="3"/>
        <v>5463.6350000000002</v>
      </c>
      <c r="G41" s="34">
        <f t="shared" si="3"/>
        <v>5627.5440500000004</v>
      </c>
    </row>
    <row r="42" spans="1:7" x14ac:dyDescent="0.35">
      <c r="A42" t="s">
        <v>181</v>
      </c>
      <c r="B42" t="s">
        <v>189</v>
      </c>
      <c r="C42" s="34">
        <v>40000</v>
      </c>
      <c r="D42" s="34">
        <f t="shared" si="3"/>
        <v>41200</v>
      </c>
      <c r="E42" s="34">
        <f t="shared" si="3"/>
        <v>42436</v>
      </c>
      <c r="F42" s="34">
        <f t="shared" si="3"/>
        <v>43709.08</v>
      </c>
      <c r="G42" s="34">
        <f t="shared" si="3"/>
        <v>45020.352400000003</v>
      </c>
    </row>
    <row r="43" spans="1:7" x14ac:dyDescent="0.35">
      <c r="A43" t="s">
        <v>181</v>
      </c>
      <c r="B43" t="s">
        <v>191</v>
      </c>
      <c r="C43" s="34">
        <v>15000</v>
      </c>
      <c r="D43" s="34">
        <f t="shared" si="3"/>
        <v>15450</v>
      </c>
      <c r="E43" s="34">
        <f t="shared" si="3"/>
        <v>15913.5</v>
      </c>
      <c r="F43" s="34">
        <f t="shared" si="3"/>
        <v>16390.904999999999</v>
      </c>
      <c r="G43" s="34">
        <f t="shared" si="3"/>
        <v>16882.632149999998</v>
      </c>
    </row>
    <row r="44" spans="1:7" x14ac:dyDescent="0.35">
      <c r="A44" t="s">
        <v>181</v>
      </c>
      <c r="B44" t="s">
        <v>192</v>
      </c>
      <c r="C44" s="34">
        <v>65000</v>
      </c>
      <c r="D44" s="34">
        <f t="shared" si="3"/>
        <v>66950</v>
      </c>
      <c r="E44" s="34">
        <f t="shared" si="3"/>
        <v>68958.5</v>
      </c>
      <c r="F44" s="34">
        <f t="shared" si="3"/>
        <v>71027.255000000005</v>
      </c>
      <c r="G44" s="34">
        <f t="shared" si="3"/>
        <v>73158.072650000002</v>
      </c>
    </row>
    <row r="45" spans="1:7" x14ac:dyDescent="0.35">
      <c r="A45" t="s">
        <v>169</v>
      </c>
      <c r="B45" t="s">
        <v>195</v>
      </c>
      <c r="C45" s="34">
        <v>6800</v>
      </c>
      <c r="D45" s="34">
        <f t="shared" si="3"/>
        <v>7004</v>
      </c>
      <c r="E45" s="34">
        <f t="shared" si="3"/>
        <v>7214.12</v>
      </c>
      <c r="F45" s="34">
        <f t="shared" si="3"/>
        <v>7430.5436</v>
      </c>
      <c r="G45" s="34">
        <f t="shared" si="3"/>
        <v>7653.4599079999998</v>
      </c>
    </row>
    <row r="46" spans="1:7" x14ac:dyDescent="0.35">
      <c r="A46" t="s">
        <v>169</v>
      </c>
      <c r="B46" t="s">
        <v>198</v>
      </c>
      <c r="C46" s="34">
        <v>30000</v>
      </c>
      <c r="D46" s="34">
        <f t="shared" ref="D46:G61" si="4">C46+(C46*0.03)</f>
        <v>30900</v>
      </c>
      <c r="E46" s="34">
        <f t="shared" si="4"/>
        <v>31827</v>
      </c>
      <c r="F46" s="34">
        <f t="shared" si="4"/>
        <v>32781.81</v>
      </c>
      <c r="G46" s="34">
        <f t="shared" si="4"/>
        <v>33765.264299999995</v>
      </c>
    </row>
    <row r="47" spans="1:7" x14ac:dyDescent="0.35">
      <c r="A47" t="s">
        <v>199</v>
      </c>
      <c r="B47" t="s">
        <v>200</v>
      </c>
      <c r="C47" s="34">
        <v>100000</v>
      </c>
      <c r="D47" s="34">
        <f t="shared" si="4"/>
        <v>103000</v>
      </c>
      <c r="E47" s="34">
        <f t="shared" si="4"/>
        <v>106090</v>
      </c>
      <c r="F47" s="34">
        <f t="shared" si="4"/>
        <v>109272.7</v>
      </c>
      <c r="G47" s="34">
        <f t="shared" si="4"/>
        <v>112550.88099999999</v>
      </c>
    </row>
    <row r="48" spans="1:7" x14ac:dyDescent="0.35">
      <c r="A48" t="s">
        <v>199</v>
      </c>
      <c r="B48" t="s">
        <v>202</v>
      </c>
      <c r="C48" s="60">
        <v>0</v>
      </c>
      <c r="D48" s="60">
        <v>200000</v>
      </c>
      <c r="E48" s="60">
        <v>300000</v>
      </c>
      <c r="F48" s="60">
        <v>400000</v>
      </c>
      <c r="G48" s="60">
        <v>500000</v>
      </c>
    </row>
    <row r="49" spans="1:7" x14ac:dyDescent="0.35">
      <c r="A49" t="s">
        <v>199</v>
      </c>
      <c r="B49" t="s">
        <v>204</v>
      </c>
      <c r="C49" s="34">
        <v>30000</v>
      </c>
      <c r="D49" s="34">
        <f>C49+(C49*0.03)</f>
        <v>30900</v>
      </c>
      <c r="E49" s="34">
        <f>D49+(D49*0.03)</f>
        <v>31827</v>
      </c>
      <c r="F49" s="34">
        <f>E49+(E49*0.03)</f>
        <v>32781.81</v>
      </c>
      <c r="G49" s="34">
        <f>F49+(F49*0.03)</f>
        <v>33765.264299999995</v>
      </c>
    </row>
    <row r="50" spans="1:7" x14ac:dyDescent="0.35">
      <c r="A50" t="s">
        <v>199</v>
      </c>
      <c r="B50" t="s">
        <v>205</v>
      </c>
      <c r="C50" s="34">
        <v>60000</v>
      </c>
      <c r="D50" s="34">
        <f t="shared" si="4"/>
        <v>61800</v>
      </c>
      <c r="E50" s="34">
        <f t="shared" si="4"/>
        <v>63654</v>
      </c>
      <c r="F50" s="34">
        <f t="shared" si="4"/>
        <v>65563.62</v>
      </c>
      <c r="G50" s="34">
        <f t="shared" si="4"/>
        <v>67530.528599999991</v>
      </c>
    </row>
    <row r="51" spans="1:7" x14ac:dyDescent="0.35">
      <c r="A51" t="s">
        <v>199</v>
      </c>
      <c r="B51" t="s">
        <v>206</v>
      </c>
      <c r="C51" s="34">
        <v>15000</v>
      </c>
      <c r="D51" s="34">
        <f t="shared" si="4"/>
        <v>15450</v>
      </c>
      <c r="E51" s="34">
        <f t="shared" si="4"/>
        <v>15913.5</v>
      </c>
      <c r="F51" s="34">
        <f t="shared" si="4"/>
        <v>16390.904999999999</v>
      </c>
      <c r="G51" s="34">
        <f t="shared" si="4"/>
        <v>16882.632149999998</v>
      </c>
    </row>
    <row r="52" spans="1:7" x14ac:dyDescent="0.35">
      <c r="A52" t="s">
        <v>199</v>
      </c>
      <c r="B52" t="s">
        <v>227</v>
      </c>
      <c r="C52" s="35">
        <v>50000</v>
      </c>
      <c r="D52" s="34">
        <f t="shared" si="4"/>
        <v>51500</v>
      </c>
      <c r="E52" s="34">
        <v>100000</v>
      </c>
      <c r="F52" s="34">
        <f t="shared" si="4"/>
        <v>103000</v>
      </c>
      <c r="G52" s="34">
        <f t="shared" si="4"/>
        <v>106090</v>
      </c>
    </row>
    <row r="53" spans="1:7" x14ac:dyDescent="0.35">
      <c r="A53" t="s">
        <v>124</v>
      </c>
      <c r="B53" t="s">
        <v>67</v>
      </c>
      <c r="C53" s="34">
        <v>34330</v>
      </c>
      <c r="D53" s="34">
        <f t="shared" si="4"/>
        <v>35359.9</v>
      </c>
      <c r="E53" s="34">
        <f t="shared" si="4"/>
        <v>36420.697</v>
      </c>
      <c r="F53" s="34">
        <f t="shared" si="4"/>
        <v>37513.317909999998</v>
      </c>
      <c r="G53" s="34">
        <f t="shared" si="4"/>
        <v>38638.717447299998</v>
      </c>
    </row>
    <row r="54" spans="1:7" x14ac:dyDescent="0.35">
      <c r="A54" t="s">
        <v>124</v>
      </c>
      <c r="B54" t="s">
        <v>126</v>
      </c>
      <c r="C54" s="34">
        <v>4070</v>
      </c>
      <c r="D54" s="34">
        <f t="shared" si="4"/>
        <v>4192.1000000000004</v>
      </c>
      <c r="E54" s="34">
        <f t="shared" si="4"/>
        <v>4317.8630000000003</v>
      </c>
      <c r="F54" s="34">
        <f t="shared" si="4"/>
        <v>4447.3988900000004</v>
      </c>
      <c r="G54" s="34">
        <f t="shared" si="4"/>
        <v>4580.8208567000001</v>
      </c>
    </row>
    <row r="55" spans="1:7" x14ac:dyDescent="0.35">
      <c r="A55" t="s">
        <v>124</v>
      </c>
      <c r="B55" t="s">
        <v>127</v>
      </c>
      <c r="C55" s="34">
        <v>12250</v>
      </c>
      <c r="D55" s="34">
        <f t="shared" si="4"/>
        <v>12617.5</v>
      </c>
      <c r="E55" s="34">
        <f t="shared" si="4"/>
        <v>12996.025</v>
      </c>
      <c r="F55" s="34">
        <f t="shared" si="4"/>
        <v>13385.90575</v>
      </c>
      <c r="G55" s="34">
        <f t="shared" si="4"/>
        <v>13787.482922499999</v>
      </c>
    </row>
    <row r="56" spans="1:7" x14ac:dyDescent="0.35">
      <c r="A56" t="s">
        <v>124</v>
      </c>
      <c r="B56" t="s">
        <v>128</v>
      </c>
      <c r="C56" s="35">
        <v>180000</v>
      </c>
      <c r="D56" s="34">
        <f t="shared" si="4"/>
        <v>185400</v>
      </c>
      <c r="E56" s="34">
        <f t="shared" si="4"/>
        <v>190962</v>
      </c>
      <c r="F56" s="34">
        <f t="shared" si="4"/>
        <v>196690.86</v>
      </c>
      <c r="G56" s="34">
        <f t="shared" si="4"/>
        <v>202591.58579999997</v>
      </c>
    </row>
    <row r="57" spans="1:7" x14ac:dyDescent="0.35">
      <c r="A57" t="s">
        <v>124</v>
      </c>
      <c r="B57" t="s">
        <v>129</v>
      </c>
      <c r="C57" s="34">
        <v>10000</v>
      </c>
      <c r="D57" s="34">
        <f t="shared" si="4"/>
        <v>10300</v>
      </c>
      <c r="E57" s="34">
        <f t="shared" si="4"/>
        <v>10609</v>
      </c>
      <c r="F57" s="34">
        <f t="shared" si="4"/>
        <v>10927.27</v>
      </c>
      <c r="G57" s="34">
        <f t="shared" si="4"/>
        <v>11255.088100000001</v>
      </c>
    </row>
    <row r="58" spans="1:7" x14ac:dyDescent="0.35">
      <c r="A58" t="s">
        <v>124</v>
      </c>
      <c r="B58" t="s">
        <v>130</v>
      </c>
      <c r="C58" s="34">
        <v>30000</v>
      </c>
      <c r="D58" s="34">
        <f t="shared" si="4"/>
        <v>30900</v>
      </c>
      <c r="E58" s="34">
        <f t="shared" si="4"/>
        <v>31827</v>
      </c>
      <c r="F58" s="34">
        <f t="shared" si="4"/>
        <v>32781.81</v>
      </c>
      <c r="G58" s="34">
        <f t="shared" si="4"/>
        <v>33765.264299999995</v>
      </c>
    </row>
    <row r="59" spans="1:7" x14ac:dyDescent="0.35">
      <c r="A59" t="s">
        <v>124</v>
      </c>
      <c r="B59" t="s">
        <v>131</v>
      </c>
      <c r="C59" s="34">
        <v>20000</v>
      </c>
      <c r="D59" s="34">
        <f t="shared" si="4"/>
        <v>20600</v>
      </c>
      <c r="E59" s="34">
        <f t="shared" si="4"/>
        <v>21218</v>
      </c>
      <c r="F59" s="34">
        <f t="shared" si="4"/>
        <v>21854.54</v>
      </c>
      <c r="G59" s="34">
        <f t="shared" si="4"/>
        <v>22510.176200000002</v>
      </c>
    </row>
    <row r="60" spans="1:7" x14ac:dyDescent="0.35">
      <c r="A60" t="s">
        <v>124</v>
      </c>
      <c r="B60" t="s">
        <v>41</v>
      </c>
      <c r="C60" s="34">
        <v>5000</v>
      </c>
      <c r="D60" s="34">
        <f t="shared" si="4"/>
        <v>5150</v>
      </c>
      <c r="E60" s="34">
        <f t="shared" si="4"/>
        <v>5304.5</v>
      </c>
      <c r="F60" s="34">
        <f t="shared" si="4"/>
        <v>5463.6350000000002</v>
      </c>
      <c r="G60" s="34">
        <f t="shared" si="4"/>
        <v>5627.5440500000004</v>
      </c>
    </row>
    <row r="61" spans="1:7" x14ac:dyDescent="0.35">
      <c r="A61" t="s">
        <v>124</v>
      </c>
      <c r="B61" t="s">
        <v>135</v>
      </c>
      <c r="C61" s="34">
        <v>3000</v>
      </c>
      <c r="D61" s="34">
        <f t="shared" si="4"/>
        <v>3090</v>
      </c>
      <c r="E61" s="34">
        <f t="shared" si="4"/>
        <v>3182.7</v>
      </c>
      <c r="F61" s="34">
        <f t="shared" si="4"/>
        <v>3278.1809999999996</v>
      </c>
      <c r="G61" s="34">
        <f t="shared" si="4"/>
        <v>3376.5264299999994</v>
      </c>
    </row>
    <row r="62" spans="1:7" x14ac:dyDescent="0.35">
      <c r="A62" t="s">
        <v>124</v>
      </c>
      <c r="B62" t="s">
        <v>136</v>
      </c>
      <c r="C62" s="34">
        <v>32000</v>
      </c>
      <c r="D62" s="34">
        <f t="shared" ref="D62:G69" si="5">C62+(C62*0.03)</f>
        <v>32960</v>
      </c>
      <c r="E62" s="34">
        <f t="shared" si="5"/>
        <v>33948.800000000003</v>
      </c>
      <c r="F62" s="34">
        <f t="shared" si="5"/>
        <v>34967.264000000003</v>
      </c>
      <c r="G62" s="34">
        <f t="shared" si="5"/>
        <v>36016.281920000001</v>
      </c>
    </row>
    <row r="63" spans="1:7" x14ac:dyDescent="0.35">
      <c r="A63" t="s">
        <v>137</v>
      </c>
      <c r="B63" t="s">
        <v>138</v>
      </c>
      <c r="C63" s="34">
        <v>63000</v>
      </c>
      <c r="D63" s="34">
        <f t="shared" si="5"/>
        <v>64890</v>
      </c>
      <c r="E63" s="34">
        <f t="shared" si="5"/>
        <v>66836.7</v>
      </c>
      <c r="F63" s="34">
        <f t="shared" si="5"/>
        <v>68841.800999999992</v>
      </c>
      <c r="G63" s="34">
        <f t="shared" si="5"/>
        <v>70907.055029999989</v>
      </c>
    </row>
    <row r="64" spans="1:7" x14ac:dyDescent="0.35">
      <c r="A64" t="s">
        <v>137</v>
      </c>
      <c r="B64" t="s">
        <v>142</v>
      </c>
      <c r="C64" s="34">
        <v>10000</v>
      </c>
      <c r="D64" s="34">
        <f t="shared" si="5"/>
        <v>10300</v>
      </c>
      <c r="E64" s="34">
        <f t="shared" si="5"/>
        <v>10609</v>
      </c>
      <c r="F64" s="34">
        <f t="shared" si="5"/>
        <v>10927.27</v>
      </c>
      <c r="G64" s="34">
        <f t="shared" si="5"/>
        <v>11255.088100000001</v>
      </c>
    </row>
    <row r="65" spans="1:7" x14ac:dyDescent="0.35">
      <c r="A65" t="s">
        <v>137</v>
      </c>
      <c r="B65" t="s">
        <v>143</v>
      </c>
      <c r="C65" s="34">
        <v>70000</v>
      </c>
      <c r="D65" s="34">
        <f t="shared" si="5"/>
        <v>72100</v>
      </c>
      <c r="E65" s="34">
        <f t="shared" si="5"/>
        <v>74263</v>
      </c>
      <c r="F65" s="34">
        <f t="shared" si="5"/>
        <v>76490.89</v>
      </c>
      <c r="G65" s="34">
        <f t="shared" si="5"/>
        <v>78785.616699999999</v>
      </c>
    </row>
    <row r="66" spans="1:7" x14ac:dyDescent="0.35">
      <c r="A66" t="s">
        <v>137</v>
      </c>
      <c r="B66" t="s">
        <v>144</v>
      </c>
      <c r="C66" s="34">
        <v>6000</v>
      </c>
      <c r="D66" s="34">
        <f t="shared" si="5"/>
        <v>6180</v>
      </c>
      <c r="E66" s="34">
        <f t="shared" si="5"/>
        <v>6365.4</v>
      </c>
      <c r="F66" s="34">
        <f t="shared" si="5"/>
        <v>6556.3619999999992</v>
      </c>
      <c r="G66" s="34">
        <f t="shared" si="5"/>
        <v>6753.0528599999989</v>
      </c>
    </row>
    <row r="67" spans="1:7" x14ac:dyDescent="0.35">
      <c r="A67" t="s">
        <v>137</v>
      </c>
      <c r="B67" t="s">
        <v>145</v>
      </c>
      <c r="C67" s="34">
        <v>2100</v>
      </c>
      <c r="D67" s="34">
        <f t="shared" si="5"/>
        <v>2163</v>
      </c>
      <c r="E67" s="34">
        <f t="shared" si="5"/>
        <v>2227.89</v>
      </c>
      <c r="F67" s="34">
        <f t="shared" si="5"/>
        <v>2294.7266999999997</v>
      </c>
      <c r="G67" s="34">
        <f t="shared" si="5"/>
        <v>2363.5685009999997</v>
      </c>
    </row>
    <row r="68" spans="1:7" x14ac:dyDescent="0.35">
      <c r="A68" t="s">
        <v>137</v>
      </c>
      <c r="B68" t="s">
        <v>146</v>
      </c>
      <c r="C68" s="34">
        <v>45000</v>
      </c>
      <c r="D68" s="34">
        <f t="shared" si="5"/>
        <v>46350</v>
      </c>
      <c r="E68" s="34">
        <f t="shared" si="5"/>
        <v>47740.5</v>
      </c>
      <c r="F68" s="34">
        <f t="shared" si="5"/>
        <v>49172.714999999997</v>
      </c>
      <c r="G68" s="34">
        <f t="shared" si="5"/>
        <v>50647.896449999993</v>
      </c>
    </row>
    <row r="69" spans="1:7" x14ac:dyDescent="0.35">
      <c r="A69" t="s">
        <v>137</v>
      </c>
      <c r="B69" t="s">
        <v>147</v>
      </c>
      <c r="C69" s="34">
        <v>10000</v>
      </c>
      <c r="D69" s="34">
        <f t="shared" si="5"/>
        <v>10300</v>
      </c>
      <c r="E69" s="34">
        <f t="shared" si="5"/>
        <v>10609</v>
      </c>
      <c r="F69" s="34">
        <f t="shared" si="5"/>
        <v>10927.27</v>
      </c>
      <c r="G69" s="34">
        <f t="shared" si="5"/>
        <v>11255.088100000001</v>
      </c>
    </row>
    <row r="70" spans="1:7" x14ac:dyDescent="0.35">
      <c r="A70" t="s">
        <v>137</v>
      </c>
      <c r="B70" t="s">
        <v>148</v>
      </c>
      <c r="C70" s="35">
        <v>500000</v>
      </c>
      <c r="D70" s="35">
        <v>500000</v>
      </c>
      <c r="E70" s="35">
        <v>500000</v>
      </c>
      <c r="F70" s="35">
        <v>500000</v>
      </c>
      <c r="G70" s="35">
        <v>500000</v>
      </c>
    </row>
    <row r="71" spans="1:7" ht="16" thickBot="1" x14ac:dyDescent="0.4">
      <c r="A71" s="3"/>
      <c r="B71" s="32" t="s">
        <v>518</v>
      </c>
      <c r="C71" s="38">
        <f>SUM(C18:C70)</f>
        <v>4487117.5</v>
      </c>
      <c r="D71" s="38">
        <f>SUM(D18:D70)</f>
        <v>4794709.4249999998</v>
      </c>
      <c r="E71" s="38">
        <f>SUM(E18:E70)</f>
        <v>5088979.7169499993</v>
      </c>
      <c r="F71" s="38">
        <f>SUM(F18:F70)</f>
        <v>5610225.995626498</v>
      </c>
      <c r="G71" s="38">
        <f>SUM(G18:G70)</f>
        <v>5880765.8516300162</v>
      </c>
    </row>
    <row r="72" spans="1:7" x14ac:dyDescent="0.35">
      <c r="C72" s="53"/>
      <c r="D72" s="49"/>
      <c r="E72" s="8"/>
      <c r="F72" s="8"/>
      <c r="G72" s="8"/>
    </row>
    <row r="73" spans="1:7" ht="16" thickBot="1" x14ac:dyDescent="0.4">
      <c r="A73" s="5"/>
      <c r="B73" s="6" t="s">
        <v>558</v>
      </c>
      <c r="C73" s="61">
        <f>C16-C71</f>
        <v>242882.5</v>
      </c>
      <c r="D73" s="58">
        <f>D16-D71</f>
        <v>394238.375</v>
      </c>
      <c r="E73" s="58">
        <f>E16-E71</f>
        <v>454316.28105000034</v>
      </c>
      <c r="F73" s="58">
        <f>F16-F71</f>
        <v>468137.6589150019</v>
      </c>
      <c r="G73" s="58">
        <f>G16-G71</f>
        <v>653088.04191619065</v>
      </c>
    </row>
    <row r="74" spans="1:7" x14ac:dyDescent="0.35">
      <c r="B74" s="8"/>
      <c r="C74" s="53"/>
      <c r="D74" s="49"/>
      <c r="E74" s="8"/>
      <c r="F74" s="8"/>
      <c r="G74" s="8"/>
    </row>
    <row r="75" spans="1:7" x14ac:dyDescent="0.35">
      <c r="A75" s="11"/>
      <c r="B75" s="12" t="s">
        <v>609</v>
      </c>
      <c r="C75" s="62">
        <f>C71*0.03</f>
        <v>134613.52499999999</v>
      </c>
      <c r="D75" s="34">
        <f>D71*0.03</f>
        <v>143841.28274999998</v>
      </c>
      <c r="E75" s="41">
        <f>E71*0.03</f>
        <v>152669.39150849998</v>
      </c>
      <c r="F75" s="41">
        <f>F71*0.03</f>
        <v>168306.77986879493</v>
      </c>
      <c r="G75" s="41">
        <f>G71*0.03</f>
        <v>176422.97554890049</v>
      </c>
    </row>
    <row r="76" spans="1:7" x14ac:dyDescent="0.35">
      <c r="A76" s="11"/>
      <c r="B76" s="15" t="s">
        <v>610</v>
      </c>
      <c r="C76" s="63">
        <f>C71*0.01</f>
        <v>44871.175000000003</v>
      </c>
      <c r="D76" s="34">
        <f>D71*0.01</f>
        <v>47947.094250000002</v>
      </c>
      <c r="E76" s="34">
        <f>E71*0.01</f>
        <v>50889.797169499994</v>
      </c>
      <c r="F76" s="34">
        <f>F71*0.01</f>
        <v>56102.259956264985</v>
      </c>
      <c r="G76" s="34">
        <f>G71*0.01</f>
        <v>58807.658516300166</v>
      </c>
    </row>
    <row r="77" spans="1:7" ht="16" thickBot="1" x14ac:dyDescent="0.4">
      <c r="A77" s="5"/>
      <c r="B77" s="6" t="s">
        <v>559</v>
      </c>
      <c r="C77" s="55">
        <f>C73-C75-C76</f>
        <v>63397.8</v>
      </c>
      <c r="D77" s="59">
        <f>D73-D75-D76</f>
        <v>202449.99800000002</v>
      </c>
      <c r="E77" s="42">
        <f>E73-E75</f>
        <v>301646.88954150036</v>
      </c>
      <c r="F77" s="42">
        <f>F73-F75</f>
        <v>299830.87904620694</v>
      </c>
      <c r="G77" s="42">
        <f>G73-G75</f>
        <v>476665.06636729016</v>
      </c>
    </row>
  </sheetData>
  <mergeCells count="2">
    <mergeCell ref="A1:G1"/>
    <mergeCell ref="A2:G2"/>
  </mergeCells>
  <pageMargins left="0.7" right="0.7" top="0.75" bottom="0.75" header="0.3" footer="0.3"/>
  <pageSetup scale="78" orientation="portrait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9E52-2C6B-456F-9BCC-59F69C3253EF}">
  <dimension ref="A1:C23"/>
  <sheetViews>
    <sheetView workbookViewId="0">
      <selection activeCell="G27" sqref="G27"/>
    </sheetView>
  </sheetViews>
  <sheetFormatPr defaultRowHeight="14.5" x14ac:dyDescent="0.35"/>
  <cols>
    <col min="1" max="1" width="24" customWidth="1"/>
    <col min="2" max="2" width="16.26953125" style="126" bestFit="1" customWidth="1"/>
    <col min="3" max="3" width="18.453125" bestFit="1" customWidth="1"/>
  </cols>
  <sheetData>
    <row r="1" spans="1:3" x14ac:dyDescent="0.35">
      <c r="A1" s="253" t="s">
        <v>452</v>
      </c>
    </row>
    <row r="2" spans="1:3" x14ac:dyDescent="0.35">
      <c r="A2" t="s">
        <v>453</v>
      </c>
      <c r="B2" s="126" t="s">
        <v>454</v>
      </c>
      <c r="C2" t="s">
        <v>455</v>
      </c>
    </row>
    <row r="3" spans="1:3" x14ac:dyDescent="0.35">
      <c r="A3" s="253" t="s">
        <v>456</v>
      </c>
      <c r="B3" s="736">
        <v>338.45100000000002</v>
      </c>
      <c r="C3">
        <v>338.4</v>
      </c>
    </row>
    <row r="4" spans="1:3" x14ac:dyDescent="0.35">
      <c r="A4" s="97" t="s">
        <v>457</v>
      </c>
      <c r="B4" s="126">
        <v>4194334</v>
      </c>
      <c r="C4" s="126"/>
    </row>
    <row r="5" spans="1:3" x14ac:dyDescent="0.35">
      <c r="A5" s="97" t="s">
        <v>458</v>
      </c>
      <c r="B5" s="739">
        <v>522110</v>
      </c>
      <c r="C5" s="739"/>
    </row>
    <row r="6" spans="1:3" x14ac:dyDescent="0.35">
      <c r="A6" s="737" t="s">
        <v>459</v>
      </c>
      <c r="B6" s="733">
        <f>SUM(B4:B5)</f>
        <v>4716444</v>
      </c>
      <c r="C6" s="733">
        <v>3789850</v>
      </c>
    </row>
    <row r="7" spans="1:3" x14ac:dyDescent="0.35">
      <c r="A7" s="741" t="s">
        <v>460</v>
      </c>
      <c r="B7" s="742">
        <f>B6/B3</f>
        <v>13935.382078942002</v>
      </c>
      <c r="C7" s="742">
        <f>C6/C3</f>
        <v>11199.320330969267</v>
      </c>
    </row>
    <row r="8" spans="1:3" x14ac:dyDescent="0.35">
      <c r="A8" s="97"/>
      <c r="B8" s="733"/>
      <c r="C8" s="126"/>
    </row>
    <row r="9" spans="1:3" x14ac:dyDescent="0.35">
      <c r="A9" s="97">
        <v>1882</v>
      </c>
      <c r="B9" s="740">
        <v>555111</v>
      </c>
      <c r="C9" s="739">
        <v>384588</v>
      </c>
    </row>
    <row r="10" spans="1:3" x14ac:dyDescent="0.35">
      <c r="A10" s="97" t="s">
        <v>461</v>
      </c>
      <c r="B10" s="126">
        <f>B9*0.1</f>
        <v>55511.100000000006</v>
      </c>
      <c r="C10" s="126">
        <v>38459</v>
      </c>
    </row>
    <row r="11" spans="1:3" x14ac:dyDescent="0.35">
      <c r="A11" s="97" t="s">
        <v>462</v>
      </c>
      <c r="B11" s="739">
        <v>73699</v>
      </c>
      <c r="C11" s="739"/>
    </row>
    <row r="12" spans="1:3" x14ac:dyDescent="0.35">
      <c r="A12" s="737" t="s">
        <v>463</v>
      </c>
      <c r="B12" s="733">
        <f>B9-B10-B11</f>
        <v>425900.9</v>
      </c>
      <c r="C12" s="733">
        <v>346129</v>
      </c>
    </row>
    <row r="13" spans="1:3" x14ac:dyDescent="0.35">
      <c r="A13" s="741" t="s">
        <v>464</v>
      </c>
      <c r="B13" s="742">
        <f>B12/B3</f>
        <v>1258.3827496447047</v>
      </c>
      <c r="C13" s="742">
        <f>C12/C3</f>
        <v>1022.8398345153665</v>
      </c>
    </row>
    <row r="14" spans="1:3" x14ac:dyDescent="0.35">
      <c r="C14" s="126"/>
    </row>
    <row r="15" spans="1:3" s="734" customFormat="1" ht="15.5" x14ac:dyDescent="0.35">
      <c r="A15" s="734" t="s">
        <v>465</v>
      </c>
      <c r="B15" s="735">
        <f>B6+B12</f>
        <v>5142344.9000000004</v>
      </c>
      <c r="C15" s="735">
        <f>C6+C12</f>
        <v>4135979</v>
      </c>
    </row>
    <row r="16" spans="1:3" x14ac:dyDescent="0.35">
      <c r="A16" s="743" t="s">
        <v>466</v>
      </c>
      <c r="B16" s="742">
        <f>B15/B3</f>
        <v>15193.764828586709</v>
      </c>
      <c r="C16" s="742">
        <f>C15/C3</f>
        <v>12222.160165484634</v>
      </c>
    </row>
    <row r="17" spans="1:3" x14ac:dyDescent="0.35">
      <c r="C17" s="126"/>
    </row>
    <row r="18" spans="1:3" x14ac:dyDescent="0.35">
      <c r="A18" t="s">
        <v>467</v>
      </c>
      <c r="B18" s="738">
        <v>250</v>
      </c>
      <c r="C18" s="126"/>
    </row>
    <row r="19" spans="1:3" x14ac:dyDescent="0.35">
      <c r="A19" t="s">
        <v>468</v>
      </c>
      <c r="B19" s="744">
        <v>0.94</v>
      </c>
      <c r="C19" s="126"/>
    </row>
    <row r="20" spans="1:3" x14ac:dyDescent="0.35">
      <c r="A20" t="s">
        <v>469</v>
      </c>
      <c r="B20" s="738">
        <f>B19*B18</f>
        <v>235</v>
      </c>
      <c r="C20" s="126">
        <v>235</v>
      </c>
    </row>
    <row r="21" spans="1:3" x14ac:dyDescent="0.35">
      <c r="A21" t="s">
        <v>470</v>
      </c>
      <c r="B21" s="126">
        <f>B20*B7</f>
        <v>3274814.7885513706</v>
      </c>
      <c r="C21" s="126">
        <f>C20*C7</f>
        <v>2631840.277777778</v>
      </c>
    </row>
    <row r="22" spans="1:3" x14ac:dyDescent="0.35">
      <c r="A22" t="s">
        <v>471</v>
      </c>
      <c r="B22" s="739">
        <f>B20*B13</f>
        <v>295719.94616650563</v>
      </c>
      <c r="C22" s="739">
        <f>C20*C13</f>
        <v>240367.36111111112</v>
      </c>
    </row>
    <row r="23" spans="1:3" x14ac:dyDescent="0.35">
      <c r="A23" t="s">
        <v>472</v>
      </c>
      <c r="B23" s="733">
        <f>SUM(B20:B22)</f>
        <v>3570769.7347178762</v>
      </c>
      <c r="C23" s="733">
        <f>SUM(C20:C22)</f>
        <v>2872442.638888889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39E8D-BF92-40DE-8331-F767867B96A8}">
  <sheetPr>
    <tabColor theme="7" tint="0.79998168889431442"/>
  </sheetPr>
  <dimension ref="A1:P178"/>
  <sheetViews>
    <sheetView topLeftCell="B1" zoomScaleNormal="100" workbookViewId="0">
      <pane xSplit="1" ySplit="2" topLeftCell="C3" activePane="bottomRight" state="frozen"/>
      <selection pane="topRight" activeCell="C1" sqref="C1"/>
      <selection pane="bottomLeft" activeCell="B2" sqref="B2"/>
      <selection pane="bottomRight" activeCell="E12" sqref="E12"/>
    </sheetView>
  </sheetViews>
  <sheetFormatPr defaultColWidth="9.1796875" defaultRowHeight="14.5" x14ac:dyDescent="0.35"/>
  <cols>
    <col min="1" max="1" width="36.26953125" style="317" hidden="1" customWidth="1"/>
    <col min="2" max="2" width="59.453125" style="317" bestFit="1" customWidth="1"/>
    <col min="3" max="3" width="14.1796875" style="318" bestFit="1" customWidth="1"/>
    <col min="4" max="4" width="14.1796875" style="460" bestFit="1" customWidth="1"/>
    <col min="5" max="6" width="15.26953125" style="318" bestFit="1" customWidth="1"/>
    <col min="7" max="7" width="14.7265625" style="318" customWidth="1"/>
    <col min="8" max="8" width="14.1796875" style="318" bestFit="1" customWidth="1"/>
    <col min="9" max="9" width="14.453125" style="318" customWidth="1"/>
    <col min="10" max="10" width="14.1796875" style="318" bestFit="1" customWidth="1"/>
    <col min="11" max="11" width="15" style="318" customWidth="1"/>
    <col min="12" max="12" width="14.1796875" style="318" bestFit="1" customWidth="1"/>
    <col min="13" max="13" width="15.54296875" style="318" bestFit="1" customWidth="1"/>
    <col min="14" max="14" width="15.26953125" style="318" bestFit="1" customWidth="1"/>
    <col min="15" max="15" width="14.453125" style="318" bestFit="1" customWidth="1"/>
    <col min="16" max="16" width="14.81640625" style="318" bestFit="1" customWidth="1"/>
    <col min="17" max="16384" width="9.1796875" style="317"/>
  </cols>
  <sheetData>
    <row r="1" spans="1:16" s="326" customFormat="1" ht="19" thickBot="1" x14ac:dyDescent="0.5">
      <c r="B1" s="461" t="s">
        <v>473</v>
      </c>
      <c r="C1" s="1251" t="s">
        <v>474</v>
      </c>
      <c r="D1" s="1252"/>
      <c r="E1" s="1253" t="s">
        <v>97</v>
      </c>
      <c r="F1" s="1254"/>
      <c r="G1" s="1255" t="s">
        <v>215</v>
      </c>
      <c r="H1" s="1256"/>
      <c r="I1" s="1257" t="s">
        <v>113</v>
      </c>
      <c r="J1" s="1258"/>
      <c r="K1" s="1242" t="s">
        <v>216</v>
      </c>
      <c r="L1" s="1243"/>
      <c r="M1" s="1244" t="s">
        <v>1</v>
      </c>
      <c r="N1" s="1245"/>
      <c r="O1" s="1246" t="s">
        <v>115</v>
      </c>
      <c r="P1" s="1247"/>
    </row>
    <row r="2" spans="1:16" s="326" customFormat="1" ht="18" customHeight="1" thickBot="1" x14ac:dyDescent="0.4">
      <c r="A2" s="429" t="s">
        <v>93</v>
      </c>
      <c r="B2" s="462" t="s">
        <v>94</v>
      </c>
      <c r="C2" s="342" t="s">
        <v>95</v>
      </c>
      <c r="D2" s="456" t="s">
        <v>96</v>
      </c>
      <c r="E2" s="346" t="s">
        <v>475</v>
      </c>
      <c r="F2" s="347" t="s">
        <v>96</v>
      </c>
      <c r="G2" s="356" t="s">
        <v>475</v>
      </c>
      <c r="H2" s="357" t="s">
        <v>96</v>
      </c>
      <c r="I2" s="368" t="s">
        <v>475</v>
      </c>
      <c r="J2" s="369" t="s">
        <v>96</v>
      </c>
      <c r="K2" s="380" t="s">
        <v>475</v>
      </c>
      <c r="L2" s="381" t="s">
        <v>96</v>
      </c>
      <c r="M2" s="392" t="s">
        <v>475</v>
      </c>
      <c r="N2" s="393" t="s">
        <v>96</v>
      </c>
      <c r="O2" s="404" t="s">
        <v>475</v>
      </c>
      <c r="P2" s="327" t="s">
        <v>96</v>
      </c>
    </row>
    <row r="3" spans="1:16" ht="16" thickBot="1" x14ac:dyDescent="0.4">
      <c r="A3" s="320" t="s">
        <v>7</v>
      </c>
      <c r="B3" s="321" t="s">
        <v>7</v>
      </c>
      <c r="C3" s="343">
        <v>200000</v>
      </c>
      <c r="D3" s="457">
        <v>200000</v>
      </c>
      <c r="E3" s="348">
        <v>1823958</v>
      </c>
      <c r="F3" s="349">
        <v>1823958</v>
      </c>
      <c r="G3" s="358">
        <f>'C2 FY23-FY27 Budget'!D10</f>
        <v>280209</v>
      </c>
      <c r="H3" s="359">
        <f>'C2 FY23-FY27 Budget'!E10</f>
        <v>133869</v>
      </c>
      <c r="I3" s="370">
        <f>'C3 FY23-FY27 Budget '!D10</f>
        <v>262137</v>
      </c>
      <c r="J3" s="371">
        <f>'C3 FY23-FY27 Budget '!E10</f>
        <v>238293</v>
      </c>
      <c r="K3" s="382">
        <f>'SHES FY23-FY27 Budget '!D11</f>
        <v>441727</v>
      </c>
      <c r="L3" s="383">
        <f>'SHES FY23-FY27 Budget '!E11</f>
        <v>441727</v>
      </c>
      <c r="M3" s="394">
        <f>'Ector FY23-FY27 Budget '!D11</f>
        <v>1110185</v>
      </c>
      <c r="N3" s="395">
        <f>'Ector FY23-FY27 Budget '!E11</f>
        <v>1110185</v>
      </c>
      <c r="O3" s="406">
        <f>'Mendez FY23-FY27 Budget'!D11</f>
        <v>0</v>
      </c>
      <c r="P3" s="322">
        <f>'Mendez FY23-FY27 Budget'!E11</f>
        <v>0</v>
      </c>
    </row>
    <row r="4" spans="1:16" s="318" customFormat="1" x14ac:dyDescent="0.35">
      <c r="A4" s="436" t="s">
        <v>98</v>
      </c>
      <c r="B4" s="430" t="s">
        <v>99</v>
      </c>
      <c r="C4" s="463">
        <v>0</v>
      </c>
      <c r="D4" s="464">
        <v>0</v>
      </c>
      <c r="E4" s="339">
        <f>'AAL FY23-FY27 Budget'!D11</f>
        <v>25000</v>
      </c>
      <c r="F4" s="350">
        <f>'AAL FY23-FY27 Budget'!E11</f>
        <v>25000</v>
      </c>
      <c r="G4" s="360">
        <f>'C2 FY23-FY27 Budget'!D11</f>
        <v>10000</v>
      </c>
      <c r="H4" s="361">
        <f>'C2 FY23-FY27 Budget'!E11</f>
        <v>10000</v>
      </c>
      <c r="I4" s="372">
        <f>'C3 FY23-FY27 Budget '!D11</f>
        <v>14000</v>
      </c>
      <c r="J4" s="373">
        <f>'C3 FY23-FY27 Budget '!E11</f>
        <v>14000</v>
      </c>
      <c r="K4" s="384">
        <f>'SHES FY23-FY27 Budget '!D30</f>
        <v>0</v>
      </c>
      <c r="L4" s="385">
        <f>'SHES FY23-FY27 Budget '!E30</f>
        <v>0</v>
      </c>
      <c r="M4" s="396">
        <f>'Ector FY23-FY27 Budget '!D30</f>
        <v>0</v>
      </c>
      <c r="N4" s="397">
        <v>0</v>
      </c>
      <c r="O4" s="407">
        <f>'Mendez FY23-FY27 Budget'!D32</f>
        <v>0</v>
      </c>
      <c r="P4" s="408">
        <f>'Mendez FY23-FY27 Budget'!E32</f>
        <v>0</v>
      </c>
    </row>
    <row r="5" spans="1:16" s="318" customFormat="1" x14ac:dyDescent="0.35">
      <c r="A5" s="437" t="s">
        <v>476</v>
      </c>
      <c r="B5" s="431" t="s">
        <v>477</v>
      </c>
      <c r="C5" s="465">
        <v>0</v>
      </c>
      <c r="D5" s="466">
        <v>0</v>
      </c>
      <c r="E5" s="428">
        <f>'AAL FY23-FY27 Budget'!D35</f>
        <v>9341892</v>
      </c>
      <c r="F5" s="469">
        <f>'AAL FY23-FY27 Budget'!E35</f>
        <v>9263043</v>
      </c>
      <c r="G5" s="413">
        <f>'C2 FY23-FY27 Budget'!D37</f>
        <v>2120944</v>
      </c>
      <c r="H5" s="470">
        <f>'C2 FY23-FY27 Budget'!E37</f>
        <v>2162230</v>
      </c>
      <c r="I5" s="414">
        <f>'C3 FY23-FY27 Budget '!D37</f>
        <v>3942410</v>
      </c>
      <c r="J5" s="473">
        <f>'C3 FY23-FY27 Budget '!E37</f>
        <v>3760400</v>
      </c>
      <c r="K5" s="416">
        <f>'SHES FY23-FY27 Budget '!D12</f>
        <v>3881481</v>
      </c>
      <c r="L5" s="417">
        <f>'SHES FY23-FY27 Budget '!E12</f>
        <v>3881481</v>
      </c>
      <c r="M5" s="418">
        <f>'Ector FY23-FY27 Budget '!D12+'Ector FY23-FY27 Budget '!D13</f>
        <v>13396123</v>
      </c>
      <c r="N5" s="474">
        <f>'Ector FY23-FY27 Budget '!E12+'Ector FY23-FY27 Budget '!E13</f>
        <v>14508279.6</v>
      </c>
      <c r="O5" s="419">
        <f>'Mendez FY23-FY27 Budget'!D12</f>
        <v>3343346</v>
      </c>
      <c r="P5" s="420">
        <f>'Mendez FY23-FY27 Budget'!E12</f>
        <v>3343346</v>
      </c>
    </row>
    <row r="6" spans="1:16" s="318" customFormat="1" x14ac:dyDescent="0.35">
      <c r="A6" s="437" t="s">
        <v>476</v>
      </c>
      <c r="B6" s="431" t="s">
        <v>478</v>
      </c>
      <c r="C6" s="465">
        <v>0</v>
      </c>
      <c r="D6" s="466">
        <v>0</v>
      </c>
      <c r="E6" s="428">
        <f>'AAL FY23-FY27 Budget'!D34</f>
        <v>2462019</v>
      </c>
      <c r="F6" s="469">
        <f>'AAL FY23-FY27 Budget'!E34</f>
        <v>2374263</v>
      </c>
      <c r="G6" s="413">
        <f>'C2 FY23-FY27 Budget'!D36</f>
        <v>130000</v>
      </c>
      <c r="H6" s="470">
        <f>'C2 FY23-FY27 Budget'!E36</f>
        <v>176533.81</v>
      </c>
      <c r="I6" s="414">
        <f>'C3 FY23-FY27 Budget '!D36</f>
        <v>340674</v>
      </c>
      <c r="J6" s="415">
        <f>'C3 FY23-FY27 Budget '!E36</f>
        <v>340674</v>
      </c>
      <c r="K6" s="416">
        <f>'SHES FY23-FY27 Budget '!D13</f>
        <v>833942</v>
      </c>
      <c r="L6" s="417">
        <f>'SHES FY23-FY27 Budget '!E13</f>
        <v>833942</v>
      </c>
      <c r="M6" s="418">
        <f>'Ector FY23-FY27 Budget '!D14</f>
        <v>1329346</v>
      </c>
      <c r="N6" s="474">
        <f>'Ector FY23-FY27 Budget '!E14</f>
        <v>1439722.8</v>
      </c>
      <c r="O6" s="419">
        <f>'Mendez FY23-FY27 Budget'!D13</f>
        <v>346129</v>
      </c>
      <c r="P6" s="420">
        <f>'Mendez FY23-FY27 Budget'!E13</f>
        <v>346129</v>
      </c>
    </row>
    <row r="7" spans="1:16" s="318" customFormat="1" x14ac:dyDescent="0.35">
      <c r="A7" s="436" t="s">
        <v>100</v>
      </c>
      <c r="B7" s="521" t="s">
        <v>101</v>
      </c>
      <c r="C7" s="467">
        <f>'Network FY23-FY27  Budget'!D15</f>
        <v>500000</v>
      </c>
      <c r="D7" s="458">
        <f>'Network FY23-FY27  Budget'!E15</f>
        <v>1050000</v>
      </c>
      <c r="E7" s="340">
        <f>'AAL FY23-FY27 Budget'!D13</f>
        <v>0</v>
      </c>
      <c r="F7" s="351">
        <f>'AAL FY23-FY27 Budget'!E13</f>
        <v>0</v>
      </c>
      <c r="G7" s="362">
        <f>'C2 FY23-FY27 Budget'!D13</f>
        <v>100000</v>
      </c>
      <c r="H7" s="471">
        <f>'C2 FY23-FY27 Budget'!E13</f>
        <v>300000</v>
      </c>
      <c r="I7" s="374">
        <f>'C3 FY23-FY27 Budget '!D13</f>
        <v>100000</v>
      </c>
      <c r="J7" s="472">
        <f>'C3 FY23-FY27 Budget '!E13</f>
        <v>300000</v>
      </c>
      <c r="K7" s="386">
        <f>'SHES FY23-FY27 Budget '!D28</f>
        <v>100000</v>
      </c>
      <c r="L7" s="387">
        <f>'SHES FY23-FY27 Budget '!E28</f>
        <v>100000</v>
      </c>
      <c r="M7" s="398">
        <v>0</v>
      </c>
      <c r="N7" s="399">
        <v>0</v>
      </c>
      <c r="O7" s="409">
        <f>'Mendez FY23-FY27 Budget'!D28</f>
        <v>300000</v>
      </c>
      <c r="P7" s="475">
        <f>'Mendez FY23-FY27 Budget'!E28</f>
        <v>400000</v>
      </c>
    </row>
    <row r="8" spans="1:16" s="318" customFormat="1" x14ac:dyDescent="0.35">
      <c r="A8" s="436" t="s">
        <v>102</v>
      </c>
      <c r="B8" s="430" t="s">
        <v>103</v>
      </c>
      <c r="C8" s="465">
        <v>0</v>
      </c>
      <c r="D8" s="466">
        <v>0</v>
      </c>
      <c r="E8" s="340">
        <f>'AAL FY23-FY27 Budget'!D14</f>
        <v>277170</v>
      </c>
      <c r="F8" s="476">
        <f>'AAL FY23-FY27 Budget'!E14</f>
        <v>275101.96999999997</v>
      </c>
      <c r="G8" s="362">
        <f>'C2 FY23-FY27 Budget'!D14</f>
        <v>80000</v>
      </c>
      <c r="H8" s="471">
        <f>'C2 FY23-FY27 Budget'!E14</f>
        <v>62196</v>
      </c>
      <c r="I8" s="374">
        <f>'C3 FY23-FY27 Budget '!D14</f>
        <v>120012</v>
      </c>
      <c r="J8" s="375">
        <f>'C3 FY23-FY27 Budget '!E14</f>
        <v>120012</v>
      </c>
      <c r="K8" s="386">
        <v>0</v>
      </c>
      <c r="L8" s="387">
        <v>0</v>
      </c>
      <c r="M8" s="398">
        <v>0</v>
      </c>
      <c r="N8" s="399">
        <v>0</v>
      </c>
      <c r="O8" s="409">
        <v>0</v>
      </c>
      <c r="P8" s="410">
        <v>0</v>
      </c>
    </row>
    <row r="9" spans="1:16" s="318" customFormat="1" x14ac:dyDescent="0.35">
      <c r="A9" s="437" t="s">
        <v>476</v>
      </c>
      <c r="B9" s="432" t="s">
        <v>262</v>
      </c>
      <c r="C9" s="465">
        <v>0</v>
      </c>
      <c r="D9" s="466">
        <v>0</v>
      </c>
      <c r="E9" s="340">
        <v>0</v>
      </c>
      <c r="F9" s="351">
        <v>0</v>
      </c>
      <c r="G9" s="362">
        <v>0</v>
      </c>
      <c r="H9" s="363">
        <v>0</v>
      </c>
      <c r="I9" s="374">
        <v>0</v>
      </c>
      <c r="J9" s="375">
        <v>0</v>
      </c>
      <c r="K9" s="386">
        <f>'SHES FY23-FY27 Budget '!D24</f>
        <v>0</v>
      </c>
      <c r="L9" s="387">
        <f>'SHES FY23-FY27 Budget '!E24</f>
        <v>0</v>
      </c>
      <c r="M9" s="398">
        <v>0</v>
      </c>
      <c r="N9" s="399">
        <v>0</v>
      </c>
      <c r="O9" s="409">
        <f>'Mendez FY23-FY27 Budget'!D25</f>
        <v>900000</v>
      </c>
      <c r="P9" s="410">
        <f>'Mendez FY23-FY27 Budget'!D25</f>
        <v>900000</v>
      </c>
    </row>
    <row r="10" spans="1:16" s="318" customFormat="1" x14ac:dyDescent="0.35">
      <c r="A10" s="437" t="s">
        <v>102</v>
      </c>
      <c r="B10" s="432" t="s">
        <v>19</v>
      </c>
      <c r="C10" s="465">
        <v>0</v>
      </c>
      <c r="D10" s="466">
        <v>0</v>
      </c>
      <c r="E10" s="340">
        <v>0</v>
      </c>
      <c r="F10" s="351">
        <v>0</v>
      </c>
      <c r="G10" s="362">
        <v>0</v>
      </c>
      <c r="H10" s="363">
        <v>0</v>
      </c>
      <c r="I10" s="374">
        <v>0</v>
      </c>
      <c r="J10" s="375">
        <v>0</v>
      </c>
      <c r="K10" s="386">
        <f>'SHES FY23-FY27 Budget '!D25</f>
        <v>0</v>
      </c>
      <c r="L10" s="387">
        <f>'SHES FY23-FY27 Budget '!E25</f>
        <v>0</v>
      </c>
      <c r="M10" s="398">
        <f>'Ector FY23-FY27 Budget '!D25</f>
        <v>212639</v>
      </c>
      <c r="N10" s="399">
        <f>'Ector FY23-FY27 Budget '!E25</f>
        <v>212639</v>
      </c>
      <c r="O10" s="409">
        <v>0</v>
      </c>
      <c r="P10" s="410">
        <v>0</v>
      </c>
    </row>
    <row r="11" spans="1:16" s="318" customFormat="1" x14ac:dyDescent="0.35">
      <c r="A11" s="437" t="s">
        <v>102</v>
      </c>
      <c r="B11" s="432" t="s">
        <v>18</v>
      </c>
      <c r="C11" s="465">
        <v>0</v>
      </c>
      <c r="D11" s="466">
        <v>0</v>
      </c>
      <c r="E11" s="340">
        <v>0</v>
      </c>
      <c r="F11" s="351">
        <v>0</v>
      </c>
      <c r="G11" s="362">
        <v>0</v>
      </c>
      <c r="H11" s="363">
        <v>0</v>
      </c>
      <c r="I11" s="374">
        <v>0</v>
      </c>
      <c r="J11" s="375">
        <v>0</v>
      </c>
      <c r="K11" s="386">
        <f>'SHES FY23-FY27 Budget '!D25</f>
        <v>0</v>
      </c>
      <c r="L11" s="387">
        <f>'SHES FY23-FY27 Budget '!E25</f>
        <v>0</v>
      </c>
      <c r="M11" s="398">
        <f>'Ector FY23-FY27 Budget '!D26</f>
        <v>443000</v>
      </c>
      <c r="N11" s="399">
        <f>'Ector FY23-FY27 Budget '!E26</f>
        <v>443000</v>
      </c>
      <c r="O11" s="409">
        <f>'Mendez FY23-FY27 Budget'!D26</f>
        <v>0</v>
      </c>
      <c r="P11" s="410">
        <f>'Mendez FY23-FY27 Budget'!E26</f>
        <v>0</v>
      </c>
    </row>
    <row r="12" spans="1:16" s="318" customFormat="1" x14ac:dyDescent="0.35">
      <c r="A12" s="438" t="s">
        <v>110</v>
      </c>
      <c r="B12" s="430" t="s">
        <v>218</v>
      </c>
      <c r="C12" s="465">
        <v>0</v>
      </c>
      <c r="D12" s="466">
        <v>0</v>
      </c>
      <c r="E12" s="340">
        <f>'AAL FY23-FY27 Budget'!D22</f>
        <v>0</v>
      </c>
      <c r="F12" s="351">
        <f>'AAL FY23-FY27 Budget'!E22</f>
        <v>0</v>
      </c>
      <c r="G12" s="362">
        <f>'C2 FY23-FY27 Budget'!D22</f>
        <v>44781</v>
      </c>
      <c r="H12" s="363">
        <f>'C2 FY23-FY27 Budget'!E22</f>
        <v>44781</v>
      </c>
      <c r="I12" s="374">
        <f>'C3 FY23-FY27 Budget '!D22</f>
        <v>114352</v>
      </c>
      <c r="J12" s="375">
        <f>'C3 FY23-FY27 Budget '!E22</f>
        <v>114352</v>
      </c>
      <c r="K12" s="386">
        <f>'SHES FY23-FY27 Budget '!D15</f>
        <v>79530</v>
      </c>
      <c r="L12" s="387">
        <f>'SHES FY23-FY27 Budget '!E15</f>
        <v>79530</v>
      </c>
      <c r="M12" s="398">
        <f>'Ector FY23-FY27 Budget '!D16</f>
        <v>214270</v>
      </c>
      <c r="N12" s="399">
        <f>'Ector FY23-FY27 Budget '!E16</f>
        <v>214270</v>
      </c>
      <c r="O12" s="409">
        <f>'Mendez FY23-FY27 Budget'!D15</f>
        <v>299381</v>
      </c>
      <c r="P12" s="410">
        <f>'Mendez FY23-FY27 Budget'!E15</f>
        <v>299381</v>
      </c>
    </row>
    <row r="13" spans="1:16" s="318" customFormat="1" x14ac:dyDescent="0.35">
      <c r="A13" s="438" t="s">
        <v>110</v>
      </c>
      <c r="B13" s="430" t="s">
        <v>357</v>
      </c>
      <c r="C13" s="465">
        <v>0</v>
      </c>
      <c r="D13" s="466">
        <v>0</v>
      </c>
      <c r="E13" s="340">
        <f>'AAL FY23-FY27 Budget'!D23</f>
        <v>0</v>
      </c>
      <c r="F13" s="351">
        <f>'AAL FY23-FY27 Budget'!E23</f>
        <v>0</v>
      </c>
      <c r="G13" s="362">
        <f>'C2 FY23-FY27 Budget'!D23</f>
        <v>0</v>
      </c>
      <c r="H13" s="363">
        <f>'C2 FY23-FY27 Budget'!E23</f>
        <v>0</v>
      </c>
      <c r="I13" s="374">
        <f>'C3 FY23-FY27 Budget '!D23</f>
        <v>200</v>
      </c>
      <c r="J13" s="375">
        <f>'C3 FY23-FY27 Budget '!E23</f>
        <v>0</v>
      </c>
      <c r="K13" s="386">
        <v>0</v>
      </c>
      <c r="L13" s="387">
        <v>0</v>
      </c>
      <c r="M13" s="398">
        <v>0</v>
      </c>
      <c r="N13" s="399">
        <v>0</v>
      </c>
      <c r="O13" s="409">
        <v>0</v>
      </c>
      <c r="P13" s="410">
        <v>0</v>
      </c>
    </row>
    <row r="14" spans="1:16" s="318" customFormat="1" x14ac:dyDescent="0.35">
      <c r="A14" s="438" t="s">
        <v>110</v>
      </c>
      <c r="B14" s="430" t="s">
        <v>219</v>
      </c>
      <c r="C14" s="465">
        <v>0</v>
      </c>
      <c r="D14" s="466">
        <v>0</v>
      </c>
      <c r="E14" s="340">
        <f>'AAL FY23-FY27 Budget'!D24</f>
        <v>0</v>
      </c>
      <c r="F14" s="351">
        <f>'AAL FY23-FY27 Budget'!E24</f>
        <v>0</v>
      </c>
      <c r="G14" s="362">
        <f>'C2 FY23-FY27 Budget'!D24</f>
        <v>707</v>
      </c>
      <c r="H14" s="363">
        <f>'C2 FY23-FY27 Budget'!E24</f>
        <v>707</v>
      </c>
      <c r="I14" s="374">
        <f>'C3 FY23-FY27 Budget '!D24</f>
        <v>1805</v>
      </c>
      <c r="J14" s="375">
        <f>'C3 FY23-FY27 Budget '!E24</f>
        <v>1805</v>
      </c>
      <c r="K14" s="386">
        <v>0</v>
      </c>
      <c r="L14" s="387">
        <v>0</v>
      </c>
      <c r="M14" s="398">
        <v>0</v>
      </c>
      <c r="N14" s="399">
        <v>0</v>
      </c>
      <c r="O14" s="409">
        <v>0</v>
      </c>
      <c r="P14" s="410">
        <v>0</v>
      </c>
    </row>
    <row r="15" spans="1:16" s="318" customFormat="1" x14ac:dyDescent="0.35">
      <c r="A15" s="438" t="s">
        <v>110</v>
      </c>
      <c r="B15" s="430" t="s">
        <v>230</v>
      </c>
      <c r="C15" s="465">
        <v>0</v>
      </c>
      <c r="D15" s="466">
        <v>0</v>
      </c>
      <c r="E15" s="340">
        <f>'AAL FY23-FY27 Budget'!D25</f>
        <v>35619</v>
      </c>
      <c r="F15" s="351">
        <f>'AAL FY23-FY27 Budget'!E25</f>
        <v>35619</v>
      </c>
      <c r="G15" s="362">
        <f>'C2 FY23-FY27 Budget'!D25</f>
        <v>1710</v>
      </c>
      <c r="H15" s="363">
        <f>'C2 FY23-FY27 Budget'!E25</f>
        <v>1710</v>
      </c>
      <c r="I15" s="374">
        <f>'C3 FY23-FY27 Budget '!D25</f>
        <v>3300</v>
      </c>
      <c r="J15" s="375">
        <f>'C3 FY23-FY27 Budget '!E25</f>
        <v>3300</v>
      </c>
      <c r="K15" s="386">
        <f>'SHES FY23-FY27 Budget '!D16</f>
        <v>9000</v>
      </c>
      <c r="L15" s="387">
        <f>'SHES FY23-FY27 Budget '!E16</f>
        <v>9000</v>
      </c>
      <c r="M15" s="398">
        <f>'Ector FY23-FY27 Budget '!D17</f>
        <v>38422</v>
      </c>
      <c r="N15" s="399">
        <f>'Ector FY23-FY27 Budget '!D17</f>
        <v>38422</v>
      </c>
      <c r="O15" s="409">
        <f>'Mendez FY23-FY27 Budget'!D16</f>
        <v>0</v>
      </c>
      <c r="P15" s="410">
        <f>'Mendez FY23-FY27 Budget'!E16</f>
        <v>0</v>
      </c>
    </row>
    <row r="16" spans="1:16" s="318" customFormat="1" x14ac:dyDescent="0.35">
      <c r="A16" s="438" t="s">
        <v>110</v>
      </c>
      <c r="B16" s="430" t="s">
        <v>359</v>
      </c>
      <c r="C16" s="465">
        <v>0</v>
      </c>
      <c r="D16" s="466">
        <v>0</v>
      </c>
      <c r="E16" s="340">
        <f>'AAL FY23-FY27 Budget'!D26</f>
        <v>0</v>
      </c>
      <c r="F16" s="351">
        <f>'AAL FY23-FY27 Budget'!E26</f>
        <v>0</v>
      </c>
      <c r="G16" s="362">
        <f>'C2 FY23-FY27 Budget'!D26</f>
        <v>2638</v>
      </c>
      <c r="H16" s="363">
        <f>'C2 FY23-FY27 Budget'!E26</f>
        <v>2638</v>
      </c>
      <c r="I16" s="374">
        <f>'C3 FY23-FY27 Budget '!D26</f>
        <v>3472</v>
      </c>
      <c r="J16" s="375">
        <f>'C3 FY23-FY27 Budget '!E26</f>
        <v>3472</v>
      </c>
      <c r="K16" s="386">
        <f>'SHES FY23-FY27 Budget '!D17</f>
        <v>0</v>
      </c>
      <c r="L16" s="387">
        <f>'SHES FY23-FY27 Budget '!E17</f>
        <v>0</v>
      </c>
      <c r="M16" s="398">
        <f>'Ector FY23-FY27 Budget '!D18</f>
        <v>50000</v>
      </c>
      <c r="N16" s="399">
        <f>'Ector FY23-FY27 Budget '!D18</f>
        <v>50000</v>
      </c>
      <c r="O16" s="409">
        <f>'Mendez FY23-FY27 Budget'!D17</f>
        <v>0</v>
      </c>
      <c r="P16" s="410">
        <f>'Mendez FY23-FY27 Budget'!E17</f>
        <v>0</v>
      </c>
    </row>
    <row r="17" spans="1:16" s="318" customFormat="1" x14ac:dyDescent="0.35">
      <c r="A17" s="438" t="s">
        <v>110</v>
      </c>
      <c r="B17" s="430" t="s">
        <v>260</v>
      </c>
      <c r="C17" s="465">
        <v>0</v>
      </c>
      <c r="D17" s="466">
        <v>0</v>
      </c>
      <c r="E17" s="340">
        <f>'AAL FY23-FY27 Budget'!D27</f>
        <v>22770</v>
      </c>
      <c r="F17" s="351">
        <f>'AAL FY23-FY27 Budget'!E27</f>
        <v>22770</v>
      </c>
      <c r="G17" s="362">
        <f>'C2 FY23-FY27 Budget'!D27</f>
        <v>0</v>
      </c>
      <c r="H17" s="363">
        <f>'C2 FY23-FY27 Budget'!E27</f>
        <v>0</v>
      </c>
      <c r="I17" s="374">
        <f>'C3 FY23-FY27 Budget '!D27</f>
        <v>0</v>
      </c>
      <c r="J17" s="375">
        <f>'C3 FY23-FY27 Budget '!E27</f>
        <v>0</v>
      </c>
      <c r="K17" s="386">
        <f>'SHES FY23-FY27 Budget '!D18</f>
        <v>4000</v>
      </c>
      <c r="L17" s="387">
        <f>'SHES FY23-FY27 Budget '!E18</f>
        <v>4000</v>
      </c>
      <c r="M17" s="398">
        <f>'Ector FY23-FY27 Budget '!D19</f>
        <v>21468</v>
      </c>
      <c r="N17" s="399">
        <f>'Ector FY23-FY27 Budget '!D19</f>
        <v>21468</v>
      </c>
      <c r="O17" s="409">
        <f>'Mendez FY23-FY27 Budget'!D18</f>
        <v>0</v>
      </c>
      <c r="P17" s="410">
        <f>'Mendez FY23-FY27 Budget'!E18</f>
        <v>0</v>
      </c>
    </row>
    <row r="18" spans="1:16" s="318" customFormat="1" x14ac:dyDescent="0.35">
      <c r="A18" s="438" t="s">
        <v>110</v>
      </c>
      <c r="B18" s="430" t="s">
        <v>12</v>
      </c>
      <c r="C18" s="465">
        <v>0</v>
      </c>
      <c r="D18" s="466">
        <v>0</v>
      </c>
      <c r="E18" s="340">
        <f>'AAL FY23-FY27 Budget'!D28</f>
        <v>0</v>
      </c>
      <c r="F18" s="351">
        <f>'AAL FY23-FY27 Budget'!E28</f>
        <v>0</v>
      </c>
      <c r="G18" s="362">
        <f>'C2 FY23-FY27 Budget'!D28</f>
        <v>32000</v>
      </c>
      <c r="H18" s="471">
        <f>'C2 FY23-FY27 Budget'!E28</f>
        <v>33553.25</v>
      </c>
      <c r="I18" s="374">
        <f>'C3 FY23-FY27 Budget '!D29</f>
        <v>68607</v>
      </c>
      <c r="J18" s="375">
        <f>'C3 FY23-FY27 Budget '!E29</f>
        <v>68607</v>
      </c>
      <c r="K18" s="386">
        <f>'SHES FY23-FY27 Budget '!D19</f>
        <v>0</v>
      </c>
      <c r="L18" s="387">
        <f>'SHES FY23-FY27 Budget '!E19</f>
        <v>0</v>
      </c>
      <c r="M18" s="398">
        <f>'Ector FY23-FY27 Budget '!D20</f>
        <v>219600</v>
      </c>
      <c r="N18" s="399">
        <f>'Ector FY23-FY27 Budget '!D20</f>
        <v>219600</v>
      </c>
      <c r="O18" s="409">
        <f>'Mendez FY23-FY27 Budget'!D19</f>
        <v>0</v>
      </c>
      <c r="P18" s="410">
        <f>'Mendez FY23-FY27 Budget'!E19</f>
        <v>0</v>
      </c>
    </row>
    <row r="19" spans="1:16" s="318" customFormat="1" x14ac:dyDescent="0.35">
      <c r="A19" s="438" t="s">
        <v>110</v>
      </c>
      <c r="B19" s="430" t="s">
        <v>220</v>
      </c>
      <c r="C19" s="465">
        <v>0</v>
      </c>
      <c r="D19" s="466">
        <v>0</v>
      </c>
      <c r="E19" s="340">
        <v>0</v>
      </c>
      <c r="F19" s="351">
        <v>0</v>
      </c>
      <c r="G19" s="362">
        <f>'C2 FY23-FY27 Budget'!D29</f>
        <v>0</v>
      </c>
      <c r="H19" s="471">
        <f>'C2 FY23-FY27 Budget'!E29</f>
        <v>8737.9599999999991</v>
      </c>
      <c r="I19" s="374">
        <f>'C3 FY23-FY27 Budget '!D30</f>
        <v>16602</v>
      </c>
      <c r="J19" s="375">
        <f>'C3 FY23-FY27 Budget '!E30</f>
        <v>16602</v>
      </c>
      <c r="K19" s="386">
        <v>0</v>
      </c>
      <c r="L19" s="387">
        <v>0</v>
      </c>
      <c r="M19" s="398">
        <v>0</v>
      </c>
      <c r="N19" s="399">
        <v>0</v>
      </c>
      <c r="O19" s="409">
        <v>0</v>
      </c>
      <c r="P19" s="410">
        <v>0</v>
      </c>
    </row>
    <row r="20" spans="1:16" s="318" customFormat="1" x14ac:dyDescent="0.35">
      <c r="A20" s="438" t="s">
        <v>110</v>
      </c>
      <c r="B20" s="430" t="s">
        <v>8</v>
      </c>
      <c r="C20" s="465">
        <v>0</v>
      </c>
      <c r="D20" s="466">
        <v>0</v>
      </c>
      <c r="E20" s="340">
        <f>'AAL FY23-FY27 Budget'!D29</f>
        <v>1134497</v>
      </c>
      <c r="F20" s="351">
        <f>'AAL FY23-FY27 Budget'!E29</f>
        <v>1043138</v>
      </c>
      <c r="G20" s="362">
        <f>'C2 FY23-FY27 Budget'!D31</f>
        <v>0</v>
      </c>
      <c r="H20" s="471">
        <f>'C2 FY23-FY27 Budget'!E31</f>
        <v>123376.48</v>
      </c>
      <c r="I20" s="374">
        <f>'C3 FY23-FY27 Budget '!D31</f>
        <v>120247</v>
      </c>
      <c r="J20" s="375">
        <f>'C3 FY23-FY27 Budget '!E31</f>
        <v>120247</v>
      </c>
      <c r="K20" s="386">
        <f>'SHES FY23-FY27 Budget '!D22</f>
        <v>357331</v>
      </c>
      <c r="L20" s="387">
        <f>'SHES FY23-FY27 Budget '!E22</f>
        <v>357331</v>
      </c>
      <c r="M20" s="398">
        <f>'Ector FY23-FY27 Budget '!D23</f>
        <v>1560000</v>
      </c>
      <c r="N20" s="399">
        <f>'Ector FY23-FY27 Budget '!D23</f>
        <v>1560000</v>
      </c>
      <c r="O20" s="409">
        <f>'Mendez FY23-FY27 Budget'!D23</f>
        <v>200000</v>
      </c>
      <c r="P20" s="410">
        <f>'Mendez FY23-FY27 Budget'!E23</f>
        <v>200000</v>
      </c>
    </row>
    <row r="21" spans="1:16" s="318" customFormat="1" x14ac:dyDescent="0.35">
      <c r="A21" s="439" t="s">
        <v>110</v>
      </c>
      <c r="B21" s="433" t="s">
        <v>9</v>
      </c>
      <c r="C21" s="465">
        <v>0</v>
      </c>
      <c r="D21" s="466">
        <v>0</v>
      </c>
      <c r="E21" s="340">
        <v>0</v>
      </c>
      <c r="F21" s="351">
        <v>0</v>
      </c>
      <c r="G21" s="362">
        <v>0</v>
      </c>
      <c r="H21" s="363">
        <v>0</v>
      </c>
      <c r="I21" s="374">
        <v>0</v>
      </c>
      <c r="J21" s="375">
        <v>0</v>
      </c>
      <c r="K21" s="386">
        <f>'SHES FY23-FY27 Budget '!D23</f>
        <v>120000</v>
      </c>
      <c r="L21" s="387">
        <f>'SHES FY23-FY27 Budget '!E23</f>
        <v>120000</v>
      </c>
      <c r="M21" s="398">
        <f>'Ector FY23-FY27 Budget '!D24</f>
        <v>0</v>
      </c>
      <c r="N21" s="399">
        <f>'Ector FY23-FY27 Budget '!D24</f>
        <v>0</v>
      </c>
      <c r="O21" s="409">
        <f>'Mendez FY23-FY27 Budget'!D24</f>
        <v>0</v>
      </c>
      <c r="P21" s="410">
        <f>'Mendez FY23-FY27 Budget'!E24</f>
        <v>0</v>
      </c>
    </row>
    <row r="22" spans="1:16" s="318" customFormat="1" x14ac:dyDescent="0.35">
      <c r="A22" s="438" t="s">
        <v>110</v>
      </c>
      <c r="B22" s="430" t="s">
        <v>117</v>
      </c>
      <c r="C22" s="465">
        <v>0</v>
      </c>
      <c r="D22" s="466">
        <v>0</v>
      </c>
      <c r="E22" s="340">
        <f>'AAL FY23-FY27 Budget'!D30</f>
        <v>156249</v>
      </c>
      <c r="F22" s="476">
        <f>'AAL FY23-FY27 Budget'!E30</f>
        <v>34301</v>
      </c>
      <c r="G22" s="362">
        <f>'C2 FY23-FY27 Budget'!D32</f>
        <v>17544</v>
      </c>
      <c r="H22" s="363">
        <f>'C2 FY23-FY27 Budget'!E32</f>
        <v>17544</v>
      </c>
      <c r="I22" s="374">
        <f>'C3 FY23-FY27 Budget '!D32</f>
        <v>6727</v>
      </c>
      <c r="J22" s="375">
        <f>'C3 FY23-FY27 Budget '!E32</f>
        <v>6727</v>
      </c>
      <c r="K22" s="386">
        <v>0</v>
      </c>
      <c r="L22" s="387">
        <v>0</v>
      </c>
      <c r="M22" s="398">
        <v>0</v>
      </c>
      <c r="N22" s="399">
        <v>0</v>
      </c>
      <c r="O22" s="409">
        <v>0</v>
      </c>
      <c r="P22" s="410">
        <v>0</v>
      </c>
    </row>
    <row r="23" spans="1:16" s="318" customFormat="1" x14ac:dyDescent="0.35">
      <c r="A23" s="438" t="s">
        <v>110</v>
      </c>
      <c r="B23" s="430" t="s">
        <v>118</v>
      </c>
      <c r="C23" s="465">
        <v>0</v>
      </c>
      <c r="D23" s="466">
        <v>0</v>
      </c>
      <c r="E23" s="340">
        <f>'AAL FY23-FY27 Budget'!D31</f>
        <v>329000</v>
      </c>
      <c r="F23" s="476">
        <f>'AAL FY23-FY27 Budget'!E31</f>
        <v>89797.17</v>
      </c>
      <c r="G23" s="362">
        <f>'C2 FY23-FY27 Budget'!D33</f>
        <v>81922</v>
      </c>
      <c r="H23" s="363">
        <f>'C2 FY23-FY27 Budget'!E33</f>
        <v>81922</v>
      </c>
      <c r="I23" s="374">
        <f>'C3 FY23-FY27 Budget '!D33</f>
        <v>132096</v>
      </c>
      <c r="J23" s="375">
        <f>'C3 FY23-FY27 Budget '!E33</f>
        <v>132096</v>
      </c>
      <c r="K23" s="386">
        <v>0</v>
      </c>
      <c r="L23" s="387">
        <v>0</v>
      </c>
      <c r="M23" s="398">
        <v>0</v>
      </c>
      <c r="N23" s="399">
        <v>0</v>
      </c>
      <c r="O23" s="409">
        <v>0</v>
      </c>
      <c r="P23" s="410">
        <v>0</v>
      </c>
    </row>
    <row r="24" spans="1:16" s="318" customFormat="1" x14ac:dyDescent="0.35">
      <c r="A24" s="437" t="s">
        <v>98</v>
      </c>
      <c r="B24" s="432" t="s">
        <v>13</v>
      </c>
      <c r="C24" s="465">
        <v>0</v>
      </c>
      <c r="D24" s="466">
        <v>0</v>
      </c>
      <c r="E24" s="340">
        <v>0</v>
      </c>
      <c r="F24" s="351">
        <v>0</v>
      </c>
      <c r="G24" s="362">
        <v>0</v>
      </c>
      <c r="H24" s="363">
        <v>0</v>
      </c>
      <c r="I24" s="374">
        <v>0</v>
      </c>
      <c r="J24" s="375">
        <v>0</v>
      </c>
      <c r="K24" s="386">
        <f>'SHES FY23-FY27 Budget '!D21</f>
        <v>0</v>
      </c>
      <c r="L24" s="387">
        <f>'SHES FY23-FY27 Budget '!E21</f>
        <v>0</v>
      </c>
      <c r="M24" s="398">
        <f>'Ector FY23-FY27 Budget '!D22</f>
        <v>0</v>
      </c>
      <c r="N24" s="399">
        <f>'Ector FY23-FY27 Budget '!E22</f>
        <v>0</v>
      </c>
      <c r="O24" s="409">
        <f>'Mendez FY23-FY27 Budget'!D22</f>
        <v>0</v>
      </c>
      <c r="P24" s="410">
        <f>'Mendez FY23-FY27 Budget'!D22</f>
        <v>0</v>
      </c>
    </row>
    <row r="25" spans="1:16" s="318" customFormat="1" x14ac:dyDescent="0.35">
      <c r="A25" s="436" t="s">
        <v>102</v>
      </c>
      <c r="B25" s="430" t="s">
        <v>104</v>
      </c>
      <c r="C25" s="465">
        <v>0</v>
      </c>
      <c r="D25" s="466">
        <v>0</v>
      </c>
      <c r="E25" s="340">
        <f>'AAL FY23-FY27 Budget'!D15</f>
        <v>0</v>
      </c>
      <c r="F25" s="351">
        <f>'AAL FY23-FY27 Budget'!E15</f>
        <v>0</v>
      </c>
      <c r="G25" s="362">
        <f>'C2 FY23-FY27 Budget'!D15</f>
        <v>32193</v>
      </c>
      <c r="H25" s="471">
        <f>'C2 FY23-FY27 Budget'!E15</f>
        <v>29640</v>
      </c>
      <c r="I25" s="374">
        <f>'C3 FY23-FY27 Budget '!D15</f>
        <v>68444</v>
      </c>
      <c r="J25" s="375">
        <f>'C3 FY23-FY27 Budget '!E15</f>
        <v>68444</v>
      </c>
      <c r="K25" s="386">
        <v>0</v>
      </c>
      <c r="L25" s="387">
        <v>0</v>
      </c>
      <c r="M25" s="398">
        <v>0</v>
      </c>
      <c r="N25" s="399">
        <v>0</v>
      </c>
      <c r="O25" s="409">
        <v>0</v>
      </c>
      <c r="P25" s="410">
        <v>0</v>
      </c>
    </row>
    <row r="26" spans="1:16" s="318" customFormat="1" x14ac:dyDescent="0.35">
      <c r="A26" s="436" t="s">
        <v>102</v>
      </c>
      <c r="B26" s="430" t="s">
        <v>105</v>
      </c>
      <c r="C26" s="465">
        <v>0</v>
      </c>
      <c r="D26" s="466">
        <v>0</v>
      </c>
      <c r="E26" s="340">
        <f>'AAL FY23-FY27 Budget'!D16</f>
        <v>0</v>
      </c>
      <c r="F26" s="351">
        <f>'AAL FY23-FY27 Budget'!E16</f>
        <v>0</v>
      </c>
      <c r="G26" s="362">
        <f>'C2 FY23-FY27 Budget'!D16</f>
        <v>500</v>
      </c>
      <c r="H26" s="471">
        <f>'C2 FY23-FY27 Budget'!E16</f>
        <v>780.97</v>
      </c>
      <c r="I26" s="374">
        <f>'C3 FY23-FY27 Budget '!D16</f>
        <v>500</v>
      </c>
      <c r="J26" s="375">
        <f>'C3 FY23-FY27 Budget '!E16</f>
        <v>500</v>
      </c>
      <c r="K26" s="386">
        <v>0</v>
      </c>
      <c r="L26" s="387">
        <v>0</v>
      </c>
      <c r="M26" s="398">
        <v>0</v>
      </c>
      <c r="N26" s="399">
        <v>0</v>
      </c>
      <c r="O26" s="409">
        <v>0</v>
      </c>
      <c r="P26" s="410">
        <v>0</v>
      </c>
    </row>
    <row r="27" spans="1:16" s="318" customFormat="1" x14ac:dyDescent="0.35">
      <c r="A27" s="436" t="s">
        <v>102</v>
      </c>
      <c r="B27" s="430" t="s">
        <v>106</v>
      </c>
      <c r="C27" s="465">
        <v>0</v>
      </c>
      <c r="D27" s="466">
        <v>0</v>
      </c>
      <c r="E27" s="340">
        <f>'AAL FY23-FY27 Budget'!D17</f>
        <v>0</v>
      </c>
      <c r="F27" s="351">
        <f>'AAL FY23-FY27 Budget'!E17</f>
        <v>0</v>
      </c>
      <c r="G27" s="362">
        <f>'C2 FY23-FY27 Budget'!D17</f>
        <v>8000</v>
      </c>
      <c r="H27" s="471">
        <f>'C2 FY23-FY27 Budget'!E17</f>
        <v>0</v>
      </c>
      <c r="I27" s="374">
        <f>'C3 FY23-FY27 Budget '!D17</f>
        <v>15000</v>
      </c>
      <c r="J27" s="472">
        <f>'C3 FY23-FY27 Budget '!E17</f>
        <v>0</v>
      </c>
      <c r="K27" s="386">
        <v>0</v>
      </c>
      <c r="L27" s="387">
        <v>0</v>
      </c>
      <c r="M27" s="398">
        <v>0</v>
      </c>
      <c r="N27" s="399">
        <v>0</v>
      </c>
      <c r="O27" s="409">
        <v>0</v>
      </c>
      <c r="P27" s="410">
        <v>0</v>
      </c>
    </row>
    <row r="28" spans="1:16" s="318" customFormat="1" x14ac:dyDescent="0.35">
      <c r="A28" s="436" t="s">
        <v>102</v>
      </c>
      <c r="B28" s="430" t="s">
        <v>107</v>
      </c>
      <c r="C28" s="465">
        <v>0</v>
      </c>
      <c r="D28" s="466">
        <v>0</v>
      </c>
      <c r="E28" s="340">
        <f>'AAL FY23-FY27 Budget'!D18</f>
        <v>105373</v>
      </c>
      <c r="F28" s="351">
        <f>'AAL FY23-FY27 Budget'!E18</f>
        <v>105373</v>
      </c>
      <c r="G28" s="362">
        <f>'C2 FY23-FY27 Budget'!D18</f>
        <v>9878</v>
      </c>
      <c r="H28" s="363">
        <f>'C2 FY23-FY27 Budget'!E18</f>
        <v>6388.23</v>
      </c>
      <c r="I28" s="374">
        <f>'C3 FY23-FY27 Budget '!D18</f>
        <v>14000</v>
      </c>
      <c r="J28" s="472">
        <f>'C3 FY23-FY27 Budget '!E18</f>
        <v>8872.59</v>
      </c>
      <c r="K28" s="386">
        <v>0</v>
      </c>
      <c r="L28" s="387">
        <v>0</v>
      </c>
      <c r="M28" s="398">
        <v>0</v>
      </c>
      <c r="N28" s="399">
        <v>0</v>
      </c>
      <c r="O28" s="409">
        <v>0</v>
      </c>
      <c r="P28" s="410"/>
    </row>
    <row r="29" spans="1:16" s="318" customFormat="1" x14ac:dyDescent="0.35">
      <c r="A29" s="436" t="s">
        <v>102</v>
      </c>
      <c r="B29" s="430" t="s">
        <v>108</v>
      </c>
      <c r="C29" s="465">
        <v>0</v>
      </c>
      <c r="D29" s="466">
        <v>0</v>
      </c>
      <c r="E29" s="340">
        <f>'AAL FY23-FY27 Budget'!D19</f>
        <v>48142</v>
      </c>
      <c r="F29" s="351">
        <f>'AAL FY23-FY27 Budget'!E19</f>
        <v>48142</v>
      </c>
      <c r="G29" s="362">
        <f>'C2 FY23-FY27 Budget'!D19</f>
        <v>19000</v>
      </c>
      <c r="H29" s="471">
        <f>'C2 FY23-FY27 Budget'!E19</f>
        <v>18391.07</v>
      </c>
      <c r="I29" s="374">
        <f>'C3 FY23-FY27 Budget '!D19</f>
        <v>17894</v>
      </c>
      <c r="J29" s="375">
        <f>'C3 FY23-FY27 Budget '!E19</f>
        <v>17894</v>
      </c>
      <c r="K29" s="386">
        <v>0</v>
      </c>
      <c r="L29" s="387">
        <v>0</v>
      </c>
      <c r="M29" s="398">
        <v>0</v>
      </c>
      <c r="N29" s="399">
        <v>0</v>
      </c>
      <c r="O29" s="409">
        <v>0</v>
      </c>
      <c r="P29" s="410">
        <v>0</v>
      </c>
    </row>
    <row r="30" spans="1:16" s="318" customFormat="1" x14ac:dyDescent="0.35">
      <c r="A30" s="436" t="s">
        <v>102</v>
      </c>
      <c r="B30" s="430" t="s">
        <v>109</v>
      </c>
      <c r="C30" s="465">
        <v>0</v>
      </c>
      <c r="D30" s="466">
        <v>0</v>
      </c>
      <c r="E30" s="340">
        <f>'AAL FY23-FY27 Budget'!D20</f>
        <v>0</v>
      </c>
      <c r="F30" s="351">
        <f>'AAL FY23-FY27 Budget'!E20</f>
        <v>0</v>
      </c>
      <c r="G30" s="362">
        <f>'C2 FY23-FY27 Budget'!D20</f>
        <v>630</v>
      </c>
      <c r="H30" s="363">
        <f>'C2 FY23-FY27 Budget'!E20</f>
        <v>630</v>
      </c>
      <c r="I30" s="374">
        <f>'C3 FY23-FY27 Budget '!D20</f>
        <v>293</v>
      </c>
      <c r="J30" s="375">
        <f>'C3 FY23-FY27 Budget '!E20</f>
        <v>293</v>
      </c>
      <c r="K30" s="386">
        <v>0</v>
      </c>
      <c r="L30" s="387">
        <v>0</v>
      </c>
      <c r="M30" s="398">
        <v>0</v>
      </c>
      <c r="N30" s="399">
        <v>0</v>
      </c>
      <c r="O30" s="409">
        <v>0</v>
      </c>
      <c r="P30" s="410">
        <v>0</v>
      </c>
    </row>
    <row r="31" spans="1:16" s="318" customFormat="1" x14ac:dyDescent="0.35">
      <c r="A31" s="437" t="s">
        <v>102</v>
      </c>
      <c r="B31" s="430" t="s">
        <v>222</v>
      </c>
      <c r="C31" s="465">
        <v>0</v>
      </c>
      <c r="D31" s="466">
        <v>0</v>
      </c>
      <c r="E31" s="340">
        <v>0</v>
      </c>
      <c r="F31" s="351">
        <v>0</v>
      </c>
      <c r="G31" s="362">
        <f>'C2 FY23-FY27 Budget'!D30</f>
        <v>0</v>
      </c>
      <c r="H31" s="471">
        <f>'C2 FY23-FY27 Budget'!E30</f>
        <v>1483.88</v>
      </c>
      <c r="I31" s="374">
        <f>'C3 FY23-FY27 Budget '!D28</f>
        <v>3763</v>
      </c>
      <c r="J31" s="375">
        <f>'C3 FY23-FY27 Budget '!E28</f>
        <v>3763</v>
      </c>
      <c r="K31" s="386">
        <v>0</v>
      </c>
      <c r="L31" s="387">
        <v>0</v>
      </c>
      <c r="M31" s="398">
        <v>0</v>
      </c>
      <c r="N31" s="399">
        <v>0</v>
      </c>
      <c r="O31" s="409">
        <v>0</v>
      </c>
      <c r="P31" s="410">
        <v>0</v>
      </c>
    </row>
    <row r="32" spans="1:16" s="318" customFormat="1" x14ac:dyDescent="0.35">
      <c r="A32" s="438" t="s">
        <v>102</v>
      </c>
      <c r="B32" s="430" t="s">
        <v>361</v>
      </c>
      <c r="C32" s="465">
        <v>0</v>
      </c>
      <c r="D32" s="466">
        <v>0</v>
      </c>
      <c r="E32" s="340">
        <f>'AAL FY23-FY27 Budget'!D36</f>
        <v>0</v>
      </c>
      <c r="F32" s="351">
        <f>'AAL FY23-FY27 Budget'!E36</f>
        <v>36541</v>
      </c>
      <c r="G32" s="362">
        <f>'C2 FY23-FY27 Budget'!D38</f>
        <v>35160</v>
      </c>
      <c r="H32" s="471">
        <f>'C2 FY23-FY27 Budget'!E38</f>
        <v>31963.265457248606</v>
      </c>
      <c r="I32" s="374">
        <v>0</v>
      </c>
      <c r="J32" s="472">
        <f>'C3 FY23-FY27 Budget '!E51</f>
        <v>36568</v>
      </c>
      <c r="K32" s="386">
        <v>0</v>
      </c>
      <c r="L32" s="387" t="e">
        <f>'SHES FY23-FY27 Budget '!E29</f>
        <v>#REF!</v>
      </c>
      <c r="M32" s="398">
        <v>0</v>
      </c>
      <c r="N32" s="399">
        <f>'Ector FY23-FY27 Budget '!E29</f>
        <v>621317.5</v>
      </c>
      <c r="O32" s="409">
        <v>0</v>
      </c>
      <c r="P32" s="410" t="e">
        <f>'Mendez FY23-FY27 Budget'!E31</f>
        <v>#REF!</v>
      </c>
    </row>
    <row r="33" spans="1:16" s="318" customFormat="1" x14ac:dyDescent="0.35">
      <c r="A33" s="437" t="s">
        <v>476</v>
      </c>
      <c r="B33" s="432" t="s">
        <v>20</v>
      </c>
      <c r="C33" s="465">
        <v>0</v>
      </c>
      <c r="D33" s="466">
        <v>0</v>
      </c>
      <c r="E33" s="340">
        <v>0</v>
      </c>
      <c r="F33" s="351">
        <v>0</v>
      </c>
      <c r="G33" s="362">
        <v>0</v>
      </c>
      <c r="H33" s="363">
        <v>0</v>
      </c>
      <c r="I33" s="374">
        <v>0</v>
      </c>
      <c r="J33" s="375">
        <v>0</v>
      </c>
      <c r="K33" s="386">
        <f>'SHES FY23-FY27 Budget '!D14</f>
        <v>60000</v>
      </c>
      <c r="L33" s="387">
        <f>'SHES FY23-FY27 Budget '!E14</f>
        <v>60000</v>
      </c>
      <c r="M33" s="398">
        <f>'Ector FY23-FY27 Budget '!D15</f>
        <v>0</v>
      </c>
      <c r="N33" s="399">
        <f>'Ector FY23-FY27 Budget '!E15</f>
        <v>0</v>
      </c>
      <c r="O33" s="409">
        <f>'Mendez FY23-FY27 Budget'!D14</f>
        <v>0</v>
      </c>
      <c r="P33" s="410">
        <f>'Mendez FY23-FY27 Budget'!E14</f>
        <v>0</v>
      </c>
    </row>
    <row r="34" spans="1:16" s="318" customFormat="1" x14ac:dyDescent="0.35">
      <c r="A34" s="438" t="s">
        <v>110</v>
      </c>
      <c r="B34" s="430" t="s">
        <v>111</v>
      </c>
      <c r="C34" s="465">
        <v>0</v>
      </c>
      <c r="D34" s="466">
        <v>0</v>
      </c>
      <c r="E34" s="340">
        <f>'AAL FY23-FY27 Budget'!D21</f>
        <v>30000</v>
      </c>
      <c r="F34" s="351">
        <f>'AAL FY23-FY27 Budget'!E21</f>
        <v>30000</v>
      </c>
      <c r="G34" s="362">
        <f>'C2 FY23-FY27 Budget'!D21</f>
        <v>0</v>
      </c>
      <c r="H34" s="363">
        <f>'C2 FY23-FY27 Budget'!E21</f>
        <v>0</v>
      </c>
      <c r="I34" s="374">
        <f>'C3 FY23-FY27 Budget '!D21</f>
        <v>0</v>
      </c>
      <c r="J34" s="375">
        <f>'C3 FY23-FY27 Budget '!E21</f>
        <v>0</v>
      </c>
      <c r="K34" s="386">
        <v>0</v>
      </c>
      <c r="L34" s="387">
        <v>0</v>
      </c>
      <c r="M34" s="398">
        <v>0</v>
      </c>
      <c r="N34" s="399">
        <v>0</v>
      </c>
      <c r="O34" s="409">
        <v>0</v>
      </c>
      <c r="P34" s="410">
        <v>0</v>
      </c>
    </row>
    <row r="35" spans="1:16" s="318" customFormat="1" x14ac:dyDescent="0.35">
      <c r="A35" s="437" t="s">
        <v>110</v>
      </c>
      <c r="B35" s="432" t="s">
        <v>261</v>
      </c>
      <c r="C35" s="465">
        <v>0</v>
      </c>
      <c r="D35" s="466">
        <v>0</v>
      </c>
      <c r="E35" s="340">
        <v>0</v>
      </c>
      <c r="F35" s="351">
        <v>0</v>
      </c>
      <c r="G35" s="362">
        <v>0</v>
      </c>
      <c r="H35" s="363">
        <v>0</v>
      </c>
      <c r="I35" s="374">
        <v>0</v>
      </c>
      <c r="J35" s="375">
        <v>0</v>
      </c>
      <c r="K35" s="386">
        <v>0</v>
      </c>
      <c r="L35" s="387">
        <v>0</v>
      </c>
      <c r="M35" s="398">
        <v>0</v>
      </c>
      <c r="N35" s="399">
        <v>0</v>
      </c>
      <c r="O35" s="409">
        <f>'Mendez FY23-FY27 Budget'!D21</f>
        <v>147123</v>
      </c>
      <c r="P35" s="410">
        <f>'Mendez FY23-FY27 Budget'!D21</f>
        <v>147123</v>
      </c>
    </row>
    <row r="36" spans="1:16" s="318" customFormat="1" x14ac:dyDescent="0.35">
      <c r="A36" s="436" t="s">
        <v>100</v>
      </c>
      <c r="B36" s="521" t="s">
        <v>479</v>
      </c>
      <c r="C36" s="467">
        <f>'Network FY23-FY27  Budget'!D16</f>
        <v>200000</v>
      </c>
      <c r="D36" s="458">
        <f>'Network FY23-FY27  Budget'!E16</f>
        <v>200000</v>
      </c>
      <c r="E36" s="340">
        <f>'AAL FY23-FY27 Budget'!D12</f>
        <v>200000</v>
      </c>
      <c r="F36" s="351">
        <f>'AAL FY23-FY27 Budget'!E12</f>
        <v>200000</v>
      </c>
      <c r="G36" s="362">
        <f>'C2 FY23-FY27 Budget'!D12</f>
        <v>400000</v>
      </c>
      <c r="H36" s="471">
        <f>'C2 FY23-FY27 Budget'!E12</f>
        <v>200000</v>
      </c>
      <c r="I36" s="374">
        <f>'C3 FY23-FY27 Budget '!D12</f>
        <v>100000</v>
      </c>
      <c r="J36" s="472">
        <f>'C3 FY23-FY27 Budget '!E12</f>
        <v>200000</v>
      </c>
      <c r="K36" s="386">
        <f>'SHES FY23-FY27 Budget '!D27</f>
        <v>0</v>
      </c>
      <c r="L36" s="477">
        <f>'SHES FY23-FY27 Budget '!E27</f>
        <v>200000</v>
      </c>
      <c r="M36" s="398">
        <f>'Ector FY23-FY27 Budget '!D28</f>
        <v>0</v>
      </c>
      <c r="N36" s="399">
        <f>'Ector FY23-FY27 Budget '!E28</f>
        <v>0</v>
      </c>
      <c r="O36" s="409">
        <f>'Mendez FY23-FY27 Budget'!D29</f>
        <v>200000</v>
      </c>
      <c r="P36" s="410">
        <f>'Mendez FY23-FY27 Budget'!E29</f>
        <v>200000</v>
      </c>
    </row>
    <row r="37" spans="1:16" s="318" customFormat="1" x14ac:dyDescent="0.35">
      <c r="A37" s="439" t="s">
        <v>100</v>
      </c>
      <c r="B37" s="430" t="s">
        <v>264</v>
      </c>
      <c r="C37" s="465">
        <v>0</v>
      </c>
      <c r="D37" s="466">
        <v>0</v>
      </c>
      <c r="E37" s="340">
        <v>0</v>
      </c>
      <c r="F37" s="351">
        <v>0</v>
      </c>
      <c r="G37" s="362">
        <v>0</v>
      </c>
      <c r="H37" s="363">
        <v>0</v>
      </c>
      <c r="I37" s="374">
        <v>0</v>
      </c>
      <c r="J37" s="375">
        <v>0</v>
      </c>
      <c r="K37" s="386">
        <f>'SHES FY23-FY27 Budget '!D26</f>
        <v>0</v>
      </c>
      <c r="L37" s="387">
        <f>'SHES FY23-FY27 Budget '!E26</f>
        <v>0</v>
      </c>
      <c r="M37" s="398">
        <v>0</v>
      </c>
      <c r="N37" s="399">
        <v>0</v>
      </c>
      <c r="O37" s="409">
        <v>0</v>
      </c>
      <c r="P37" s="410">
        <v>0</v>
      </c>
    </row>
    <row r="38" spans="1:16" s="318" customFormat="1" x14ac:dyDescent="0.35">
      <c r="A38" s="437" t="s">
        <v>476</v>
      </c>
      <c r="B38" s="432" t="s">
        <v>14</v>
      </c>
      <c r="C38" s="465">
        <v>0</v>
      </c>
      <c r="D38" s="466">
        <v>0</v>
      </c>
      <c r="E38" s="340">
        <v>0</v>
      </c>
      <c r="F38" s="351">
        <v>0</v>
      </c>
      <c r="G38" s="362">
        <v>0</v>
      </c>
      <c r="H38" s="363">
        <v>0</v>
      </c>
      <c r="I38" s="374">
        <v>0</v>
      </c>
      <c r="J38" s="375">
        <v>0</v>
      </c>
      <c r="K38" s="386">
        <f>'SHES FY23-FY27 Budget '!D20</f>
        <v>27250</v>
      </c>
      <c r="L38" s="387">
        <f>'SHES FY23-FY27 Budget '!E20</f>
        <v>27250</v>
      </c>
      <c r="M38" s="398">
        <f>'Ector FY23-FY27 Budget '!D21</f>
        <v>70000</v>
      </c>
      <c r="N38" s="399">
        <f>'Ector FY23-FY27 Budget '!D21</f>
        <v>70000</v>
      </c>
      <c r="O38" s="409">
        <f>'Mendez FY23-FY27 Budget'!D20</f>
        <v>0</v>
      </c>
      <c r="P38" s="410">
        <f>'Mendez FY23-FY27 Budget'!D20</f>
        <v>0</v>
      </c>
    </row>
    <row r="39" spans="1:16" s="318" customFormat="1" x14ac:dyDescent="0.35">
      <c r="A39" s="437" t="s">
        <v>476</v>
      </c>
      <c r="B39" s="434" t="s">
        <v>368</v>
      </c>
      <c r="C39" s="467">
        <v>0</v>
      </c>
      <c r="D39" s="458">
        <v>0</v>
      </c>
      <c r="E39" s="341">
        <v>0</v>
      </c>
      <c r="F39" s="352">
        <v>0</v>
      </c>
      <c r="G39" s="364">
        <v>0</v>
      </c>
      <c r="H39" s="365">
        <v>0</v>
      </c>
      <c r="I39" s="376">
        <v>0</v>
      </c>
      <c r="J39" s="377">
        <v>0</v>
      </c>
      <c r="K39" s="388">
        <v>0</v>
      </c>
      <c r="L39" s="389">
        <v>0</v>
      </c>
      <c r="M39" s="400">
        <v>0</v>
      </c>
      <c r="N39" s="401">
        <v>0</v>
      </c>
      <c r="O39" s="411">
        <f>'Mendez FY23-FY27 Budget'!D26</f>
        <v>0</v>
      </c>
      <c r="P39" s="478" t="e">
        <f>'Mendez FY23-FY27 Budget'!E27</f>
        <v>#REF!</v>
      </c>
    </row>
    <row r="40" spans="1:16" s="318" customFormat="1" x14ac:dyDescent="0.35">
      <c r="A40" s="437" t="s">
        <v>100</v>
      </c>
      <c r="B40" s="432" t="s">
        <v>265</v>
      </c>
      <c r="C40" s="465">
        <v>0</v>
      </c>
      <c r="D40" s="466">
        <v>0</v>
      </c>
      <c r="E40" s="340">
        <v>0</v>
      </c>
      <c r="F40" s="351">
        <v>0</v>
      </c>
      <c r="G40" s="362">
        <v>0</v>
      </c>
      <c r="H40" s="363">
        <v>0</v>
      </c>
      <c r="I40" s="374">
        <v>0</v>
      </c>
      <c r="J40" s="375">
        <v>0</v>
      </c>
      <c r="K40" s="386">
        <v>0</v>
      </c>
      <c r="L40" s="387">
        <v>0</v>
      </c>
      <c r="M40" s="398">
        <v>0</v>
      </c>
      <c r="N40" s="399">
        <v>0</v>
      </c>
      <c r="O40" s="409">
        <f>'Mendez FY23-FY27 Budget'!D30</f>
        <v>80000</v>
      </c>
      <c r="P40" s="410">
        <f>'Mendez FY23-FY27 Budget'!E30</f>
        <v>80000</v>
      </c>
    </row>
    <row r="41" spans="1:16" s="318" customFormat="1" ht="15" thickBot="1" x14ac:dyDescent="0.4">
      <c r="A41" s="437" t="s">
        <v>476</v>
      </c>
      <c r="B41" s="435" t="s">
        <v>480</v>
      </c>
      <c r="C41" s="468">
        <f>'Network FY23-FY27  Budget'!D5+'Network FY23-FY27  Budget'!D6+'Network FY23-FY27  Budget'!D7+'Network FY23-FY27  Budget'!D8+'Network FY23-FY27  Budget'!D9+'Network FY23-FY27  Budget'!D10</f>
        <v>5350000</v>
      </c>
      <c r="D41" s="459">
        <f>'Network FY23-FY27  Budget'!P17</f>
        <v>5784921.2285999991</v>
      </c>
      <c r="E41" s="341">
        <v>0</v>
      </c>
      <c r="F41" s="352">
        <v>0</v>
      </c>
      <c r="G41" s="364">
        <v>0</v>
      </c>
      <c r="H41" s="365">
        <v>0</v>
      </c>
      <c r="I41" s="376">
        <v>0</v>
      </c>
      <c r="J41" s="377">
        <v>0</v>
      </c>
      <c r="K41" s="388">
        <v>0</v>
      </c>
      <c r="L41" s="389">
        <v>0</v>
      </c>
      <c r="M41" s="400">
        <v>0</v>
      </c>
      <c r="N41" s="401">
        <v>0</v>
      </c>
      <c r="O41" s="411">
        <f>'Mendez FY23-FY27 Budget'!D27</f>
        <v>0</v>
      </c>
      <c r="P41" s="405"/>
    </row>
    <row r="42" spans="1:16" s="325" customFormat="1" ht="16" thickBot="1" x14ac:dyDescent="0.4">
      <c r="A42" s="1248" t="s">
        <v>371</v>
      </c>
      <c r="B42" s="1250"/>
      <c r="C42" s="482">
        <f>SUM(C3:C41)</f>
        <v>6250000</v>
      </c>
      <c r="D42" s="483">
        <f>SUM(D3:D41)</f>
        <v>7234921.2285999991</v>
      </c>
      <c r="E42" s="323">
        <f>SUM(E3:E23)</f>
        <v>15608174</v>
      </c>
      <c r="F42" s="353">
        <f>SUM(F3:F41)</f>
        <v>15407047.140000001</v>
      </c>
      <c r="G42" s="366">
        <f t="shared" ref="G42:P42" si="0">SUM(G3:G23)</f>
        <v>2902455</v>
      </c>
      <c r="H42" s="367">
        <f t="shared" si="0"/>
        <v>3159798.5</v>
      </c>
      <c r="I42" s="378">
        <f t="shared" si="0"/>
        <v>5246641</v>
      </c>
      <c r="J42" s="379">
        <f t="shared" si="0"/>
        <v>5240587</v>
      </c>
      <c r="K42" s="390">
        <f t="shared" si="0"/>
        <v>5827011</v>
      </c>
      <c r="L42" s="391">
        <f t="shared" si="0"/>
        <v>5827011</v>
      </c>
      <c r="M42" s="402">
        <f t="shared" si="0"/>
        <v>18595053</v>
      </c>
      <c r="N42" s="403">
        <f t="shared" si="0"/>
        <v>19817586.399999999</v>
      </c>
      <c r="O42" s="412">
        <f t="shared" si="0"/>
        <v>5388856</v>
      </c>
      <c r="P42" s="324">
        <f t="shared" si="0"/>
        <v>5488856</v>
      </c>
    </row>
    <row r="43" spans="1:16" s="325" customFormat="1" ht="9.75" customHeight="1" thickBot="1" x14ac:dyDescent="0.4">
      <c r="A43" s="481"/>
      <c r="B43" s="484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6"/>
    </row>
    <row r="44" spans="1:16" x14ac:dyDescent="0.35">
      <c r="A44" s="530" t="s">
        <v>122</v>
      </c>
      <c r="B44" s="535" t="s">
        <v>481</v>
      </c>
      <c r="C44" s="487">
        <f>'Network FY23-FY27  Budget'!D20</f>
        <v>2154550</v>
      </c>
      <c r="D44" s="488" t="e">
        <f>'Network FY23-FY27  Budget'!E20+'Network FY23-FY27  Budget'!E22</f>
        <v>#REF!</v>
      </c>
      <c r="E44" s="509">
        <v>0</v>
      </c>
      <c r="F44" s="510">
        <v>0</v>
      </c>
      <c r="G44" s="511">
        <v>0</v>
      </c>
      <c r="H44" s="512">
        <v>0</v>
      </c>
      <c r="I44" s="513">
        <v>0</v>
      </c>
      <c r="J44" s="514">
        <v>0</v>
      </c>
      <c r="K44" s="515">
        <v>0</v>
      </c>
      <c r="L44" s="516">
        <v>0</v>
      </c>
      <c r="M44" s="517">
        <v>0</v>
      </c>
      <c r="N44" s="518">
        <v>0</v>
      </c>
      <c r="O44" s="519">
        <v>0</v>
      </c>
      <c r="P44" s="520">
        <v>0</v>
      </c>
    </row>
    <row r="45" spans="1:16" ht="15" thickBot="1" x14ac:dyDescent="0.4">
      <c r="A45" s="530"/>
      <c r="B45" s="455" t="s">
        <v>482</v>
      </c>
      <c r="C45" s="345">
        <f>'Network FY23-FY27  Budget'!D21</f>
        <v>670754</v>
      </c>
      <c r="D45" s="536" t="e">
        <f>'Network FY23-FY27  Budget'!E21</f>
        <v>#REF!</v>
      </c>
      <c r="E45" s="537">
        <v>0</v>
      </c>
      <c r="F45" s="538">
        <v>0</v>
      </c>
      <c r="G45" s="539">
        <v>0</v>
      </c>
      <c r="H45" s="540">
        <v>0</v>
      </c>
      <c r="I45" s="541">
        <v>0</v>
      </c>
      <c r="J45" s="542">
        <v>0</v>
      </c>
      <c r="K45" s="543">
        <v>0</v>
      </c>
      <c r="L45" s="544">
        <v>0</v>
      </c>
      <c r="M45" s="545">
        <v>0</v>
      </c>
      <c r="N45" s="546">
        <v>0</v>
      </c>
      <c r="O45" s="547">
        <v>0</v>
      </c>
      <c r="P45" s="548">
        <v>0</v>
      </c>
    </row>
    <row r="46" spans="1:16" x14ac:dyDescent="0.35">
      <c r="A46" s="441" t="s">
        <v>122</v>
      </c>
      <c r="B46" s="331" t="s">
        <v>373</v>
      </c>
      <c r="C46" s="531">
        <v>0</v>
      </c>
      <c r="D46" s="532">
        <v>0</v>
      </c>
      <c r="E46" s="533">
        <f>'AAL FY23-FY27 Budget'!D39</f>
        <v>3778000</v>
      </c>
      <c r="F46" s="534">
        <f>'AAL FY23-FY27 Budget'!E39</f>
        <v>3743000</v>
      </c>
      <c r="G46" s="360">
        <f>'C2 FY23-FY27 Budget'!D41</f>
        <v>1410000</v>
      </c>
      <c r="H46" s="361">
        <f>'C2 FY23-FY27 Budget'!E41</f>
        <v>1297000</v>
      </c>
      <c r="I46" s="372">
        <f>'C3 FY23-FY27 Budget '!D41</f>
        <v>1899000</v>
      </c>
      <c r="J46" s="373">
        <f>'C3 FY23-FY27 Budget '!E41</f>
        <v>1688000</v>
      </c>
      <c r="K46" s="384">
        <f>'SHES FY23-FY27 Budget '!D33</f>
        <v>2421000</v>
      </c>
      <c r="L46" s="385" t="e">
        <f>'SHES FY23-FY27 Budget '!E33</f>
        <v>#REF!</v>
      </c>
      <c r="M46" s="396">
        <f>'Ector FY23-FY27 Budget '!D33</f>
        <v>6579000</v>
      </c>
      <c r="N46" s="397">
        <f>'Ector FY23-FY27 Budget '!E33</f>
        <v>6313000</v>
      </c>
      <c r="O46" s="407">
        <f>'Mendez FY23-FY27 Budget'!D35</f>
        <v>2022000</v>
      </c>
      <c r="P46" s="408" t="e">
        <f>'Mendez FY23-FY27 Budget'!E35</f>
        <v>#REF!</v>
      </c>
    </row>
    <row r="47" spans="1:16" x14ac:dyDescent="0.35">
      <c r="A47" s="441" t="s">
        <v>122</v>
      </c>
      <c r="B47" s="334" t="s">
        <v>374</v>
      </c>
      <c r="C47" s="344">
        <v>0</v>
      </c>
      <c r="D47" s="458">
        <v>0</v>
      </c>
      <c r="E47" s="354">
        <f>'AAL FY23-FY27 Budget'!D40</f>
        <v>20000</v>
      </c>
      <c r="F47" s="355">
        <f>'AAL FY23-FY27 Budget'!E40</f>
        <v>20000</v>
      </c>
      <c r="G47" s="362">
        <v>0</v>
      </c>
      <c r="H47" s="363">
        <v>0</v>
      </c>
      <c r="I47" s="374">
        <f>'C3 FY23-FY27 Budget '!D42</f>
        <v>0</v>
      </c>
      <c r="J47" s="375">
        <f>'C3 FY23-FY27 Budget '!E42</f>
        <v>0</v>
      </c>
      <c r="K47" s="386">
        <f>'SHES FY23-FY27 Budget '!D34</f>
        <v>0</v>
      </c>
      <c r="L47" s="387">
        <f>'SHES FY23-FY27 Budget '!E34</f>
        <v>0</v>
      </c>
      <c r="M47" s="398">
        <f>'Ector FY23-FY27 Budget '!D34</f>
        <v>26400</v>
      </c>
      <c r="N47" s="399">
        <f>'Ector FY23-FY27 Budget '!E34</f>
        <v>26400</v>
      </c>
      <c r="O47" s="409">
        <f>'Mendez FY23-FY27 Budget'!D36</f>
        <v>15000</v>
      </c>
      <c r="P47" s="410">
        <f>'Mendez FY23-FY27 Budget'!E36</f>
        <v>15000</v>
      </c>
    </row>
    <row r="48" spans="1:16" x14ac:dyDescent="0.35">
      <c r="A48" s="441" t="s">
        <v>122</v>
      </c>
      <c r="B48" s="529" t="s">
        <v>375</v>
      </c>
      <c r="C48" s="344">
        <v>0</v>
      </c>
      <c r="D48" s="458">
        <v>0</v>
      </c>
      <c r="E48" s="354">
        <f>'AAL FY23-FY27 Budget'!D41</f>
        <v>118520</v>
      </c>
      <c r="F48" s="355">
        <f>'AAL FY23-FY27 Budget'!E41</f>
        <v>149720</v>
      </c>
      <c r="G48" s="362">
        <f>'C2 FY23-FY27 Budget'!D43</f>
        <v>47280</v>
      </c>
      <c r="H48" s="363">
        <f>'C2 FY23-FY27 Budget'!E43</f>
        <v>51880</v>
      </c>
      <c r="I48" s="374">
        <f>'C3 FY23-FY27 Budget '!D43</f>
        <v>57400</v>
      </c>
      <c r="J48" s="375">
        <f>'C3 FY23-FY27 Budget '!E43</f>
        <v>67520</v>
      </c>
      <c r="K48" s="386">
        <f>'SHES FY23-FY27 Budget '!D35</f>
        <v>77920</v>
      </c>
      <c r="L48" s="387" t="e">
        <f>'SHES FY23-FY27 Budget '!E35</f>
        <v>#REF!</v>
      </c>
      <c r="M48" s="398">
        <f>'Ector FY23-FY27 Budget '!D35</f>
        <v>182840</v>
      </c>
      <c r="N48" s="399">
        <f>'Ector FY23-FY27 Budget '!E35</f>
        <v>252520</v>
      </c>
      <c r="O48" s="409">
        <f>'Mendez FY23-FY27 Budget'!D37</f>
        <v>0</v>
      </c>
      <c r="P48" s="410">
        <f>'Mendez FY23-FY27 Budget'!E37</f>
        <v>0</v>
      </c>
    </row>
    <row r="49" spans="1:16" x14ac:dyDescent="0.35">
      <c r="A49" s="444" t="s">
        <v>155</v>
      </c>
      <c r="B49" s="331" t="s">
        <v>483</v>
      </c>
      <c r="C49" s="344">
        <v>0</v>
      </c>
      <c r="D49" s="458">
        <v>0</v>
      </c>
      <c r="E49" s="354">
        <f>'AAL FY23-FY27 Budget'!D42</f>
        <v>1281476</v>
      </c>
      <c r="F49" s="355" t="e">
        <f>'AAL FY23-FY27 Budget'!E42</f>
        <v>#REF!</v>
      </c>
      <c r="G49" s="362">
        <f>'C2 FY23-FY27 Budget'!D44</f>
        <v>453944</v>
      </c>
      <c r="H49" s="363" t="e">
        <f>'C2 FY23-FY27 Budget'!E44</f>
        <v>#REF!</v>
      </c>
      <c r="I49" s="374">
        <f>'C3 FY23-FY27 Budget '!D44</f>
        <v>637744</v>
      </c>
      <c r="J49" s="375" t="e">
        <f>'C3 FY23-FY27 Budget '!E44</f>
        <v>#REF!</v>
      </c>
      <c r="K49" s="386">
        <f>'SHES FY23-FY27 Budget '!D36</f>
        <v>351203</v>
      </c>
      <c r="L49" s="387" t="e">
        <f>'SHES FY23-FY27 Budget '!E36</f>
        <v>#REF!</v>
      </c>
      <c r="M49" s="398">
        <f>'Ector FY23-FY27 Budget '!D36</f>
        <v>872374</v>
      </c>
      <c r="N49" s="399" t="e">
        <f>'Ector FY23-FY27 Budget '!E36</f>
        <v>#REF!</v>
      </c>
      <c r="O49" s="409">
        <f>'Mendez FY23-FY27 Budget'!D38</f>
        <v>325088</v>
      </c>
      <c r="P49" s="410" t="e">
        <f>'Mendez FY23-FY27 Budget'!E38</f>
        <v>#REF!</v>
      </c>
    </row>
    <row r="50" spans="1:16" x14ac:dyDescent="0.35">
      <c r="A50" s="441" t="s">
        <v>122</v>
      </c>
      <c r="B50" s="328" t="s">
        <v>378</v>
      </c>
      <c r="C50" s="344">
        <v>0</v>
      </c>
      <c r="D50" s="458">
        <v>0</v>
      </c>
      <c r="E50" s="354">
        <f>'AAL FY23-FY27 Budget'!D43</f>
        <v>207000</v>
      </c>
      <c r="F50" s="355">
        <f>'AAL FY23-FY27 Budget'!E43</f>
        <v>213000</v>
      </c>
      <c r="G50" s="362">
        <f>'C2 FY23-FY27 Budget'!D45</f>
        <v>0</v>
      </c>
      <c r="H50" s="363">
        <f>'C2 FY23-FY27 Budget'!E45</f>
        <v>0</v>
      </c>
      <c r="I50" s="374">
        <f>'C3 FY23-FY27 Budget '!D45</f>
        <v>69000</v>
      </c>
      <c r="J50" s="375">
        <f>'C3 FY23-FY27 Budget '!E45</f>
        <v>71000</v>
      </c>
      <c r="K50" s="386">
        <f>'SHES FY23-FY27 Budget '!D37</f>
        <v>144000</v>
      </c>
      <c r="L50" s="387" t="e">
        <f>'SHES FY23-FY27 Budget '!E37</f>
        <v>#REF!</v>
      </c>
      <c r="M50" s="398">
        <f>'Ector FY23-FY27 Budget '!D37</f>
        <v>376000</v>
      </c>
      <c r="N50" s="399">
        <f>'Ector FY23-FY27 Budget '!E37</f>
        <v>457000</v>
      </c>
      <c r="O50" s="409">
        <f>'Mendez FY23-FY27 Budget'!D39</f>
        <v>318000</v>
      </c>
      <c r="P50" s="410" t="e">
        <f>'Mendez FY23-FY27 Budget'!E39</f>
        <v>#REF!</v>
      </c>
    </row>
    <row r="51" spans="1:16" s="319" customFormat="1" x14ac:dyDescent="0.35">
      <c r="A51" s="442"/>
      <c r="B51" s="330" t="s">
        <v>381</v>
      </c>
      <c r="C51" s="344">
        <v>0</v>
      </c>
      <c r="D51" s="458">
        <v>0</v>
      </c>
      <c r="E51" s="354">
        <v>0</v>
      </c>
      <c r="F51" s="355">
        <v>0</v>
      </c>
      <c r="G51" s="362">
        <v>0</v>
      </c>
      <c r="H51" s="363">
        <v>0</v>
      </c>
      <c r="I51" s="374">
        <v>0</v>
      </c>
      <c r="J51" s="375">
        <v>0</v>
      </c>
      <c r="K51" s="386">
        <v>0</v>
      </c>
      <c r="L51" s="387">
        <v>0</v>
      </c>
      <c r="M51" s="398">
        <v>0</v>
      </c>
      <c r="N51" s="399">
        <v>0</v>
      </c>
      <c r="O51" s="409">
        <f>'Mendez FY23-FY27 Budget'!D41</f>
        <v>0</v>
      </c>
      <c r="P51" s="410" t="e">
        <f>'Mendez FY23-FY27 Budget'!E41</f>
        <v>#REF!</v>
      </c>
    </row>
    <row r="52" spans="1:16" s="319" customFormat="1" x14ac:dyDescent="0.35">
      <c r="A52" s="444"/>
      <c r="B52" s="338" t="s">
        <v>382</v>
      </c>
      <c r="C52" s="344">
        <v>0</v>
      </c>
      <c r="D52" s="458">
        <v>0</v>
      </c>
      <c r="E52" s="354">
        <v>0</v>
      </c>
      <c r="F52" s="355">
        <v>0</v>
      </c>
      <c r="G52" s="362">
        <v>0</v>
      </c>
      <c r="H52" s="363">
        <v>0</v>
      </c>
      <c r="I52" s="374">
        <v>0</v>
      </c>
      <c r="J52" s="375">
        <v>0</v>
      </c>
      <c r="K52" s="386">
        <v>0</v>
      </c>
      <c r="L52" s="387">
        <v>0</v>
      </c>
      <c r="M52" s="398">
        <v>0</v>
      </c>
      <c r="N52" s="399">
        <v>0</v>
      </c>
      <c r="O52" s="409"/>
      <c r="P52" s="410" t="e">
        <f>'Mendez FY23-FY27 Budget'!E42</f>
        <v>#REF!</v>
      </c>
    </row>
    <row r="53" spans="1:16" x14ac:dyDescent="0.35">
      <c r="A53" s="444" t="s">
        <v>155</v>
      </c>
      <c r="B53" s="331" t="s">
        <v>484</v>
      </c>
      <c r="C53" s="344">
        <v>0</v>
      </c>
      <c r="D53" s="458">
        <v>0</v>
      </c>
      <c r="E53" s="354">
        <f>'AAL FY23-FY27 Budget'!D44</f>
        <v>47300</v>
      </c>
      <c r="F53" s="355" t="e">
        <f>'AAL FY23-FY27 Budget'!E44</f>
        <v>#REF!</v>
      </c>
      <c r="G53" s="362">
        <f>'C2 FY23-FY27 Budget'!D46</f>
        <v>0</v>
      </c>
      <c r="H53" s="363" t="e">
        <f>'C2 FY23-FY27 Budget'!E46</f>
        <v>#REF!</v>
      </c>
      <c r="I53" s="374">
        <f>'C3 FY23-FY27 Budget '!D46</f>
        <v>15767</v>
      </c>
      <c r="J53" s="375" t="e">
        <f>'C3 FY23-FY27 Budget '!E46</f>
        <v>#REF!</v>
      </c>
      <c r="K53" s="386">
        <f>'SHES FY23-FY27 Budget '!D38</f>
        <v>7646</v>
      </c>
      <c r="L53" s="387" t="e">
        <f>'SHES FY23-FY27 Budget '!E38</f>
        <v>#REF!</v>
      </c>
      <c r="M53" s="398">
        <f>'Ector FY23-FY27 Budget '!D38</f>
        <v>19966</v>
      </c>
      <c r="N53" s="399" t="e">
        <f>'Ector FY23-FY27 Budget '!E38</f>
        <v>#REF!</v>
      </c>
      <c r="O53" s="409">
        <f>'Mendez FY23-FY27 Budget'!D40</f>
        <v>16886</v>
      </c>
      <c r="P53" s="410" t="e">
        <f>'Mendez FY23-FY27 Budget'!E40</f>
        <v>#REF!</v>
      </c>
    </row>
    <row r="54" spans="1:16" x14ac:dyDescent="0.35">
      <c r="A54" s="441" t="s">
        <v>122</v>
      </c>
      <c r="B54" s="328" t="s">
        <v>384</v>
      </c>
      <c r="C54" s="344">
        <v>0</v>
      </c>
      <c r="D54" s="458">
        <v>0</v>
      </c>
      <c r="E54" s="354">
        <f>'AAL FY23-FY27 Budget'!D45</f>
        <v>715000</v>
      </c>
      <c r="F54" s="355">
        <f>'AAL FY23-FY27 Budget'!E45</f>
        <v>890000</v>
      </c>
      <c r="G54" s="362">
        <f>'C2 FY23-FY27 Budget'!D47</f>
        <v>255000</v>
      </c>
      <c r="H54" s="363">
        <f>'C2 FY23-FY27 Budget'!E47</f>
        <v>360000</v>
      </c>
      <c r="I54" s="374">
        <f>'C3 FY23-FY27 Budget '!D47</f>
        <v>375000</v>
      </c>
      <c r="J54" s="375">
        <f>'C3 FY23-FY27 Budget '!E47</f>
        <v>385000</v>
      </c>
      <c r="K54" s="386">
        <f>'SHES FY23-FY27 Budget '!D39</f>
        <v>484500</v>
      </c>
      <c r="L54" s="387" t="e">
        <f>'SHES FY23-FY27 Budget '!E39</f>
        <v>#REF!</v>
      </c>
      <c r="M54" s="398">
        <f>'Ector FY23-FY27 Budget '!D39</f>
        <v>1227000</v>
      </c>
      <c r="N54" s="399">
        <f>'Ector FY23-FY27 Budget '!E39</f>
        <v>1247000</v>
      </c>
      <c r="O54" s="409">
        <f>'Mendez FY23-FY27 Budget'!D43</f>
        <v>487500</v>
      </c>
      <c r="P54" s="410" t="e">
        <f>'Mendez FY23-FY27 Budget'!E43</f>
        <v>#REF!</v>
      </c>
    </row>
    <row r="55" spans="1:16" x14ac:dyDescent="0.35">
      <c r="A55" s="441" t="s">
        <v>122</v>
      </c>
      <c r="B55" s="522" t="s">
        <v>485</v>
      </c>
      <c r="C55" s="344">
        <v>0</v>
      </c>
      <c r="D55" s="458">
        <v>0</v>
      </c>
      <c r="E55" s="354">
        <f>'AAL FY23-FY27 Budget'!D47</f>
        <v>20000</v>
      </c>
      <c r="F55" s="355">
        <f>'AAL FY23-FY27 Budget'!E47</f>
        <v>20000</v>
      </c>
      <c r="G55" s="362">
        <f>'C2 FY23-FY27 Budget'!D49</f>
        <v>10000</v>
      </c>
      <c r="H55" s="363">
        <f>'C2 FY23-FY27 Budget'!E49</f>
        <v>20000</v>
      </c>
      <c r="I55" s="374">
        <f>'C3 FY23-FY27 Budget '!D49</f>
        <v>10000</v>
      </c>
      <c r="J55" s="375">
        <f>'C3 FY23-FY27 Budget '!E49</f>
        <v>10000</v>
      </c>
      <c r="K55" s="386">
        <f>'SHES FY23-FY27 Budget '!D41</f>
        <v>0</v>
      </c>
      <c r="L55" s="387">
        <f>'SHES FY23-FY27 Budget '!E41</f>
        <v>0</v>
      </c>
      <c r="M55" s="398">
        <f>'Ector FY23-FY27 Budget '!D41</f>
        <v>30000</v>
      </c>
      <c r="N55" s="399">
        <f>'Ector FY23-FY27 Budget '!E41</f>
        <v>30000</v>
      </c>
      <c r="O55" s="409">
        <f>'Mendez FY23-FY27 Budget'!D45</f>
        <v>0</v>
      </c>
      <c r="P55" s="410">
        <f>'Mendez FY23-FY27 Budget'!E45</f>
        <v>0</v>
      </c>
    </row>
    <row r="56" spans="1:16" x14ac:dyDescent="0.35">
      <c r="A56" s="441" t="s">
        <v>122</v>
      </c>
      <c r="B56" s="522" t="s">
        <v>486</v>
      </c>
      <c r="C56" s="344">
        <v>0</v>
      </c>
      <c r="D56" s="458">
        <v>0</v>
      </c>
      <c r="E56" s="354">
        <f>'AAL FY23-FY27 Budget'!D46</f>
        <v>0</v>
      </c>
      <c r="F56" s="355">
        <f>'AAL FY23-FY27 Budget'!E46</f>
        <v>0</v>
      </c>
      <c r="G56" s="362">
        <f>'C2 FY23-FY27 Budget'!D48</f>
        <v>0</v>
      </c>
      <c r="H56" s="363">
        <f>'C2 FY23-FY27 Budget'!E48</f>
        <v>0</v>
      </c>
      <c r="I56" s="374">
        <f>'C3 FY23-FY27 Budget '!D48</f>
        <v>0</v>
      </c>
      <c r="J56" s="375">
        <f>'C3 FY23-FY27 Budget '!E48</f>
        <v>0</v>
      </c>
      <c r="K56" s="386">
        <f>'SHES FY23-FY27 Budget '!D40</f>
        <v>0</v>
      </c>
      <c r="L56" s="387">
        <f>'SHES FY23-FY27 Budget '!E40</f>
        <v>0</v>
      </c>
      <c r="M56" s="398">
        <f>'Ector FY23-FY27 Budget '!D40</f>
        <v>0</v>
      </c>
      <c r="N56" s="399">
        <f>'Ector FY23-FY27 Budget '!E40</f>
        <v>0</v>
      </c>
      <c r="O56" s="409">
        <f>'Mendez FY23-FY27 Budget'!D44</f>
        <v>0</v>
      </c>
      <c r="P56" s="410">
        <f>'Mendez FY23-FY27 Budget'!E44</f>
        <v>0</v>
      </c>
    </row>
    <row r="57" spans="1:16" x14ac:dyDescent="0.35">
      <c r="A57" s="444" t="s">
        <v>155</v>
      </c>
      <c r="B57" s="328" t="s">
        <v>487</v>
      </c>
      <c r="C57" s="344">
        <v>0</v>
      </c>
      <c r="D57" s="458">
        <v>0</v>
      </c>
      <c r="E57" s="354">
        <f>'AAL FY23-FY27 Budget'!D48</f>
        <v>163378</v>
      </c>
      <c r="F57" s="355" t="e">
        <f>'AAL FY23-FY27 Budget'!E48</f>
        <v>#REF!</v>
      </c>
      <c r="G57" s="362">
        <f>'C2 FY23-FY27 Budget'!D50</f>
        <v>58268</v>
      </c>
      <c r="H57" s="363" t="e">
        <f>'C2 FY23-FY27 Budget'!E50</f>
        <v>#REF!</v>
      </c>
      <c r="I57" s="374">
        <f>'C3 FY23-FY27 Budget '!D50</f>
        <v>85688</v>
      </c>
      <c r="J57" s="375" t="e">
        <f>'C3 FY23-FY27 Budget '!E50</f>
        <v>#REF!</v>
      </c>
      <c r="K57" s="386">
        <f>'SHES FY23-FY27 Budget '!D42</f>
        <v>25847</v>
      </c>
      <c r="L57" s="387" t="e">
        <f>'SHES FY23-FY27 Budget '!E42</f>
        <v>#REF!</v>
      </c>
      <c r="M57" s="398">
        <f>'Ector FY23-FY27 Budget '!D42</f>
        <v>65654</v>
      </c>
      <c r="N57" s="399" t="e">
        <f>'Ector FY23-FY27 Budget '!E42</f>
        <v>#REF!</v>
      </c>
      <c r="O57" s="409">
        <f>'Mendez FY23-FY27 Budget'!D46</f>
        <v>26886</v>
      </c>
      <c r="P57" s="410" t="e">
        <f>'Mendez FY23-FY27 Budget'!E46</f>
        <v>#REF!</v>
      </c>
    </row>
    <row r="58" spans="1:16" s="319" customFormat="1" x14ac:dyDescent="0.35">
      <c r="A58" s="441" t="s">
        <v>122</v>
      </c>
      <c r="B58" s="522" t="s">
        <v>488</v>
      </c>
      <c r="C58" s="344">
        <f>'Network FY23-FY27  Budget'!D30</f>
        <v>85000</v>
      </c>
      <c r="D58" s="458">
        <f>'Network FY23-FY27  Budget'!E30</f>
        <v>85000</v>
      </c>
      <c r="E58" s="354">
        <v>0</v>
      </c>
      <c r="F58" s="355">
        <v>0</v>
      </c>
      <c r="G58" s="362">
        <v>0</v>
      </c>
      <c r="H58" s="363">
        <v>0</v>
      </c>
      <c r="I58" s="374">
        <v>0</v>
      </c>
      <c r="J58" s="375">
        <v>0</v>
      </c>
      <c r="K58" s="386">
        <v>0</v>
      </c>
      <c r="L58" s="387">
        <v>0</v>
      </c>
      <c r="M58" s="398">
        <v>0</v>
      </c>
      <c r="N58" s="399">
        <v>0</v>
      </c>
      <c r="O58" s="409">
        <v>0</v>
      </c>
      <c r="P58" s="410">
        <v>0</v>
      </c>
    </row>
    <row r="59" spans="1:16" x14ac:dyDescent="0.35">
      <c r="A59" s="441" t="s">
        <v>122</v>
      </c>
      <c r="B59" s="522" t="s">
        <v>489</v>
      </c>
      <c r="C59" s="344">
        <f>'Network FY23-FY27  Budget'!D23</f>
        <v>1350000</v>
      </c>
      <c r="D59" s="458">
        <f>'Network FY23-FY27  Budget'!E23</f>
        <v>1350000</v>
      </c>
      <c r="E59" s="354">
        <v>0</v>
      </c>
      <c r="F59" s="355">
        <v>0</v>
      </c>
      <c r="G59" s="362">
        <v>0</v>
      </c>
      <c r="H59" s="363">
        <v>0</v>
      </c>
      <c r="I59" s="374">
        <v>0</v>
      </c>
      <c r="J59" s="375">
        <v>0</v>
      </c>
      <c r="K59" s="386">
        <v>0</v>
      </c>
      <c r="L59" s="387">
        <v>0</v>
      </c>
      <c r="M59" s="398">
        <v>0</v>
      </c>
      <c r="N59" s="399">
        <v>0</v>
      </c>
      <c r="O59" s="409">
        <v>0</v>
      </c>
      <c r="P59" s="410">
        <v>0</v>
      </c>
    </row>
    <row r="60" spans="1:16" x14ac:dyDescent="0.35">
      <c r="A60" s="444" t="s">
        <v>155</v>
      </c>
      <c r="B60" s="522" t="s">
        <v>490</v>
      </c>
      <c r="C60" s="344">
        <f>'Network FY23-FY27  Budget'!D24</f>
        <v>379620</v>
      </c>
      <c r="D60" s="458" t="e">
        <f>'Network FY23-FY27  Budget'!E24</f>
        <v>#REF!</v>
      </c>
      <c r="E60" s="354">
        <v>0</v>
      </c>
      <c r="F60" s="355">
        <v>0</v>
      </c>
      <c r="G60" s="362">
        <v>0</v>
      </c>
      <c r="H60" s="363">
        <v>0</v>
      </c>
      <c r="I60" s="374">
        <v>0</v>
      </c>
      <c r="J60" s="375">
        <v>0</v>
      </c>
      <c r="K60" s="386">
        <v>0</v>
      </c>
      <c r="L60" s="387">
        <v>0</v>
      </c>
      <c r="M60" s="398">
        <v>0</v>
      </c>
      <c r="N60" s="399">
        <v>0</v>
      </c>
      <c r="O60" s="409">
        <v>0</v>
      </c>
      <c r="P60" s="410">
        <v>0</v>
      </c>
    </row>
    <row r="61" spans="1:16" x14ac:dyDescent="0.35">
      <c r="A61" s="441" t="s">
        <v>122</v>
      </c>
      <c r="B61" s="330" t="s">
        <v>491</v>
      </c>
      <c r="C61" s="344">
        <f>'Network FY23-FY27  Budget'!D25</f>
        <v>260000</v>
      </c>
      <c r="D61" s="479" t="e">
        <f>'Network FY23-FY27  Budget'!E25</f>
        <v>#REF!</v>
      </c>
      <c r="E61" s="354">
        <v>0</v>
      </c>
      <c r="F61" s="355">
        <v>0</v>
      </c>
      <c r="G61" s="362">
        <v>0</v>
      </c>
      <c r="H61" s="363">
        <v>0</v>
      </c>
      <c r="I61" s="374">
        <v>0</v>
      </c>
      <c r="J61" s="375">
        <v>0</v>
      </c>
      <c r="K61" s="386">
        <v>0</v>
      </c>
      <c r="L61" s="387">
        <v>0</v>
      </c>
      <c r="M61" s="398">
        <v>0</v>
      </c>
      <c r="N61" s="399">
        <v>0</v>
      </c>
      <c r="O61" s="409">
        <v>0</v>
      </c>
      <c r="P61" s="410">
        <v>0</v>
      </c>
    </row>
    <row r="62" spans="1:16" x14ac:dyDescent="0.35">
      <c r="A62" s="444" t="s">
        <v>155</v>
      </c>
      <c r="B62" s="328" t="s">
        <v>492</v>
      </c>
      <c r="C62" s="344">
        <f>'Network FY23-FY27  Budget'!D26</f>
        <v>80840</v>
      </c>
      <c r="D62" s="479" t="e">
        <f>'Network FY23-FY27  Budget'!E26</f>
        <v>#REF!</v>
      </c>
      <c r="E62" s="354">
        <v>0</v>
      </c>
      <c r="F62" s="355">
        <v>0</v>
      </c>
      <c r="G62" s="362">
        <v>0</v>
      </c>
      <c r="H62" s="363">
        <v>0</v>
      </c>
      <c r="I62" s="374">
        <v>0</v>
      </c>
      <c r="J62" s="375">
        <v>0</v>
      </c>
      <c r="K62" s="386">
        <v>0</v>
      </c>
      <c r="L62" s="387">
        <v>0</v>
      </c>
      <c r="M62" s="398">
        <v>0</v>
      </c>
      <c r="N62" s="399">
        <v>0</v>
      </c>
      <c r="O62" s="409">
        <v>0</v>
      </c>
      <c r="P62" s="410">
        <v>0</v>
      </c>
    </row>
    <row r="63" spans="1:16" ht="15" thickBot="1" x14ac:dyDescent="0.4">
      <c r="A63" s="443" t="s">
        <v>122</v>
      </c>
      <c r="B63" s="328" t="s">
        <v>244</v>
      </c>
      <c r="C63" s="344">
        <v>0</v>
      </c>
      <c r="D63" s="458">
        <v>0</v>
      </c>
      <c r="E63" s="354">
        <v>0</v>
      </c>
      <c r="F63" s="355">
        <v>0</v>
      </c>
      <c r="G63" s="362">
        <v>0</v>
      </c>
      <c r="H63" s="363">
        <v>0</v>
      </c>
      <c r="I63" s="374">
        <v>0</v>
      </c>
      <c r="J63" s="375">
        <v>0</v>
      </c>
      <c r="K63" s="386">
        <f>'SHES FY23-FY27 Budget '!D44</f>
        <v>0</v>
      </c>
      <c r="L63" s="387">
        <f>'SHES FY23-FY27 Budget '!E44</f>
        <v>0</v>
      </c>
      <c r="M63" s="398">
        <f>'Ector FY23-FY27 Budget '!D44</f>
        <v>50000</v>
      </c>
      <c r="N63" s="399">
        <f>'Ector FY23-FY27 Budget '!E44</f>
        <v>50000</v>
      </c>
      <c r="O63" s="409">
        <f>'Mendez FY23-FY27 Budget'!D48</f>
        <v>0</v>
      </c>
      <c r="P63" s="410">
        <f>'Mendez FY23-FY27 Budget'!E48</f>
        <v>0</v>
      </c>
    </row>
    <row r="64" spans="1:16" x14ac:dyDescent="0.35">
      <c r="A64" s="444"/>
      <c r="B64" s="328" t="s">
        <v>397</v>
      </c>
      <c r="C64" s="344">
        <v>0</v>
      </c>
      <c r="D64" s="458">
        <v>0</v>
      </c>
      <c r="E64" s="354">
        <v>0</v>
      </c>
      <c r="F64" s="355">
        <v>0</v>
      </c>
      <c r="G64" s="362">
        <v>0</v>
      </c>
      <c r="H64" s="363">
        <v>0</v>
      </c>
      <c r="I64" s="374">
        <v>0</v>
      </c>
      <c r="J64" s="375">
        <v>0</v>
      </c>
      <c r="K64" s="386">
        <f>'SHES FY23-FY27 Budget '!D62</f>
        <v>130000</v>
      </c>
      <c r="L64" s="387">
        <f>'SHES FY23-FY27 Budget '!E62</f>
        <v>130000</v>
      </c>
      <c r="M64" s="398">
        <f>'Ector FY23-FY27 Budget '!D62</f>
        <v>225000</v>
      </c>
      <c r="N64" s="399">
        <f>'Ector FY23-FY27 Budget '!E62</f>
        <v>225000</v>
      </c>
      <c r="O64" s="409">
        <f>'Mendez FY23-FY27 Budget'!D66</f>
        <v>250000</v>
      </c>
      <c r="P64" s="410">
        <f>'Mendez FY23-FY27 Budget'!E66</f>
        <v>250000</v>
      </c>
    </row>
    <row r="65" spans="1:16" x14ac:dyDescent="0.35">
      <c r="A65" s="444"/>
      <c r="B65" s="328" t="s">
        <v>398</v>
      </c>
      <c r="C65" s="344">
        <v>0</v>
      </c>
      <c r="D65" s="458">
        <v>0</v>
      </c>
      <c r="E65" s="354">
        <v>0</v>
      </c>
      <c r="F65" s="355">
        <v>0</v>
      </c>
      <c r="G65" s="362">
        <v>0</v>
      </c>
      <c r="H65" s="363">
        <v>0</v>
      </c>
      <c r="I65" s="374">
        <v>0</v>
      </c>
      <c r="J65" s="375">
        <v>0</v>
      </c>
      <c r="K65" s="386">
        <f>'SHES FY23-FY27 Budget '!D63</f>
        <v>60000</v>
      </c>
      <c r="L65" s="387">
        <f>'SHES FY23-FY27 Budget '!E63</f>
        <v>60000</v>
      </c>
      <c r="M65" s="398">
        <f>'Ector FY23-FY27 Budget '!D63</f>
        <v>75000</v>
      </c>
      <c r="N65" s="399">
        <f>'Ector FY23-FY27 Budget '!E63</f>
        <v>75000</v>
      </c>
      <c r="O65" s="409">
        <f>'Mendez FY23-FY27 Budget'!D67</f>
        <v>0</v>
      </c>
      <c r="P65" s="410">
        <f>'Mendez FY23-FY27 Budget'!E67</f>
        <v>0</v>
      </c>
    </row>
    <row r="66" spans="1:16" x14ac:dyDescent="0.35">
      <c r="A66" s="444"/>
      <c r="B66" s="328" t="s">
        <v>399</v>
      </c>
      <c r="C66" s="344">
        <v>0</v>
      </c>
      <c r="D66" s="458">
        <v>0</v>
      </c>
      <c r="E66" s="354">
        <f>'AAL FY23-FY27 Budget'!D49</f>
        <v>35160</v>
      </c>
      <c r="F66" s="355">
        <f>'AAL FY23-FY27 Budget'!E49</f>
        <v>36541</v>
      </c>
      <c r="G66" s="362">
        <f>'C2 FY23-FY27 Budget'!D51</f>
        <v>35160</v>
      </c>
      <c r="H66" s="363">
        <f>'C2 FY23-FY27 Budget'!E51</f>
        <v>31963</v>
      </c>
      <c r="I66" s="374">
        <f>'C3 FY23-FY27 Budget '!D51</f>
        <v>0</v>
      </c>
      <c r="J66" s="375">
        <f>'C3 FY23-FY27 Budget '!E51</f>
        <v>36568</v>
      </c>
      <c r="K66" s="386">
        <v>0</v>
      </c>
      <c r="L66" s="387" t="e">
        <f>'SHES FY23-FY27 Budget '!E43</f>
        <v>#REF!</v>
      </c>
      <c r="M66" s="398">
        <v>0</v>
      </c>
      <c r="N66" s="399">
        <f>'Ector FY23-FY27 Budget '!E43</f>
        <v>621317.5</v>
      </c>
      <c r="O66" s="409">
        <v>0</v>
      </c>
      <c r="P66" s="410" t="e">
        <f>'Mendez FY23-FY27 Budget'!E47</f>
        <v>#REF!</v>
      </c>
    </row>
    <row r="67" spans="1:16" x14ac:dyDescent="0.35">
      <c r="A67" s="444" t="s">
        <v>199</v>
      </c>
      <c r="B67" s="328" t="s">
        <v>207</v>
      </c>
      <c r="C67" s="344">
        <v>0</v>
      </c>
      <c r="D67" s="458">
        <v>0</v>
      </c>
      <c r="E67" s="354">
        <f>'AAL FY23-FY27 Budget'!D85</f>
        <v>250000</v>
      </c>
      <c r="F67" s="355">
        <f>'AAL FY23-FY27 Budget'!E85</f>
        <v>250000</v>
      </c>
      <c r="G67" s="362">
        <f>'C2 FY23-FY27 Budget'!D85</f>
        <v>0</v>
      </c>
      <c r="H67" s="363">
        <f>'C2 FY23-FY27 Budget'!E85</f>
        <v>0</v>
      </c>
      <c r="I67" s="374">
        <f>'C3 FY23-FY27 Budget '!D86</f>
        <v>200000</v>
      </c>
      <c r="J67" s="375">
        <f>'C3 FY23-FY27 Budget '!E86</f>
        <v>200000</v>
      </c>
      <c r="K67" s="386">
        <f>'SHES FY23-FY27 Budget '!D45</f>
        <v>200000</v>
      </c>
      <c r="L67" s="387">
        <f>'SHES FY23-FY27 Budget '!E45</f>
        <v>200000</v>
      </c>
      <c r="M67" s="398">
        <f>'Ector FY23-FY27 Budget '!D45</f>
        <v>250000</v>
      </c>
      <c r="N67" s="399">
        <f>'Ector FY23-FY27 Budget '!E45</f>
        <v>250000</v>
      </c>
      <c r="O67" s="409">
        <f>'Mendez FY23-FY27 Budget'!D49</f>
        <v>50000</v>
      </c>
      <c r="P67" s="410">
        <f>'Mendez FY23-FY27 Budget'!E49</f>
        <v>50000</v>
      </c>
    </row>
    <row r="68" spans="1:16" x14ac:dyDescent="0.35">
      <c r="A68" s="444"/>
      <c r="B68" s="332" t="s">
        <v>493</v>
      </c>
      <c r="C68" s="344">
        <f>'Network FY23-FY27  Budget'!D37</f>
        <v>5000</v>
      </c>
      <c r="D68" s="458">
        <f>'Network FY23-FY27  Budget'!E37</f>
        <v>5000</v>
      </c>
      <c r="E68" s="354">
        <v>0</v>
      </c>
      <c r="F68" s="355">
        <v>0</v>
      </c>
      <c r="G68" s="362">
        <v>0</v>
      </c>
      <c r="H68" s="363">
        <v>0</v>
      </c>
      <c r="I68" s="374">
        <v>0</v>
      </c>
      <c r="J68" s="375">
        <v>0</v>
      </c>
      <c r="K68" s="386">
        <v>0</v>
      </c>
      <c r="L68" s="387">
        <v>0</v>
      </c>
      <c r="M68" s="398">
        <v>0</v>
      </c>
      <c r="N68" s="399">
        <v>0</v>
      </c>
      <c r="O68" s="409">
        <v>0</v>
      </c>
      <c r="P68" s="410">
        <v>0</v>
      </c>
    </row>
    <row r="69" spans="1:16" ht="15" thickBot="1" x14ac:dyDescent="0.4">
      <c r="A69" s="445"/>
      <c r="B69" s="335" t="s">
        <v>431</v>
      </c>
      <c r="C69" s="344">
        <f>'Network FY23-FY27  Budget'!D38</f>
        <v>5000</v>
      </c>
      <c r="D69" s="458">
        <f>'Network FY23-FY27  Budget'!E38</f>
        <v>5000</v>
      </c>
      <c r="E69" s="354">
        <v>0</v>
      </c>
      <c r="F69" s="355">
        <v>0</v>
      </c>
      <c r="G69" s="362">
        <v>0</v>
      </c>
      <c r="H69" s="363">
        <v>0</v>
      </c>
      <c r="I69" s="374">
        <v>0</v>
      </c>
      <c r="J69" s="375">
        <v>0</v>
      </c>
      <c r="K69" s="386">
        <v>0</v>
      </c>
      <c r="L69" s="387">
        <v>0</v>
      </c>
      <c r="M69" s="398">
        <v>0</v>
      </c>
      <c r="N69" s="399">
        <v>0</v>
      </c>
      <c r="O69" s="409">
        <v>0</v>
      </c>
      <c r="P69" s="410">
        <v>0</v>
      </c>
    </row>
    <row r="70" spans="1:16" x14ac:dyDescent="0.35">
      <c r="A70" s="444" t="s">
        <v>169</v>
      </c>
      <c r="B70" s="524" t="s">
        <v>170</v>
      </c>
      <c r="C70" s="523">
        <v>0</v>
      </c>
      <c r="D70" s="458">
        <v>0</v>
      </c>
      <c r="E70" s="354">
        <f>'AAL FY23-FY27 Budget'!D50</f>
        <v>10000</v>
      </c>
      <c r="F70" s="355">
        <f>'AAL FY23-FY27 Budget'!E50</f>
        <v>10000</v>
      </c>
      <c r="G70" s="362">
        <f>'C2 FY23-FY27 Budget'!D52</f>
        <v>2000</v>
      </c>
      <c r="H70" s="363">
        <f>'C2 FY23-FY27 Budget'!E52</f>
        <v>2000</v>
      </c>
      <c r="I70" s="374">
        <f>'C3 FY23-FY27 Budget '!D52</f>
        <v>2600</v>
      </c>
      <c r="J70" s="375">
        <f>'C3 FY23-FY27 Budget '!E52</f>
        <v>2600</v>
      </c>
      <c r="K70" s="386">
        <f>'SHES FY23-FY27 Budget '!D77</f>
        <v>0</v>
      </c>
      <c r="L70" s="387">
        <f>'SHES FY23-FY27 Budget '!E77</f>
        <v>0</v>
      </c>
      <c r="M70" s="398">
        <f>'Ector FY23-FY27 Budget '!D77</f>
        <v>15000</v>
      </c>
      <c r="N70" s="399">
        <f>'Ector FY23-FY27 Budget '!E77</f>
        <v>15000</v>
      </c>
      <c r="O70" s="409">
        <f>'Mendez FY23-FY27 Budget'!D81</f>
        <v>10000</v>
      </c>
      <c r="P70" s="410">
        <f>'Mendez FY23-FY27 Budget'!E81</f>
        <v>10000</v>
      </c>
    </row>
    <row r="71" spans="1:16" x14ac:dyDescent="0.35">
      <c r="A71" s="444"/>
      <c r="B71" s="524" t="s">
        <v>494</v>
      </c>
      <c r="C71" s="523">
        <v>0</v>
      </c>
      <c r="D71" s="458">
        <v>0</v>
      </c>
      <c r="E71" s="354">
        <v>0</v>
      </c>
      <c r="F71" s="355">
        <v>0</v>
      </c>
      <c r="G71" s="362">
        <v>0</v>
      </c>
      <c r="H71" s="363">
        <v>0</v>
      </c>
      <c r="I71" s="374">
        <v>0</v>
      </c>
      <c r="J71" s="375">
        <v>0</v>
      </c>
      <c r="K71" s="386">
        <f>'SHES FY23-FY27 Budget '!D75</f>
        <v>2000</v>
      </c>
      <c r="L71" s="387">
        <f>'SHES FY23-FY27 Budget '!E75</f>
        <v>2000</v>
      </c>
      <c r="M71" s="398">
        <f>'Ector FY23-FY27 Budget '!D75</f>
        <v>10000</v>
      </c>
      <c r="N71" s="399">
        <f>'Ector FY23-FY27 Budget '!E75</f>
        <v>10000</v>
      </c>
      <c r="O71" s="409">
        <f>'Mendez FY23-FY27 Budget'!D79</f>
        <v>0</v>
      </c>
      <c r="P71" s="410">
        <f>'Mendez FY23-FY27 Budget'!E79</f>
        <v>0</v>
      </c>
    </row>
    <row r="72" spans="1:16" s="318" customFormat="1" x14ac:dyDescent="0.35">
      <c r="A72" s="446" t="s">
        <v>169</v>
      </c>
      <c r="B72" s="525" t="s">
        <v>171</v>
      </c>
      <c r="C72" s="523">
        <v>0</v>
      </c>
      <c r="D72" s="458">
        <v>0</v>
      </c>
      <c r="E72" s="354">
        <f>'AAL FY23-FY27 Budget'!D51</f>
        <v>5000</v>
      </c>
      <c r="F72" s="355">
        <f>'AAL FY23-FY27 Budget'!E51</f>
        <v>5000</v>
      </c>
      <c r="G72" s="362">
        <f>'C2 FY23-FY27 Budget'!D53</f>
        <v>0</v>
      </c>
      <c r="H72" s="363">
        <f>'C2 FY23-FY27 Budget'!E53</f>
        <v>0</v>
      </c>
      <c r="I72" s="374">
        <f>'C3 FY23-FY27 Budget '!D53</f>
        <v>0</v>
      </c>
      <c r="J72" s="375">
        <f>'C3 FY23-FY27 Budget '!E53</f>
        <v>0</v>
      </c>
      <c r="K72" s="386">
        <v>0</v>
      </c>
      <c r="L72" s="387">
        <v>0</v>
      </c>
      <c r="M72" s="398">
        <v>0</v>
      </c>
      <c r="N72" s="399">
        <v>0</v>
      </c>
      <c r="O72" s="409">
        <v>0</v>
      </c>
      <c r="P72" s="410">
        <v>0</v>
      </c>
    </row>
    <row r="73" spans="1:16" x14ac:dyDescent="0.35">
      <c r="A73" s="444"/>
      <c r="B73" s="524" t="s">
        <v>314</v>
      </c>
      <c r="C73" s="523">
        <f>'Network FY23-FY27  Budget'!D27</f>
        <v>4000</v>
      </c>
      <c r="D73" s="458">
        <f>'Network FY23-FY27  Budget'!E27</f>
        <v>4000</v>
      </c>
      <c r="E73" s="354">
        <v>0</v>
      </c>
      <c r="F73" s="355">
        <v>0</v>
      </c>
      <c r="G73" s="362">
        <v>0</v>
      </c>
      <c r="H73" s="363">
        <v>0</v>
      </c>
      <c r="I73" s="374">
        <v>0</v>
      </c>
      <c r="J73" s="375">
        <v>0</v>
      </c>
      <c r="K73" s="386">
        <v>0</v>
      </c>
      <c r="L73" s="387">
        <v>0</v>
      </c>
      <c r="M73" s="398">
        <v>0</v>
      </c>
      <c r="N73" s="399">
        <v>0</v>
      </c>
      <c r="O73" s="409">
        <v>0</v>
      </c>
      <c r="P73" s="410">
        <v>0</v>
      </c>
    </row>
    <row r="74" spans="1:16" x14ac:dyDescent="0.35">
      <c r="A74" s="444" t="s">
        <v>169</v>
      </c>
      <c r="B74" s="524" t="s">
        <v>195</v>
      </c>
      <c r="C74" s="523">
        <v>0</v>
      </c>
      <c r="D74" s="458">
        <v>0</v>
      </c>
      <c r="E74" s="354">
        <f>'AAL FY23-FY27 Budget'!D73</f>
        <v>6500</v>
      </c>
      <c r="F74" s="355">
        <f>'AAL FY23-FY27 Budget'!E73</f>
        <v>6500</v>
      </c>
      <c r="G74" s="362">
        <f>'C2 FY23-FY27 Budget'!D75</f>
        <v>10000</v>
      </c>
      <c r="H74" s="363">
        <f>'C2 FY23-FY27 Budget'!E75</f>
        <v>10000</v>
      </c>
      <c r="I74" s="374">
        <f>'C3 FY23-FY27 Budget '!D75</f>
        <v>6800</v>
      </c>
      <c r="J74" s="375">
        <f>'C3 FY23-FY27 Budget '!E75</f>
        <v>6800</v>
      </c>
      <c r="K74" s="386">
        <v>0</v>
      </c>
      <c r="L74" s="387">
        <v>0</v>
      </c>
      <c r="M74" s="398">
        <v>0</v>
      </c>
      <c r="N74" s="399">
        <v>0</v>
      </c>
      <c r="O74" s="409">
        <v>0</v>
      </c>
      <c r="P74" s="410">
        <v>0</v>
      </c>
    </row>
    <row r="75" spans="1:16" x14ac:dyDescent="0.35">
      <c r="A75" s="444" t="s">
        <v>169</v>
      </c>
      <c r="B75" s="524" t="s">
        <v>495</v>
      </c>
      <c r="C75" s="523">
        <v>0</v>
      </c>
      <c r="D75" s="458">
        <v>0</v>
      </c>
      <c r="E75" s="354">
        <f>'AAL FY23-FY27 Budget'!D74</f>
        <v>514788</v>
      </c>
      <c r="F75" s="355">
        <f>'AAL FY23-FY27 Budget'!E74</f>
        <v>515916</v>
      </c>
      <c r="G75" s="362">
        <f>'C2 FY23-FY27 Budget'!D76</f>
        <v>0</v>
      </c>
      <c r="H75" s="363">
        <f>'C2 FY23-FY27 Budget'!E76</f>
        <v>0</v>
      </c>
      <c r="I75" s="374">
        <f>'C3 FY23-FY27 Budget '!D76</f>
        <v>0</v>
      </c>
      <c r="J75" s="375">
        <f>'C3 FY23-FY27 Budget '!E76</f>
        <v>0</v>
      </c>
      <c r="K75" s="386">
        <v>0</v>
      </c>
      <c r="L75" s="387">
        <v>0</v>
      </c>
      <c r="M75" s="398">
        <v>0</v>
      </c>
      <c r="N75" s="399">
        <v>0</v>
      </c>
      <c r="O75" s="409">
        <v>0</v>
      </c>
      <c r="P75" s="410">
        <v>0</v>
      </c>
    </row>
    <row r="76" spans="1:16" x14ac:dyDescent="0.35">
      <c r="A76" s="444"/>
      <c r="B76" s="526" t="s">
        <v>197</v>
      </c>
      <c r="C76" s="523">
        <v>0</v>
      </c>
      <c r="D76" s="458">
        <v>0</v>
      </c>
      <c r="E76" s="354">
        <v>0</v>
      </c>
      <c r="F76" s="355">
        <v>0</v>
      </c>
      <c r="G76" s="362">
        <f>'C2 FY23-FY27 Budget'!D77</f>
        <v>0</v>
      </c>
      <c r="H76" s="363">
        <f>'C2 FY23-FY27 Budget'!E77</f>
        <v>0</v>
      </c>
      <c r="I76" s="374">
        <f>'C3 FY23-FY27 Budget '!D77</f>
        <v>0</v>
      </c>
      <c r="J76" s="375">
        <f>'C3 FY23-FY27 Budget '!E77</f>
        <v>0</v>
      </c>
      <c r="K76" s="386">
        <v>0</v>
      </c>
      <c r="L76" s="387">
        <v>0</v>
      </c>
      <c r="M76" s="398">
        <v>0</v>
      </c>
      <c r="N76" s="399">
        <v>0</v>
      </c>
      <c r="O76" s="409">
        <v>0</v>
      </c>
      <c r="P76" s="410">
        <v>0</v>
      </c>
    </row>
    <row r="77" spans="1:16" ht="15" thickBot="1" x14ac:dyDescent="0.4">
      <c r="A77" s="445" t="s">
        <v>169</v>
      </c>
      <c r="B77" s="524" t="s">
        <v>198</v>
      </c>
      <c r="C77" s="523">
        <v>0</v>
      </c>
      <c r="D77" s="458">
        <v>0</v>
      </c>
      <c r="E77" s="354">
        <f>'AAL FY23-FY27 Budget'!D75</f>
        <v>0</v>
      </c>
      <c r="F77" s="355">
        <f>'AAL FY23-FY27 Budget'!E75</f>
        <v>0</v>
      </c>
      <c r="G77" s="362">
        <f>'C2 FY23-FY27 Budget'!D78</f>
        <v>20000</v>
      </c>
      <c r="H77" s="363">
        <f>'C2 FY23-FY27 Budget'!E78</f>
        <v>20046.310000000001</v>
      </c>
      <c r="I77" s="374">
        <f>'C3 FY23-FY27 Budget '!D78</f>
        <v>30000</v>
      </c>
      <c r="J77" s="375">
        <f>'C3 FY23-FY27 Budget '!E78</f>
        <v>37604</v>
      </c>
      <c r="K77" s="386">
        <v>0</v>
      </c>
      <c r="L77" s="387">
        <v>0</v>
      </c>
      <c r="M77" s="398">
        <v>0</v>
      </c>
      <c r="N77" s="399">
        <v>0</v>
      </c>
      <c r="O77" s="409">
        <v>0</v>
      </c>
      <c r="P77" s="410">
        <v>0</v>
      </c>
    </row>
    <row r="78" spans="1:16" x14ac:dyDescent="0.35">
      <c r="A78" s="444"/>
      <c r="B78" s="331" t="s">
        <v>316</v>
      </c>
      <c r="C78" s="344">
        <f>'Network FY23-FY27  Budget'!D28</f>
        <v>100000</v>
      </c>
      <c r="D78" s="458">
        <f>'Network FY23-FY27  Budget'!E28</f>
        <v>100000</v>
      </c>
      <c r="E78" s="354">
        <v>0</v>
      </c>
      <c r="F78" s="355">
        <v>0</v>
      </c>
      <c r="G78" s="362">
        <v>0</v>
      </c>
      <c r="H78" s="363">
        <v>0</v>
      </c>
      <c r="I78" s="374">
        <v>0</v>
      </c>
      <c r="J78" s="375">
        <v>0</v>
      </c>
      <c r="K78" s="386">
        <v>0</v>
      </c>
      <c r="L78" s="387">
        <v>0</v>
      </c>
      <c r="M78" s="398">
        <v>0</v>
      </c>
      <c r="N78" s="399">
        <v>0</v>
      </c>
      <c r="O78" s="409">
        <v>0</v>
      </c>
      <c r="P78" s="410">
        <v>0</v>
      </c>
    </row>
    <row r="79" spans="1:16" x14ac:dyDescent="0.35">
      <c r="A79" s="444"/>
      <c r="B79" s="329" t="s">
        <v>317</v>
      </c>
      <c r="C79" s="344">
        <f>'Network FY23-FY27  Budget'!D29</f>
        <v>200000</v>
      </c>
      <c r="D79" s="458">
        <f>'Network FY23-FY27  Budget'!E29</f>
        <v>200000</v>
      </c>
      <c r="E79" s="354">
        <v>0</v>
      </c>
      <c r="F79" s="355">
        <v>0</v>
      </c>
      <c r="G79" s="362">
        <v>0</v>
      </c>
      <c r="H79" s="363">
        <v>0</v>
      </c>
      <c r="I79" s="374">
        <v>0</v>
      </c>
      <c r="J79" s="375">
        <v>0</v>
      </c>
      <c r="K79" s="386">
        <v>0</v>
      </c>
      <c r="L79" s="387">
        <v>0</v>
      </c>
      <c r="M79" s="398">
        <v>0</v>
      </c>
      <c r="N79" s="399">
        <v>0</v>
      </c>
      <c r="O79" s="409">
        <v>0</v>
      </c>
      <c r="P79" s="410">
        <v>0</v>
      </c>
    </row>
    <row r="80" spans="1:16" x14ac:dyDescent="0.35">
      <c r="A80" s="444"/>
      <c r="B80" s="328" t="s">
        <v>404</v>
      </c>
      <c r="C80" s="344">
        <f>'Network FY23-FY27  Budget'!D31</f>
        <v>100000</v>
      </c>
      <c r="D80" s="458">
        <f>'Network FY23-FY27  Budget'!E31</f>
        <v>100000</v>
      </c>
      <c r="E80" s="354">
        <v>0</v>
      </c>
      <c r="F80" s="355">
        <v>0</v>
      </c>
      <c r="G80" s="362">
        <v>0</v>
      </c>
      <c r="H80" s="363">
        <v>0</v>
      </c>
      <c r="I80" s="374">
        <v>0</v>
      </c>
      <c r="J80" s="375">
        <v>0</v>
      </c>
      <c r="K80" s="386">
        <v>0</v>
      </c>
      <c r="L80" s="387">
        <v>0</v>
      </c>
      <c r="M80" s="398">
        <v>0</v>
      </c>
      <c r="N80" s="399">
        <v>0</v>
      </c>
      <c r="O80" s="409">
        <v>0</v>
      </c>
      <c r="P80" s="410">
        <v>0</v>
      </c>
    </row>
    <row r="81" spans="1:16" x14ac:dyDescent="0.35">
      <c r="A81" s="444"/>
      <c r="B81" s="328" t="s">
        <v>496</v>
      </c>
      <c r="C81" s="344">
        <f>'Network FY23-FY27  Budget'!D32</f>
        <v>100000</v>
      </c>
      <c r="D81" s="458">
        <f>'Network FY23-FY27  Budget'!E32</f>
        <v>100000</v>
      </c>
      <c r="E81" s="354">
        <v>0</v>
      </c>
      <c r="F81" s="355">
        <v>0</v>
      </c>
      <c r="G81" s="362">
        <v>0</v>
      </c>
      <c r="H81" s="363">
        <v>0</v>
      </c>
      <c r="I81" s="374">
        <v>0</v>
      </c>
      <c r="J81" s="375">
        <v>0</v>
      </c>
      <c r="K81" s="386">
        <v>0</v>
      </c>
      <c r="L81" s="387">
        <v>0</v>
      </c>
      <c r="M81" s="398">
        <v>0</v>
      </c>
      <c r="N81" s="399">
        <v>0</v>
      </c>
      <c r="O81" s="409">
        <v>0</v>
      </c>
      <c r="P81" s="410">
        <v>0</v>
      </c>
    </row>
    <row r="82" spans="1:16" x14ac:dyDescent="0.35">
      <c r="A82" s="444"/>
      <c r="B82" s="328" t="s">
        <v>497</v>
      </c>
      <c r="C82" s="344">
        <v>0</v>
      </c>
      <c r="D82" s="458">
        <v>0</v>
      </c>
      <c r="E82" s="354">
        <v>0</v>
      </c>
      <c r="F82" s="355">
        <v>0</v>
      </c>
      <c r="G82" s="362">
        <v>0</v>
      </c>
      <c r="H82" s="363">
        <v>0</v>
      </c>
      <c r="I82" s="374">
        <v>0</v>
      </c>
      <c r="J82" s="375">
        <v>0</v>
      </c>
      <c r="K82" s="386">
        <f>'SHES FY23-FY27 Budget '!D50</f>
        <v>0</v>
      </c>
      <c r="L82" s="387">
        <f>'SHES FY23-FY27 Budget '!E50</f>
        <v>20000</v>
      </c>
      <c r="M82" s="398">
        <f>'Ector FY23-FY27 Budget '!D50</f>
        <v>50000</v>
      </c>
      <c r="N82" s="399">
        <f>'Ector FY23-FY27 Budget '!E50</f>
        <v>80000</v>
      </c>
      <c r="O82" s="409">
        <f>'Mendez FY23-FY27 Budget'!D54</f>
        <v>100000</v>
      </c>
      <c r="P82" s="410">
        <f>'Mendez FY23-FY27 Budget'!E54</f>
        <v>100000</v>
      </c>
    </row>
    <row r="83" spans="1:16" x14ac:dyDescent="0.35">
      <c r="A83" s="444" t="s">
        <v>172</v>
      </c>
      <c r="B83" s="328" t="s">
        <v>173</v>
      </c>
      <c r="C83" s="344">
        <v>0</v>
      </c>
      <c r="D83" s="458">
        <v>0</v>
      </c>
      <c r="E83" s="354">
        <f>'AAL FY23-FY27 Budget'!D52</f>
        <v>0</v>
      </c>
      <c r="F83" s="355">
        <f>'AAL FY23-FY27 Budget'!E52</f>
        <v>40000</v>
      </c>
      <c r="G83" s="362">
        <f>'C2 FY23-FY27 Budget'!D54</f>
        <v>0</v>
      </c>
      <c r="H83" s="363">
        <f>'C2 FY23-FY27 Budget'!E54</f>
        <v>12000</v>
      </c>
      <c r="I83" s="374">
        <f>'C3 FY23-FY27 Budget '!D54</f>
        <v>94006</v>
      </c>
      <c r="J83" s="375">
        <f>'C3 FY23-FY27 Budget '!E54</f>
        <v>94006</v>
      </c>
      <c r="K83" s="386">
        <v>0</v>
      </c>
      <c r="L83" s="387">
        <v>0</v>
      </c>
      <c r="M83" s="398">
        <v>0</v>
      </c>
      <c r="N83" s="399">
        <v>0</v>
      </c>
      <c r="O83" s="409">
        <v>0</v>
      </c>
      <c r="P83" s="410">
        <v>0</v>
      </c>
    </row>
    <row r="84" spans="1:16" x14ac:dyDescent="0.35">
      <c r="A84" s="444" t="s">
        <v>172</v>
      </c>
      <c r="B84" s="328" t="s">
        <v>174</v>
      </c>
      <c r="C84" s="344">
        <v>0</v>
      </c>
      <c r="D84" s="458">
        <v>0</v>
      </c>
      <c r="E84" s="354">
        <f>'AAL FY23-FY27 Budget'!D53</f>
        <v>0</v>
      </c>
      <c r="F84" s="355">
        <f>'AAL FY23-FY27 Budget'!E53</f>
        <v>0</v>
      </c>
      <c r="G84" s="362">
        <f>'C2 FY23-FY27 Budget'!D55</f>
        <v>0</v>
      </c>
      <c r="H84" s="363">
        <f>'C2 FY23-FY27 Budget'!E55</f>
        <v>0</v>
      </c>
      <c r="I84" s="374">
        <f>'C3 FY23-FY27 Budget '!D55</f>
        <v>0</v>
      </c>
      <c r="J84" s="375">
        <f>'C3 FY23-FY27 Budget '!E55</f>
        <v>0</v>
      </c>
      <c r="K84" s="386">
        <v>0</v>
      </c>
      <c r="L84" s="387">
        <v>0</v>
      </c>
      <c r="M84" s="398">
        <v>0</v>
      </c>
      <c r="N84" s="399">
        <v>0</v>
      </c>
      <c r="O84" s="409">
        <v>0</v>
      </c>
      <c r="P84" s="410">
        <v>0</v>
      </c>
    </row>
    <row r="85" spans="1:16" x14ac:dyDescent="0.35">
      <c r="A85" s="444" t="s">
        <v>172</v>
      </c>
      <c r="B85" s="328" t="s">
        <v>175</v>
      </c>
      <c r="C85" s="344">
        <v>0</v>
      </c>
      <c r="D85" s="458">
        <v>0</v>
      </c>
      <c r="E85" s="354">
        <f>'AAL FY23-FY27 Budget'!D54</f>
        <v>30000</v>
      </c>
      <c r="F85" s="355">
        <f>'AAL FY23-FY27 Budget'!E54</f>
        <v>30000</v>
      </c>
      <c r="G85" s="362">
        <f>'C2 FY23-FY27 Budget'!D56</f>
        <v>20000</v>
      </c>
      <c r="H85" s="363">
        <f>'C2 FY23-FY27 Budget'!E56</f>
        <v>20000</v>
      </c>
      <c r="I85" s="374">
        <f>'C3 FY23-FY27 Budget '!D56</f>
        <v>30000</v>
      </c>
      <c r="J85" s="375">
        <f>'C3 FY23-FY27 Budget '!E56</f>
        <v>30000</v>
      </c>
      <c r="K85" s="386">
        <v>0</v>
      </c>
      <c r="L85" s="387">
        <v>0</v>
      </c>
      <c r="M85" s="398">
        <v>0</v>
      </c>
      <c r="N85" s="399">
        <v>0</v>
      </c>
      <c r="O85" s="409">
        <v>0</v>
      </c>
      <c r="P85" s="410">
        <v>0</v>
      </c>
    </row>
    <row r="86" spans="1:16" x14ac:dyDescent="0.35">
      <c r="A86" s="444" t="s">
        <v>172</v>
      </c>
      <c r="B86" s="328" t="s">
        <v>176</v>
      </c>
      <c r="C86" s="344">
        <v>0</v>
      </c>
      <c r="D86" s="458">
        <v>0</v>
      </c>
      <c r="E86" s="354">
        <f>'AAL FY23-FY27 Budget'!D55</f>
        <v>0</v>
      </c>
      <c r="F86" s="355">
        <f>'AAL FY23-FY27 Budget'!E55</f>
        <v>50000</v>
      </c>
      <c r="G86" s="362">
        <f>'C2 FY23-FY27 Budget'!D57</f>
        <v>0</v>
      </c>
      <c r="H86" s="363">
        <f>'C2 FY23-FY27 Budget'!E57</f>
        <v>0</v>
      </c>
      <c r="I86" s="374">
        <f>'C3 FY23-FY27 Budget '!D57</f>
        <v>0</v>
      </c>
      <c r="J86" s="375">
        <f>'C3 FY23-FY27 Budget '!E57</f>
        <v>0</v>
      </c>
      <c r="K86" s="386">
        <v>0</v>
      </c>
      <c r="L86" s="387">
        <v>0</v>
      </c>
      <c r="M86" s="398">
        <v>0</v>
      </c>
      <c r="N86" s="399">
        <v>0</v>
      </c>
      <c r="O86" s="409">
        <v>0</v>
      </c>
      <c r="P86" s="410">
        <v>0</v>
      </c>
    </row>
    <row r="87" spans="1:16" x14ac:dyDescent="0.35">
      <c r="A87" s="444"/>
      <c r="B87" s="332" t="s">
        <v>407</v>
      </c>
      <c r="C87" s="344">
        <f>'Network FY23-FY27  Budget'!D34</f>
        <v>0</v>
      </c>
      <c r="D87" s="458">
        <f>'Network FY23-FY27  Budget'!E34</f>
        <v>200000</v>
      </c>
      <c r="E87" s="354"/>
      <c r="F87" s="355"/>
      <c r="G87" s="362"/>
      <c r="H87" s="363"/>
      <c r="I87" s="374"/>
      <c r="J87" s="375"/>
      <c r="K87" s="386">
        <v>0</v>
      </c>
      <c r="L87" s="387">
        <v>0</v>
      </c>
      <c r="M87" s="398">
        <v>0</v>
      </c>
      <c r="N87" s="399">
        <v>0</v>
      </c>
      <c r="O87" s="409">
        <v>0</v>
      </c>
      <c r="P87" s="410">
        <v>0</v>
      </c>
    </row>
    <row r="88" spans="1:16" x14ac:dyDescent="0.35">
      <c r="A88" s="444" t="s">
        <v>172</v>
      </c>
      <c r="B88" s="329" t="s">
        <v>498</v>
      </c>
      <c r="C88" s="344">
        <v>0</v>
      </c>
      <c r="D88" s="458">
        <v>0</v>
      </c>
      <c r="E88" s="354">
        <f>'AAL FY23-FY27 Budget'!D56</f>
        <v>10000</v>
      </c>
      <c r="F88" s="355">
        <f>'AAL FY23-FY27 Budget'!E56</f>
        <v>10000</v>
      </c>
      <c r="G88" s="362">
        <f>'C2 FY23-FY27 Budget'!D58</f>
        <v>5000</v>
      </c>
      <c r="H88" s="363">
        <f>'C2 FY23-FY27 Budget'!E58</f>
        <v>5000</v>
      </c>
      <c r="I88" s="374">
        <f>'C3 FY23-FY27 Budget '!D58</f>
        <v>10000</v>
      </c>
      <c r="J88" s="375">
        <f>'C3 FY23-FY27 Budget '!E58</f>
        <v>10000</v>
      </c>
      <c r="K88" s="386">
        <f>'SHES FY23-FY27 Budget '!D61</f>
        <v>10000</v>
      </c>
      <c r="L88" s="387">
        <f>'SHES FY23-FY27 Budget '!E61</f>
        <v>10000</v>
      </c>
      <c r="M88" s="398">
        <f>'Ector FY23-FY27 Budget '!D61</f>
        <v>50000</v>
      </c>
      <c r="N88" s="399">
        <f>'Ector FY23-FY27 Budget '!E61</f>
        <v>50000</v>
      </c>
      <c r="O88" s="409">
        <f>'Mendez FY23-FY27 Budget'!D65</f>
        <v>150000</v>
      </c>
      <c r="P88" s="410">
        <f>'Mendez FY23-FY27 Budget'!E65</f>
        <v>150000</v>
      </c>
    </row>
    <row r="89" spans="1:16" x14ac:dyDescent="0.35">
      <c r="A89" s="444" t="s">
        <v>172</v>
      </c>
      <c r="B89" s="329" t="s">
        <v>178</v>
      </c>
      <c r="C89" s="344">
        <v>0</v>
      </c>
      <c r="D89" s="458">
        <v>0</v>
      </c>
      <c r="E89" s="354">
        <f>'AAL FY23-FY27 Budget'!D57</f>
        <v>10000</v>
      </c>
      <c r="F89" s="355">
        <f>'AAL FY23-FY27 Budget'!E57</f>
        <v>10000</v>
      </c>
      <c r="G89" s="362">
        <f>'C2 FY23-FY27 Budget'!D59</f>
        <v>0</v>
      </c>
      <c r="H89" s="363">
        <f>'C2 FY23-FY27 Budget'!E59</f>
        <v>0</v>
      </c>
      <c r="I89" s="374">
        <f>'C3 FY23-FY27 Budget '!D59</f>
        <v>20000</v>
      </c>
      <c r="J89" s="375">
        <f>'C3 FY23-FY27 Budget '!E59</f>
        <v>20000</v>
      </c>
      <c r="K89" s="386">
        <v>0</v>
      </c>
      <c r="L89" s="387">
        <v>0</v>
      </c>
      <c r="M89" s="398">
        <v>0</v>
      </c>
      <c r="N89" s="399">
        <v>0</v>
      </c>
      <c r="O89" s="409">
        <v>0</v>
      </c>
      <c r="P89" s="410">
        <v>0</v>
      </c>
    </row>
    <row r="90" spans="1:16" x14ac:dyDescent="0.35">
      <c r="A90" s="444" t="s">
        <v>172</v>
      </c>
      <c r="B90" s="328" t="s">
        <v>179</v>
      </c>
      <c r="C90" s="344">
        <v>0</v>
      </c>
      <c r="D90" s="458">
        <v>0</v>
      </c>
      <c r="E90" s="354">
        <f>'AAL FY23-FY27 Budget'!D52</f>
        <v>0</v>
      </c>
      <c r="F90" s="355">
        <f>'AAL FY23-FY27 Budget'!E52</f>
        <v>40000</v>
      </c>
      <c r="G90" s="362">
        <f>'C2 FY23-FY27 Budget'!D60</f>
        <v>0</v>
      </c>
      <c r="H90" s="363">
        <f>'C2 FY23-FY27 Budget'!E60</f>
        <v>0</v>
      </c>
      <c r="I90" s="374">
        <f>'C3 FY23-FY27 Budget '!D60</f>
        <v>5000</v>
      </c>
      <c r="J90" s="375">
        <f>'C3 FY23-FY27 Budget '!E60</f>
        <v>5000</v>
      </c>
      <c r="K90" s="386">
        <v>0</v>
      </c>
      <c r="L90" s="387">
        <v>0</v>
      </c>
      <c r="M90" s="398">
        <v>0</v>
      </c>
      <c r="N90" s="399">
        <v>0</v>
      </c>
      <c r="O90" s="409">
        <v>0</v>
      </c>
      <c r="P90" s="410">
        <v>0</v>
      </c>
    </row>
    <row r="91" spans="1:16" ht="15" thickBot="1" x14ac:dyDescent="0.4">
      <c r="A91" s="445" t="s">
        <v>172</v>
      </c>
      <c r="B91" s="330" t="s">
        <v>180</v>
      </c>
      <c r="C91" s="344">
        <v>0</v>
      </c>
      <c r="D91" s="458">
        <v>0</v>
      </c>
      <c r="E91" s="354">
        <f>'AAL FY23-FY27 Budget'!D59</f>
        <v>0</v>
      </c>
      <c r="F91" s="355">
        <f>'AAL FY23-FY27 Budget'!E59</f>
        <v>0</v>
      </c>
      <c r="G91" s="362">
        <f>'C2 FY23-FY27 Budget'!D61</f>
        <v>0</v>
      </c>
      <c r="H91" s="363">
        <f>'C2 FY23-FY27 Budget'!E61</f>
        <v>0</v>
      </c>
      <c r="I91" s="374">
        <f>'C3 FY23-FY27 Budget '!D61</f>
        <v>0</v>
      </c>
      <c r="J91" s="375">
        <f>'C3 FY23-FY27 Budget '!E61</f>
        <v>0</v>
      </c>
      <c r="K91" s="386">
        <v>0</v>
      </c>
      <c r="L91" s="387">
        <v>0</v>
      </c>
      <c r="M91" s="398">
        <v>0</v>
      </c>
      <c r="N91" s="399">
        <v>0</v>
      </c>
      <c r="O91" s="409">
        <v>0</v>
      </c>
      <c r="P91" s="410">
        <v>0</v>
      </c>
    </row>
    <row r="92" spans="1:16" x14ac:dyDescent="0.35">
      <c r="A92" s="440" t="s">
        <v>181</v>
      </c>
      <c r="B92" s="524" t="s">
        <v>182</v>
      </c>
      <c r="C92" s="523">
        <v>0</v>
      </c>
      <c r="D92" s="458">
        <v>0</v>
      </c>
      <c r="E92" s="354">
        <f>'AAL FY23-FY27 Budget'!D60</f>
        <v>0</v>
      </c>
      <c r="F92" s="355">
        <f>'AAL FY23-FY27 Budget'!E60</f>
        <v>0</v>
      </c>
      <c r="G92" s="362">
        <f>'C2 FY23-FY27 Budget'!D62</f>
        <v>0</v>
      </c>
      <c r="H92" s="363">
        <f>'C2 FY23-FY27 Budget'!E62</f>
        <v>0</v>
      </c>
      <c r="I92" s="374">
        <f>'C3 FY23-FY27 Budget '!D62</f>
        <v>5000</v>
      </c>
      <c r="J92" s="375">
        <f>'C3 FY23-FY27 Budget '!E62</f>
        <v>5000</v>
      </c>
      <c r="K92" s="386">
        <v>0</v>
      </c>
      <c r="L92" s="387">
        <v>0</v>
      </c>
      <c r="M92" s="398">
        <v>0</v>
      </c>
      <c r="N92" s="399">
        <v>0</v>
      </c>
      <c r="O92" s="409">
        <v>0</v>
      </c>
      <c r="P92" s="410">
        <v>0</v>
      </c>
    </row>
    <row r="93" spans="1:16" x14ac:dyDescent="0.35">
      <c r="A93" s="441" t="s">
        <v>181</v>
      </c>
      <c r="B93" s="524" t="s">
        <v>183</v>
      </c>
      <c r="C93" s="523">
        <v>0</v>
      </c>
      <c r="D93" s="458">
        <v>0</v>
      </c>
      <c r="E93" s="354">
        <f>'AAL FY23-FY27 Budget'!D61</f>
        <v>40000</v>
      </c>
      <c r="F93" s="355">
        <f>'AAL FY23-FY27 Budget'!E61</f>
        <v>40000</v>
      </c>
      <c r="G93" s="362">
        <f>'C2 FY23-FY27 Budget'!D63</f>
        <v>15000</v>
      </c>
      <c r="H93" s="363">
        <f>'C2 FY23-FY27 Budget'!E63</f>
        <v>15000</v>
      </c>
      <c r="I93" s="374">
        <f>'C3 FY23-FY27 Budget '!D63</f>
        <v>30000</v>
      </c>
      <c r="J93" s="375">
        <f>'C3 FY23-FY27 Budget '!E63</f>
        <v>30000</v>
      </c>
      <c r="K93" s="386">
        <v>0</v>
      </c>
      <c r="L93" s="387">
        <v>0</v>
      </c>
      <c r="M93" s="398">
        <v>0</v>
      </c>
      <c r="N93" s="399">
        <v>0</v>
      </c>
      <c r="O93" s="409">
        <v>0</v>
      </c>
      <c r="P93" s="410">
        <v>0</v>
      </c>
    </row>
    <row r="94" spans="1:16" x14ac:dyDescent="0.35">
      <c r="A94" s="441" t="s">
        <v>181</v>
      </c>
      <c r="B94" s="524" t="s">
        <v>184</v>
      </c>
      <c r="C94" s="523">
        <v>0</v>
      </c>
      <c r="D94" s="458">
        <v>0</v>
      </c>
      <c r="E94" s="354">
        <f>'AAL FY23-FY27 Budget'!D62</f>
        <v>40000</v>
      </c>
      <c r="F94" s="355">
        <f>'AAL FY23-FY27 Budget'!E62</f>
        <v>40000</v>
      </c>
      <c r="G94" s="362">
        <f>'C2 FY23-FY27 Budget'!D64</f>
        <v>0</v>
      </c>
      <c r="H94" s="363">
        <f>'C2 FY23-FY27 Budget'!E64</f>
        <v>0</v>
      </c>
      <c r="I94" s="374">
        <f>'C3 FY23-FY27 Budget '!D64</f>
        <v>20000</v>
      </c>
      <c r="J94" s="375">
        <f>'C3 FY23-FY27 Budget '!E64</f>
        <v>20000</v>
      </c>
      <c r="K94" s="386">
        <v>0</v>
      </c>
      <c r="L94" s="387">
        <v>0</v>
      </c>
      <c r="M94" s="398">
        <v>0</v>
      </c>
      <c r="N94" s="399">
        <v>0</v>
      </c>
      <c r="O94" s="409">
        <v>0</v>
      </c>
      <c r="P94" s="410">
        <v>0</v>
      </c>
    </row>
    <row r="95" spans="1:16" x14ac:dyDescent="0.35">
      <c r="A95" s="441" t="s">
        <v>181</v>
      </c>
      <c r="B95" s="524" t="s">
        <v>185</v>
      </c>
      <c r="C95" s="523">
        <v>0</v>
      </c>
      <c r="D95" s="458">
        <v>0</v>
      </c>
      <c r="E95" s="354">
        <f>'AAL FY23-FY27 Budget'!D63</f>
        <v>80000</v>
      </c>
      <c r="F95" s="355">
        <f>'AAL FY23-FY27 Budget'!E63</f>
        <v>80000</v>
      </c>
      <c r="G95" s="362">
        <f>'C2 FY23-FY27 Budget'!D65</f>
        <v>30000</v>
      </c>
      <c r="H95" s="363">
        <f>'C2 FY23-FY27 Budget'!E65</f>
        <v>30000</v>
      </c>
      <c r="I95" s="374">
        <f>'C3 FY23-FY27 Budget '!D65</f>
        <v>50000</v>
      </c>
      <c r="J95" s="375">
        <f>'C3 FY23-FY27 Budget '!E65</f>
        <v>50000</v>
      </c>
      <c r="K95" s="386">
        <v>0</v>
      </c>
      <c r="L95" s="387">
        <v>0</v>
      </c>
      <c r="M95" s="398">
        <v>0</v>
      </c>
      <c r="N95" s="399">
        <v>0</v>
      </c>
      <c r="O95" s="409">
        <v>0</v>
      </c>
      <c r="P95" s="410">
        <v>0</v>
      </c>
    </row>
    <row r="96" spans="1:16" x14ac:dyDescent="0.35">
      <c r="A96" s="441" t="s">
        <v>181</v>
      </c>
      <c r="B96" s="524" t="s">
        <v>186</v>
      </c>
      <c r="C96" s="523">
        <v>0</v>
      </c>
      <c r="D96" s="458">
        <v>0</v>
      </c>
      <c r="E96" s="354">
        <f>'AAL FY23-FY27 Budget'!D64</f>
        <v>22000</v>
      </c>
      <c r="F96" s="355">
        <f>'AAL FY23-FY27 Budget'!E64</f>
        <v>22000</v>
      </c>
      <c r="G96" s="362">
        <f>'C2 FY23-FY27 Budget'!D66</f>
        <v>5000</v>
      </c>
      <c r="H96" s="363">
        <f>'C2 FY23-FY27 Budget'!E66</f>
        <v>5000</v>
      </c>
      <c r="I96" s="374">
        <f>'C3 FY23-FY27 Budget '!D66</f>
        <v>5000</v>
      </c>
      <c r="J96" s="375">
        <f>'C3 FY23-FY27 Budget '!E66</f>
        <v>5000</v>
      </c>
      <c r="K96" s="386">
        <v>0</v>
      </c>
      <c r="L96" s="387">
        <v>0</v>
      </c>
      <c r="M96" s="398">
        <v>0</v>
      </c>
      <c r="N96" s="399">
        <v>0</v>
      </c>
      <c r="O96" s="409">
        <v>0</v>
      </c>
      <c r="P96" s="410">
        <v>0</v>
      </c>
    </row>
    <row r="97" spans="1:16" x14ac:dyDescent="0.35">
      <c r="A97" s="441" t="s">
        <v>181</v>
      </c>
      <c r="B97" s="524" t="s">
        <v>187</v>
      </c>
      <c r="C97" s="523">
        <v>0</v>
      </c>
      <c r="D97" s="458">
        <v>0</v>
      </c>
      <c r="E97" s="354">
        <f>'AAL FY23-FY27 Budget'!D65</f>
        <v>5000</v>
      </c>
      <c r="F97" s="355">
        <f>'AAL FY23-FY27 Budget'!E65</f>
        <v>5000</v>
      </c>
      <c r="G97" s="362">
        <f>'C2 FY23-FY27 Budget'!D67</f>
        <v>3000</v>
      </c>
      <c r="H97" s="363">
        <f>'C2 FY23-FY27 Budget'!E67</f>
        <v>3000</v>
      </c>
      <c r="I97" s="374">
        <f>'C3 FY23-FY27 Budget '!D67</f>
        <v>2000</v>
      </c>
      <c r="J97" s="375">
        <f>'C3 FY23-FY27 Budget '!E67</f>
        <v>2000</v>
      </c>
      <c r="K97" s="386">
        <v>0</v>
      </c>
      <c r="L97" s="387">
        <v>0</v>
      </c>
      <c r="M97" s="398">
        <v>0</v>
      </c>
      <c r="N97" s="399">
        <v>0</v>
      </c>
      <c r="O97" s="409">
        <v>0</v>
      </c>
      <c r="P97" s="410">
        <v>0</v>
      </c>
    </row>
    <row r="98" spans="1:16" x14ac:dyDescent="0.35">
      <c r="A98" s="441" t="s">
        <v>181</v>
      </c>
      <c r="B98" s="524" t="s">
        <v>188</v>
      </c>
      <c r="C98" s="523">
        <v>0</v>
      </c>
      <c r="D98" s="458">
        <v>0</v>
      </c>
      <c r="E98" s="354">
        <f>'AAL FY23-FY27 Budget'!D66</f>
        <v>0</v>
      </c>
      <c r="F98" s="355">
        <f>'AAL FY23-FY27 Budget'!E66</f>
        <v>0</v>
      </c>
      <c r="G98" s="362">
        <f>'C2 FY23-FY27 Budget'!D68</f>
        <v>5000</v>
      </c>
      <c r="H98" s="363">
        <f>'C2 FY23-FY27 Budget'!E68</f>
        <v>5000</v>
      </c>
      <c r="I98" s="374">
        <f>'C3 FY23-FY27 Budget '!D68</f>
        <v>5000</v>
      </c>
      <c r="J98" s="375">
        <f>'C3 FY23-FY27 Budget '!E68</f>
        <v>5000</v>
      </c>
      <c r="K98" s="386">
        <v>0</v>
      </c>
      <c r="L98" s="387">
        <v>0</v>
      </c>
      <c r="M98" s="398">
        <v>0</v>
      </c>
      <c r="N98" s="399">
        <v>0</v>
      </c>
      <c r="O98" s="409">
        <v>0</v>
      </c>
      <c r="P98" s="410">
        <v>0</v>
      </c>
    </row>
    <row r="99" spans="1:16" x14ac:dyDescent="0.35">
      <c r="A99" s="441" t="s">
        <v>181</v>
      </c>
      <c r="B99" s="524" t="s">
        <v>322</v>
      </c>
      <c r="C99" s="523">
        <f>'Network FY23-FY27  Budget'!D33</f>
        <v>50000</v>
      </c>
      <c r="D99" s="458">
        <f>'Network FY23-FY27  Budget'!E33</f>
        <v>50000</v>
      </c>
      <c r="E99" s="354">
        <v>0</v>
      </c>
      <c r="F99" s="355">
        <v>0</v>
      </c>
      <c r="G99" s="362">
        <v>0</v>
      </c>
      <c r="H99" s="363">
        <v>0</v>
      </c>
      <c r="I99" s="374">
        <v>0</v>
      </c>
      <c r="J99" s="375">
        <v>0</v>
      </c>
      <c r="K99" s="386">
        <v>0</v>
      </c>
      <c r="L99" s="387">
        <v>0</v>
      </c>
      <c r="M99" s="398">
        <v>0</v>
      </c>
      <c r="N99" s="399">
        <v>0</v>
      </c>
      <c r="O99" s="409">
        <v>0</v>
      </c>
      <c r="P99" s="410">
        <v>0</v>
      </c>
    </row>
    <row r="100" spans="1:16" x14ac:dyDescent="0.35">
      <c r="A100" s="441" t="s">
        <v>181</v>
      </c>
      <c r="B100" s="526" t="s">
        <v>417</v>
      </c>
      <c r="C100" s="523">
        <f>'Network FY23-FY27  Budget'!D35</f>
        <v>10000</v>
      </c>
      <c r="D100" s="458">
        <f>'Network FY23-FY27  Budget'!E35</f>
        <v>10000</v>
      </c>
      <c r="E100" s="354">
        <v>0</v>
      </c>
      <c r="F100" s="355">
        <v>0</v>
      </c>
      <c r="G100" s="362">
        <v>0</v>
      </c>
      <c r="H100" s="363">
        <v>0</v>
      </c>
      <c r="I100" s="374">
        <v>0</v>
      </c>
      <c r="J100" s="375">
        <v>0</v>
      </c>
      <c r="K100" s="386">
        <v>0</v>
      </c>
      <c r="L100" s="387">
        <v>0</v>
      </c>
      <c r="M100" s="398">
        <v>0</v>
      </c>
      <c r="N100" s="399">
        <v>0</v>
      </c>
      <c r="O100" s="409">
        <v>0</v>
      </c>
      <c r="P100" s="410">
        <v>0</v>
      </c>
    </row>
    <row r="101" spans="1:16" x14ac:dyDescent="0.35">
      <c r="A101" s="441" t="s">
        <v>181</v>
      </c>
      <c r="B101" s="524" t="s">
        <v>189</v>
      </c>
      <c r="C101" s="523">
        <v>0</v>
      </c>
      <c r="D101" s="458">
        <v>0</v>
      </c>
      <c r="E101" s="354">
        <f>'AAL FY23-FY27 Budget'!D67</f>
        <v>40000</v>
      </c>
      <c r="F101" s="355">
        <f>'AAL FY23-FY27 Budget'!E67</f>
        <v>40000</v>
      </c>
      <c r="G101" s="362">
        <f>'C2 FY23-FY27 Budget'!D69</f>
        <v>8000</v>
      </c>
      <c r="H101" s="363">
        <f>'C2 FY23-FY27 Budget'!E69</f>
        <v>8000</v>
      </c>
      <c r="I101" s="374">
        <f>'C3 FY23-FY27 Budget '!D69</f>
        <v>40000</v>
      </c>
      <c r="J101" s="375">
        <f>'C3 FY23-FY27 Budget '!E69</f>
        <v>40000</v>
      </c>
      <c r="K101" s="386">
        <v>0</v>
      </c>
      <c r="L101" s="387">
        <v>0</v>
      </c>
      <c r="M101" s="398">
        <v>0</v>
      </c>
      <c r="N101" s="399">
        <v>0</v>
      </c>
      <c r="O101" s="409">
        <v>0</v>
      </c>
      <c r="P101" s="410">
        <v>0</v>
      </c>
    </row>
    <row r="102" spans="1:16" x14ac:dyDescent="0.35">
      <c r="A102" s="441" t="s">
        <v>181</v>
      </c>
      <c r="B102" s="524" t="s">
        <v>190</v>
      </c>
      <c r="C102" s="523">
        <v>0</v>
      </c>
      <c r="D102" s="458">
        <v>0</v>
      </c>
      <c r="E102" s="354">
        <f>'AAL FY23-FY27 Budget'!D68</f>
        <v>40000</v>
      </c>
      <c r="F102" s="355">
        <f>'AAL FY23-FY27 Budget'!E68</f>
        <v>40000</v>
      </c>
      <c r="G102" s="362">
        <f>'C2 FY23-FY27 Budget'!D70</f>
        <v>8000</v>
      </c>
      <c r="H102" s="363">
        <f>'C2 FY23-FY27 Budget'!E70</f>
        <v>8000</v>
      </c>
      <c r="I102" s="374">
        <f>'C3 FY23-FY27 Budget '!D70</f>
        <v>0</v>
      </c>
      <c r="J102" s="375">
        <f>'C3 FY23-FY27 Budget '!E70</f>
        <v>0</v>
      </c>
      <c r="K102" s="386">
        <f>'SHES FY23-FY27 Budget '!D72</f>
        <v>10000</v>
      </c>
      <c r="L102" s="387">
        <f>'SHES FY23-FY27 Budget '!E72</f>
        <v>10000</v>
      </c>
      <c r="M102" s="398">
        <f>'Ector FY23-FY27 Budget '!D72</f>
        <v>56000</v>
      </c>
      <c r="N102" s="399">
        <f>'Ector FY23-FY27 Budget '!E72</f>
        <v>56000</v>
      </c>
      <c r="O102" s="409">
        <f>'Mendez FY23-FY27 Budget'!D76</f>
        <v>40000</v>
      </c>
      <c r="P102" s="410">
        <f>'Mendez FY23-FY27 Budget'!E76</f>
        <v>40000</v>
      </c>
    </row>
    <row r="103" spans="1:16" x14ac:dyDescent="0.35">
      <c r="A103" s="441" t="s">
        <v>181</v>
      </c>
      <c r="B103" s="524" t="s">
        <v>191</v>
      </c>
      <c r="C103" s="523">
        <v>0</v>
      </c>
      <c r="D103" s="458">
        <v>0</v>
      </c>
      <c r="E103" s="354">
        <f>'AAL FY23-FY27 Budget'!D69</f>
        <v>40000</v>
      </c>
      <c r="F103" s="355">
        <f>'AAL FY23-FY27 Budget'!E69</f>
        <v>40000</v>
      </c>
      <c r="G103" s="362">
        <f>'C2 FY23-FY27 Budget'!D71</f>
        <v>15000</v>
      </c>
      <c r="H103" s="363">
        <f>'C2 FY23-FY27 Budget'!E71</f>
        <v>15000</v>
      </c>
      <c r="I103" s="374">
        <f>'C3 FY23-FY27 Budget '!D71</f>
        <v>15000</v>
      </c>
      <c r="J103" s="375">
        <f>'C3 FY23-FY27 Budget '!E71</f>
        <v>15000</v>
      </c>
      <c r="K103" s="386">
        <v>0</v>
      </c>
      <c r="L103" s="387">
        <v>0</v>
      </c>
      <c r="M103" s="398">
        <v>0</v>
      </c>
      <c r="N103" s="399">
        <v>0</v>
      </c>
      <c r="O103" s="409">
        <v>0</v>
      </c>
      <c r="P103" s="410">
        <v>0</v>
      </c>
    </row>
    <row r="104" spans="1:16" x14ac:dyDescent="0.35">
      <c r="A104" s="441" t="s">
        <v>181</v>
      </c>
      <c r="B104" s="524" t="s">
        <v>192</v>
      </c>
      <c r="C104" s="523">
        <v>0</v>
      </c>
      <c r="D104" s="458">
        <v>0</v>
      </c>
      <c r="E104" s="354">
        <f>'AAL FY23-FY27 Budget'!D70</f>
        <v>115000</v>
      </c>
      <c r="F104" s="355">
        <f>'AAL FY23-FY27 Budget'!E70</f>
        <v>115000</v>
      </c>
      <c r="G104" s="362">
        <f>'C2 FY23-FY27 Budget'!D72</f>
        <v>53780</v>
      </c>
      <c r="H104" s="363">
        <f>'C2 FY23-FY27 Budget'!E72</f>
        <v>53780</v>
      </c>
      <c r="I104" s="374">
        <f>'C3 FY23-FY27 Budget '!D72</f>
        <v>65000</v>
      </c>
      <c r="J104" s="375">
        <f>'C3 FY23-FY27 Budget '!E72</f>
        <v>65000</v>
      </c>
      <c r="K104" s="386">
        <v>0</v>
      </c>
      <c r="L104" s="387">
        <v>0</v>
      </c>
      <c r="M104" s="398">
        <v>0</v>
      </c>
      <c r="N104" s="399">
        <v>0</v>
      </c>
      <c r="O104" s="409">
        <v>0</v>
      </c>
      <c r="P104" s="410">
        <v>0</v>
      </c>
    </row>
    <row r="105" spans="1:16" x14ac:dyDescent="0.35">
      <c r="A105" s="441" t="s">
        <v>181</v>
      </c>
      <c r="B105" s="524" t="s">
        <v>193</v>
      </c>
      <c r="C105" s="523">
        <v>0</v>
      </c>
      <c r="D105" s="458">
        <v>0</v>
      </c>
      <c r="E105" s="354">
        <f>'AAL FY23-FY27 Budget'!D71</f>
        <v>0</v>
      </c>
      <c r="F105" s="355">
        <f>'AAL FY23-FY27 Budget'!E72</f>
        <v>0</v>
      </c>
      <c r="G105" s="362">
        <f>'C2 FY23-FY27 Budget'!D73</f>
        <v>0</v>
      </c>
      <c r="H105" s="363">
        <f>'C2 FY23-FY27 Budget'!E73</f>
        <v>0</v>
      </c>
      <c r="I105" s="374">
        <f>'C3 FY23-FY27 Budget '!D73</f>
        <v>550</v>
      </c>
      <c r="J105" s="375">
        <f>'C3 FY23-FY27 Budget '!E73</f>
        <v>550</v>
      </c>
      <c r="K105" s="386">
        <v>0</v>
      </c>
      <c r="L105" s="387">
        <v>0</v>
      </c>
      <c r="M105" s="398">
        <v>0</v>
      </c>
      <c r="N105" s="399">
        <v>0</v>
      </c>
      <c r="O105" s="409">
        <v>0</v>
      </c>
      <c r="P105" s="410">
        <v>0</v>
      </c>
    </row>
    <row r="106" spans="1:16" x14ac:dyDescent="0.35">
      <c r="A106" s="441" t="s">
        <v>181</v>
      </c>
      <c r="B106" s="524" t="s">
        <v>194</v>
      </c>
      <c r="C106" s="523">
        <v>0</v>
      </c>
      <c r="D106" s="458">
        <v>0</v>
      </c>
      <c r="E106" s="354">
        <f>'AAL FY23-FY27 Budget'!D72</f>
        <v>0</v>
      </c>
      <c r="F106" s="355">
        <f>'AAL FY23-FY27 Budget'!E72</f>
        <v>0</v>
      </c>
      <c r="G106" s="362">
        <f>'C2 FY23-FY27 Budget'!D74</f>
        <v>0</v>
      </c>
      <c r="H106" s="363">
        <f>'C2 FY23-FY27 Budget'!E74</f>
        <v>0</v>
      </c>
      <c r="I106" s="374">
        <f>'C3 FY23-FY27 Budget '!D74</f>
        <v>500</v>
      </c>
      <c r="J106" s="375">
        <f>'C3 FY23-FY27 Budget '!E74</f>
        <v>500</v>
      </c>
      <c r="K106" s="386">
        <v>0</v>
      </c>
      <c r="L106" s="387">
        <v>0</v>
      </c>
      <c r="M106" s="398">
        <v>0</v>
      </c>
      <c r="N106" s="399">
        <v>0</v>
      </c>
      <c r="O106" s="409">
        <v>0</v>
      </c>
      <c r="P106" s="410">
        <v>0</v>
      </c>
    </row>
    <row r="107" spans="1:16" x14ac:dyDescent="0.35">
      <c r="A107" s="447" t="s">
        <v>253</v>
      </c>
      <c r="B107" s="526" t="s">
        <v>410</v>
      </c>
      <c r="C107" s="523">
        <v>0</v>
      </c>
      <c r="D107" s="458">
        <v>0</v>
      </c>
      <c r="E107" s="354">
        <v>0</v>
      </c>
      <c r="F107" s="355">
        <v>0</v>
      </c>
      <c r="G107" s="362">
        <v>0</v>
      </c>
      <c r="H107" s="363">
        <v>0</v>
      </c>
      <c r="I107" s="374">
        <v>0</v>
      </c>
      <c r="J107" s="375">
        <v>0</v>
      </c>
      <c r="K107" s="386">
        <f>'SHES FY23-FY27 Budget '!D66</f>
        <v>0</v>
      </c>
      <c r="L107" s="387">
        <f>'SHES FY23-FY27 Budget '!E66</f>
        <v>0</v>
      </c>
      <c r="M107" s="398">
        <f>'Ector FY23-FY27 Budget '!D66</f>
        <v>75000</v>
      </c>
      <c r="N107" s="399">
        <f>'Ector FY23-FY27 Budget '!E66</f>
        <v>75000</v>
      </c>
      <c r="O107" s="409">
        <f>'Mendez FY23-FY27 Budget'!D70</f>
        <v>50000</v>
      </c>
      <c r="P107" s="410">
        <f>'Mendez FY23-FY27 Budget'!E70</f>
        <v>50000</v>
      </c>
    </row>
    <row r="108" spans="1:16" x14ac:dyDescent="0.35">
      <c r="A108" s="447" t="s">
        <v>253</v>
      </c>
      <c r="B108" s="526" t="s">
        <v>411</v>
      </c>
      <c r="C108" s="523">
        <v>0</v>
      </c>
      <c r="D108" s="458">
        <v>0</v>
      </c>
      <c r="E108" s="354">
        <v>0</v>
      </c>
      <c r="F108" s="355">
        <v>0</v>
      </c>
      <c r="G108" s="362">
        <v>0</v>
      </c>
      <c r="H108" s="363">
        <v>0</v>
      </c>
      <c r="I108" s="374">
        <v>0</v>
      </c>
      <c r="J108" s="375">
        <v>0</v>
      </c>
      <c r="K108" s="386">
        <f>'SHES FY23-FY27 Budget '!D67</f>
        <v>0</v>
      </c>
      <c r="L108" s="387">
        <f>'SHES FY23-FY27 Budget '!E67</f>
        <v>0</v>
      </c>
      <c r="M108" s="398">
        <f>'Ector FY23-FY27 Budget '!D67</f>
        <v>30000</v>
      </c>
      <c r="N108" s="399">
        <f>'Ector FY23-FY27 Budget '!E67</f>
        <v>30000</v>
      </c>
      <c r="O108" s="409">
        <f>'Mendez FY23-FY27 Budget'!D71</f>
        <v>20000</v>
      </c>
      <c r="P108" s="410">
        <f>'Mendez FY23-FY27 Budget'!E71</f>
        <v>20000</v>
      </c>
    </row>
    <row r="109" spans="1:16" x14ac:dyDescent="0.35">
      <c r="A109" s="448" t="s">
        <v>253</v>
      </c>
      <c r="B109" s="526" t="s">
        <v>412</v>
      </c>
      <c r="C109" s="523">
        <v>0</v>
      </c>
      <c r="D109" s="458">
        <v>0</v>
      </c>
      <c r="E109" s="354">
        <v>0</v>
      </c>
      <c r="F109" s="355">
        <v>0</v>
      </c>
      <c r="G109" s="362">
        <v>0</v>
      </c>
      <c r="H109" s="363">
        <v>0</v>
      </c>
      <c r="I109" s="374">
        <v>0</v>
      </c>
      <c r="J109" s="375">
        <v>0</v>
      </c>
      <c r="K109" s="386">
        <f>'SHES FY23-FY27 Budget '!D68</f>
        <v>0</v>
      </c>
      <c r="L109" s="387">
        <f>'SHES FY23-FY27 Budget '!E68</f>
        <v>0</v>
      </c>
      <c r="M109" s="398">
        <f>'Ector FY23-FY27 Budget '!D68</f>
        <v>20000</v>
      </c>
      <c r="N109" s="399">
        <f>'Ector FY23-FY27 Budget '!E68</f>
        <v>20000</v>
      </c>
      <c r="O109" s="409">
        <f>'Mendez FY23-FY27 Budget'!D72</f>
        <v>10000</v>
      </c>
      <c r="P109" s="410">
        <f>'Mendez FY23-FY27 Budget'!E72</f>
        <v>10000</v>
      </c>
    </row>
    <row r="110" spans="1:16" s="319" customFormat="1" x14ac:dyDescent="0.35">
      <c r="A110" s="447" t="s">
        <v>250</v>
      </c>
      <c r="B110" s="526" t="s">
        <v>435</v>
      </c>
      <c r="C110" s="523">
        <f>'Network FY23-FY27  Budget'!D36</f>
        <v>30000</v>
      </c>
      <c r="D110" s="458">
        <f>'Network FY23-FY27  Budget'!E36</f>
        <v>30000</v>
      </c>
      <c r="E110" s="354">
        <v>0</v>
      </c>
      <c r="F110" s="355">
        <v>0</v>
      </c>
      <c r="G110" s="362">
        <v>0</v>
      </c>
      <c r="H110" s="363">
        <v>0</v>
      </c>
      <c r="I110" s="374">
        <v>0</v>
      </c>
      <c r="J110" s="375">
        <v>0</v>
      </c>
      <c r="K110" s="386">
        <v>0</v>
      </c>
      <c r="L110" s="387">
        <v>0</v>
      </c>
      <c r="M110" s="398">
        <v>0</v>
      </c>
      <c r="N110" s="399">
        <v>0</v>
      </c>
      <c r="O110" s="409">
        <v>0</v>
      </c>
      <c r="P110" s="410">
        <v>0</v>
      </c>
    </row>
    <row r="111" spans="1:16" s="319" customFormat="1" x14ac:dyDescent="0.35">
      <c r="A111" s="449" t="s">
        <v>250</v>
      </c>
      <c r="B111" s="527" t="s">
        <v>406</v>
      </c>
      <c r="C111" s="523">
        <v>0</v>
      </c>
      <c r="D111" s="458">
        <v>0</v>
      </c>
      <c r="E111" s="354">
        <v>0</v>
      </c>
      <c r="F111" s="355">
        <v>0</v>
      </c>
      <c r="G111" s="362">
        <v>0</v>
      </c>
      <c r="H111" s="363">
        <v>0</v>
      </c>
      <c r="I111" s="374">
        <v>0</v>
      </c>
      <c r="J111" s="375">
        <v>0</v>
      </c>
      <c r="K111" s="386">
        <f>'SHES FY23-FY27 Budget '!D53</f>
        <v>0</v>
      </c>
      <c r="L111" s="387">
        <f>'SHES FY23-FY27 Budget '!E53</f>
        <v>0</v>
      </c>
      <c r="M111" s="398">
        <f>'Ector FY23-FY27 Budget '!D53</f>
        <v>350000</v>
      </c>
      <c r="N111" s="399">
        <f>'Ector FY23-FY27 Budget '!E53</f>
        <v>350000</v>
      </c>
      <c r="O111" s="409">
        <f>'Mendez FY23-FY27 Budget'!D57</f>
        <v>260000</v>
      </c>
      <c r="P111" s="410">
        <f>'Mendez FY23-FY27 Budget'!E57</f>
        <v>260000</v>
      </c>
    </row>
    <row r="112" spans="1:16" s="319" customFormat="1" x14ac:dyDescent="0.35">
      <c r="A112" s="447" t="s">
        <v>250</v>
      </c>
      <c r="B112" s="528" t="s">
        <v>499</v>
      </c>
      <c r="C112" s="523">
        <v>0</v>
      </c>
      <c r="D112" s="458">
        <v>0</v>
      </c>
      <c r="E112" s="354">
        <v>0</v>
      </c>
      <c r="F112" s="355">
        <v>0</v>
      </c>
      <c r="G112" s="362">
        <v>0</v>
      </c>
      <c r="H112" s="363">
        <v>0</v>
      </c>
      <c r="I112" s="374">
        <v>0</v>
      </c>
      <c r="J112" s="375">
        <v>0</v>
      </c>
      <c r="K112" s="386">
        <f>'SHES FY23-FY27 Budget '!D54</f>
        <v>0</v>
      </c>
      <c r="L112" s="387">
        <f>'SHES FY23-FY27 Budget '!E54</f>
        <v>0</v>
      </c>
      <c r="M112" s="398">
        <f>'Ector FY23-FY27 Budget '!D54</f>
        <v>30000</v>
      </c>
      <c r="N112" s="399">
        <f>'Ector FY23-FY27 Budget '!E54</f>
        <v>30000</v>
      </c>
      <c r="O112" s="409">
        <f>'Mendez FY23-FY27 Budget'!D58</f>
        <v>10000</v>
      </c>
      <c r="P112" s="410">
        <f>'Mendez FY23-FY27 Budget'!E58</f>
        <v>10000</v>
      </c>
    </row>
    <row r="113" spans="1:16" s="319" customFormat="1" x14ac:dyDescent="0.35">
      <c r="A113" s="447" t="s">
        <v>250</v>
      </c>
      <c r="B113" s="528" t="s">
        <v>413</v>
      </c>
      <c r="C113" s="523">
        <v>0</v>
      </c>
      <c r="D113" s="458">
        <v>0</v>
      </c>
      <c r="E113" s="354">
        <v>0</v>
      </c>
      <c r="F113" s="355">
        <v>0</v>
      </c>
      <c r="G113" s="362">
        <v>0</v>
      </c>
      <c r="H113" s="363">
        <v>0</v>
      </c>
      <c r="I113" s="374">
        <v>0</v>
      </c>
      <c r="J113" s="375">
        <v>0</v>
      </c>
      <c r="K113" s="386">
        <f>'SHES FY23-FY27 Budget '!D55</f>
        <v>6125</v>
      </c>
      <c r="L113" s="387">
        <f>'SHES FY23-FY27 Budget '!E55</f>
        <v>6125</v>
      </c>
      <c r="M113" s="398">
        <f>'Ector FY23-FY27 Budget '!D55</f>
        <v>25000</v>
      </c>
      <c r="N113" s="399">
        <f>'Ector FY23-FY27 Budget '!E55</f>
        <v>25000</v>
      </c>
      <c r="O113" s="409">
        <f>'Mendez FY23-FY27 Budget'!D59</f>
        <v>20000</v>
      </c>
      <c r="P113" s="410">
        <f>'Mendez FY23-FY27 Budget'!E59</f>
        <v>20000</v>
      </c>
    </row>
    <row r="114" spans="1:16" s="319" customFormat="1" x14ac:dyDescent="0.35">
      <c r="A114" s="447" t="s">
        <v>250</v>
      </c>
      <c r="B114" s="526" t="s">
        <v>500</v>
      </c>
      <c r="C114" s="523">
        <v>0</v>
      </c>
      <c r="D114" s="458">
        <v>0</v>
      </c>
      <c r="E114" s="354">
        <v>0</v>
      </c>
      <c r="F114" s="355">
        <v>0</v>
      </c>
      <c r="G114" s="362">
        <v>0</v>
      </c>
      <c r="H114" s="363">
        <v>0</v>
      </c>
      <c r="I114" s="374">
        <v>0</v>
      </c>
      <c r="J114" s="375">
        <v>0</v>
      </c>
      <c r="K114" s="386">
        <f>'SHES FY23-FY27 Budget '!D56</f>
        <v>44550</v>
      </c>
      <c r="L114" s="387">
        <f>'SHES FY23-FY27 Budget '!E56</f>
        <v>44550</v>
      </c>
      <c r="M114" s="398">
        <f>'Ector FY23-FY27 Budget '!D56</f>
        <v>80000</v>
      </c>
      <c r="N114" s="399">
        <f>'Ector FY23-FY27 Budget '!E56</f>
        <v>80000</v>
      </c>
      <c r="O114" s="409">
        <f>'Mendez FY23-FY27 Budget'!D60</f>
        <v>50000</v>
      </c>
      <c r="P114" s="410">
        <f>'Mendez FY23-FY27 Budget'!E60</f>
        <v>50000</v>
      </c>
    </row>
    <row r="115" spans="1:16" x14ac:dyDescent="0.35">
      <c r="A115" s="447" t="s">
        <v>250</v>
      </c>
      <c r="B115" s="528" t="s">
        <v>415</v>
      </c>
      <c r="C115" s="523">
        <v>0</v>
      </c>
      <c r="D115" s="458">
        <v>0</v>
      </c>
      <c r="E115" s="354">
        <v>0</v>
      </c>
      <c r="F115" s="355">
        <v>0</v>
      </c>
      <c r="G115" s="362">
        <v>0</v>
      </c>
      <c r="H115" s="363">
        <v>0</v>
      </c>
      <c r="I115" s="374">
        <v>0</v>
      </c>
      <c r="J115" s="375">
        <v>0</v>
      </c>
      <c r="K115" s="386">
        <f>'SHES FY23-FY27 Budget '!D57</f>
        <v>6200</v>
      </c>
      <c r="L115" s="387">
        <f>'SHES FY23-FY27 Budget '!E57</f>
        <v>6200</v>
      </c>
      <c r="M115" s="398">
        <f>'Ector FY23-FY27 Budget '!D57</f>
        <v>14000</v>
      </c>
      <c r="N115" s="399">
        <f>'Ector FY23-FY27 Budget '!E57</f>
        <v>14000</v>
      </c>
      <c r="O115" s="409">
        <f>'Mendez FY23-FY27 Budget'!D61</f>
        <v>4000</v>
      </c>
      <c r="P115" s="410">
        <f>'Mendez FY23-FY27 Budget'!E61</f>
        <v>4000</v>
      </c>
    </row>
    <row r="116" spans="1:16" x14ac:dyDescent="0.35">
      <c r="A116" s="447" t="s">
        <v>250</v>
      </c>
      <c r="B116" s="528" t="s">
        <v>501</v>
      </c>
      <c r="C116" s="523">
        <v>0</v>
      </c>
      <c r="D116" s="458">
        <v>0</v>
      </c>
      <c r="E116" s="354">
        <v>0</v>
      </c>
      <c r="F116" s="355">
        <v>0</v>
      </c>
      <c r="G116" s="362">
        <v>0</v>
      </c>
      <c r="H116" s="363">
        <v>0</v>
      </c>
      <c r="I116" s="374">
        <v>0</v>
      </c>
      <c r="J116" s="375">
        <v>0</v>
      </c>
      <c r="K116" s="386">
        <f>'SHES FY23-FY27 Budget '!D58</f>
        <v>50000</v>
      </c>
      <c r="L116" s="387">
        <f>'SHES FY23-FY27 Budget '!E58</f>
        <v>50000</v>
      </c>
      <c r="M116" s="398">
        <f>'Ector FY23-FY27 Budget '!D58</f>
        <v>140000</v>
      </c>
      <c r="N116" s="399">
        <f>'Ector FY23-FY27 Budget '!E58</f>
        <v>140000</v>
      </c>
      <c r="O116" s="409">
        <f>'Mendez FY23-FY27 Budget'!D62</f>
        <v>50000</v>
      </c>
      <c r="P116" s="410">
        <f>'Mendez FY23-FY27 Budget'!E62</f>
        <v>50000</v>
      </c>
    </row>
    <row r="117" spans="1:16" x14ac:dyDescent="0.35">
      <c r="A117" s="447" t="s">
        <v>250</v>
      </c>
      <c r="B117" s="528" t="s">
        <v>502</v>
      </c>
      <c r="C117" s="523">
        <v>0</v>
      </c>
      <c r="D117" s="458">
        <v>0</v>
      </c>
      <c r="E117" s="354">
        <v>0</v>
      </c>
      <c r="F117" s="355">
        <v>0</v>
      </c>
      <c r="G117" s="362">
        <v>0</v>
      </c>
      <c r="H117" s="363">
        <v>0</v>
      </c>
      <c r="I117" s="374">
        <v>0</v>
      </c>
      <c r="J117" s="375">
        <v>0</v>
      </c>
      <c r="K117" s="386">
        <f>'SHES FY23-FY27 Budget '!D59</f>
        <v>20000</v>
      </c>
      <c r="L117" s="387">
        <f>'SHES FY23-FY27 Budget '!E59</f>
        <v>20000</v>
      </c>
      <c r="M117" s="398">
        <f>'Ector FY23-FY27 Budget '!D59</f>
        <v>70000</v>
      </c>
      <c r="N117" s="399">
        <f>'Ector FY23-FY27 Budget '!E59</f>
        <v>70000</v>
      </c>
      <c r="O117" s="409">
        <f>'Mendez FY23-FY27 Budget'!D63</f>
        <v>15000</v>
      </c>
      <c r="P117" s="410">
        <f>'Mendez FY23-FY27 Budget'!E63</f>
        <v>15000</v>
      </c>
    </row>
    <row r="118" spans="1:16" ht="15" thickBot="1" x14ac:dyDescent="0.4">
      <c r="A118" s="450" t="s">
        <v>250</v>
      </c>
      <c r="B118" s="528" t="s">
        <v>503</v>
      </c>
      <c r="C118" s="523">
        <v>0</v>
      </c>
      <c r="D118" s="458">
        <v>0</v>
      </c>
      <c r="E118" s="354">
        <v>0</v>
      </c>
      <c r="F118" s="355">
        <v>0</v>
      </c>
      <c r="G118" s="362">
        <v>0</v>
      </c>
      <c r="H118" s="363">
        <v>0</v>
      </c>
      <c r="I118" s="374">
        <v>0</v>
      </c>
      <c r="J118" s="375">
        <v>0</v>
      </c>
      <c r="K118" s="386">
        <f>'SHES FY23-FY27 Budget '!D60</f>
        <v>5450</v>
      </c>
      <c r="L118" s="387">
        <f>'SHES FY23-FY27 Budget '!E60</f>
        <v>5450</v>
      </c>
      <c r="M118" s="398">
        <f>'Ector FY23-FY27 Budget '!D60</f>
        <v>14000</v>
      </c>
      <c r="N118" s="399">
        <f>'Ector FY23-FY27 Budget '!E60</f>
        <v>14000</v>
      </c>
      <c r="O118" s="409">
        <f>'Mendez FY23-FY27 Budget'!D64</f>
        <v>4000</v>
      </c>
      <c r="P118" s="410">
        <f>'Mendez FY23-FY27 Budget'!E64</f>
        <v>4000</v>
      </c>
    </row>
    <row r="119" spans="1:16" x14ac:dyDescent="0.35">
      <c r="A119" s="444" t="s">
        <v>199</v>
      </c>
      <c r="B119" s="331" t="s">
        <v>504</v>
      </c>
      <c r="C119" s="344">
        <v>0</v>
      </c>
      <c r="D119" s="458">
        <v>0</v>
      </c>
      <c r="E119" s="354">
        <f>'AAL FY23-FY27 Budget'!D76</f>
        <v>161000</v>
      </c>
      <c r="F119" s="355">
        <f>'AAL FY23-FY27 Budget'!E76</f>
        <v>164124</v>
      </c>
      <c r="G119" s="362">
        <f>'C2 FY23-FY27 Budget'!D79</f>
        <v>0</v>
      </c>
      <c r="H119" s="363">
        <f>'C2 FY23-FY27 Budget'!E79</f>
        <v>60138.94</v>
      </c>
      <c r="I119" s="374">
        <f>'C3 FY23-FY27 Budget '!D79</f>
        <v>104160</v>
      </c>
      <c r="J119" s="375">
        <f>'C3 FY23-FY27 Budget '!E79</f>
        <v>112812</v>
      </c>
      <c r="K119" s="386">
        <v>0</v>
      </c>
      <c r="L119" s="387">
        <v>0</v>
      </c>
      <c r="M119" s="398">
        <v>0</v>
      </c>
      <c r="N119" s="399">
        <v>0</v>
      </c>
      <c r="O119" s="409">
        <v>0</v>
      </c>
      <c r="P119" s="410">
        <v>0</v>
      </c>
    </row>
    <row r="120" spans="1:16" x14ac:dyDescent="0.35">
      <c r="A120" s="444" t="s">
        <v>199</v>
      </c>
      <c r="B120" s="328" t="s">
        <v>505</v>
      </c>
      <c r="C120" s="344">
        <v>0</v>
      </c>
      <c r="D120" s="458">
        <v>0</v>
      </c>
      <c r="E120" s="354">
        <f>'AAL FY23-FY27 Budget'!D77</f>
        <v>221000</v>
      </c>
      <c r="F120" s="355">
        <f>'AAL FY23-FY27 Budget'!E77</f>
        <v>231579</v>
      </c>
      <c r="G120" s="362">
        <v>0</v>
      </c>
      <c r="H120" s="363">
        <v>0</v>
      </c>
      <c r="I120" s="374">
        <v>0</v>
      </c>
      <c r="J120" s="375">
        <v>0</v>
      </c>
      <c r="K120" s="386">
        <v>0</v>
      </c>
      <c r="L120" s="387">
        <v>0</v>
      </c>
      <c r="M120" s="398">
        <v>0</v>
      </c>
      <c r="N120" s="399">
        <v>0</v>
      </c>
      <c r="O120" s="409">
        <v>0</v>
      </c>
      <c r="P120" s="410">
        <v>0</v>
      </c>
    </row>
    <row r="121" spans="1:16" x14ac:dyDescent="0.35">
      <c r="A121" s="444" t="s">
        <v>199</v>
      </c>
      <c r="B121" s="328" t="s">
        <v>506</v>
      </c>
      <c r="C121" s="344">
        <v>0</v>
      </c>
      <c r="D121" s="458">
        <v>0</v>
      </c>
      <c r="E121" s="354">
        <f>'AAL FY23-FY27 Budget'!D78</f>
        <v>0</v>
      </c>
      <c r="F121" s="355">
        <f>'AAL FY23-FY27 Budget'!E78</f>
        <v>377737</v>
      </c>
      <c r="G121" s="362">
        <v>0</v>
      </c>
      <c r="H121" s="363">
        <v>0</v>
      </c>
      <c r="I121" s="374">
        <v>0</v>
      </c>
      <c r="J121" s="375">
        <v>0</v>
      </c>
      <c r="K121" s="386">
        <v>0</v>
      </c>
      <c r="L121" s="387">
        <v>0</v>
      </c>
      <c r="M121" s="398">
        <v>0</v>
      </c>
      <c r="N121" s="399">
        <v>0</v>
      </c>
      <c r="O121" s="409">
        <v>0</v>
      </c>
      <c r="P121" s="410">
        <v>0</v>
      </c>
    </row>
    <row r="122" spans="1:16" x14ac:dyDescent="0.35">
      <c r="A122" s="444" t="s">
        <v>199</v>
      </c>
      <c r="B122" s="328" t="s">
        <v>507</v>
      </c>
      <c r="C122" s="344">
        <v>0</v>
      </c>
      <c r="D122" s="458">
        <v>0</v>
      </c>
      <c r="E122" s="354">
        <f>'AAL FY23-FY27 Budget'!D79</f>
        <v>0</v>
      </c>
      <c r="F122" s="355">
        <f>'AAL FY23-FY27 Budget'!E79</f>
        <v>10209</v>
      </c>
      <c r="G122" s="362">
        <v>0</v>
      </c>
      <c r="H122" s="363">
        <v>0</v>
      </c>
      <c r="I122" s="374">
        <f>'C3 FY23-FY27 Budget '!D80</f>
        <v>0</v>
      </c>
      <c r="J122" s="375">
        <f>'C3 FY23-FY27 Budget '!E80</f>
        <v>0</v>
      </c>
      <c r="K122" s="386">
        <v>0</v>
      </c>
      <c r="L122" s="387">
        <v>0</v>
      </c>
      <c r="M122" s="398">
        <v>0</v>
      </c>
      <c r="N122" s="399">
        <v>0</v>
      </c>
      <c r="O122" s="409">
        <v>0</v>
      </c>
      <c r="P122" s="410">
        <v>0</v>
      </c>
    </row>
    <row r="123" spans="1:16" x14ac:dyDescent="0.35">
      <c r="A123" s="451" t="s">
        <v>199</v>
      </c>
      <c r="B123" s="337" t="s">
        <v>202</v>
      </c>
      <c r="C123" s="344">
        <v>0</v>
      </c>
      <c r="D123" s="458">
        <v>0</v>
      </c>
      <c r="E123" s="354">
        <f>'AAL FY23-FY27 Budget'!D80</f>
        <v>1700000</v>
      </c>
      <c r="F123" s="355">
        <f>'AAL FY23-FY27 Budget'!E80</f>
        <v>1745595.9</v>
      </c>
      <c r="G123" s="362">
        <f>'C2 FY23-FY27 Budget'!D80</f>
        <v>0</v>
      </c>
      <c r="H123" s="363">
        <f>'C2 FY23-FY27 Budget'!E80</f>
        <v>140325.82860000001</v>
      </c>
      <c r="I123" s="374">
        <f>'C3 FY23-FY27 Budget '!D81</f>
        <v>100000</v>
      </c>
      <c r="J123" s="375">
        <f>'C3 FY23-FY27 Budget '!E81</f>
        <v>246064.44</v>
      </c>
      <c r="K123" s="386">
        <f>'SHES FY23-FY27 Budget '!D49</f>
        <v>750000</v>
      </c>
      <c r="L123" s="387">
        <f>'SHES FY23-FY27 Budget '!E49</f>
        <v>707313.45</v>
      </c>
      <c r="M123" s="398">
        <f>'Ector FY23-FY27 Budget '!D49</f>
        <v>2017493</v>
      </c>
      <c r="N123" s="399">
        <f>'Ector FY23-FY27 Budget '!E49</f>
        <v>2392200.36</v>
      </c>
      <c r="O123" s="409">
        <f>'Mendez FY23-FY27 Budget'!D53</f>
        <v>300000</v>
      </c>
      <c r="P123" s="410">
        <f>'Mendez FY23-FY27 Budget'!E53</f>
        <v>553421.25</v>
      </c>
    </row>
    <row r="124" spans="1:16" x14ac:dyDescent="0.35">
      <c r="A124" s="444" t="s">
        <v>199</v>
      </c>
      <c r="B124" s="328" t="s">
        <v>508</v>
      </c>
      <c r="C124" s="344">
        <v>0</v>
      </c>
      <c r="D124" s="458">
        <v>0</v>
      </c>
      <c r="E124" s="354">
        <f>'AAL FY23-FY27 Budget'!D81</f>
        <v>2000</v>
      </c>
      <c r="F124" s="355">
        <f>'AAL FY23-FY27 Budget'!E81</f>
        <v>4119</v>
      </c>
      <c r="G124" s="362">
        <f>'C2 FY23-FY27 Budget'!D81</f>
        <v>0</v>
      </c>
      <c r="H124" s="363">
        <f>'C2 FY23-FY27 Budget'!E81</f>
        <v>0</v>
      </c>
      <c r="I124" s="374">
        <f>'C3 FY23-FY27 Budget '!D82</f>
        <v>0</v>
      </c>
      <c r="J124" s="375">
        <f>'C3 FY23-FY27 Budget '!E82</f>
        <v>0</v>
      </c>
      <c r="K124" s="386">
        <v>0</v>
      </c>
      <c r="L124" s="387">
        <v>0</v>
      </c>
      <c r="M124" s="398">
        <v>0</v>
      </c>
      <c r="N124" s="399">
        <v>0</v>
      </c>
      <c r="O124" s="409">
        <v>0</v>
      </c>
      <c r="P124" s="410">
        <v>0</v>
      </c>
    </row>
    <row r="125" spans="1:16" x14ac:dyDescent="0.35">
      <c r="A125" s="444" t="s">
        <v>199</v>
      </c>
      <c r="B125" s="328" t="s">
        <v>204</v>
      </c>
      <c r="C125" s="344">
        <v>0</v>
      </c>
      <c r="D125" s="458">
        <v>0</v>
      </c>
      <c r="E125" s="354">
        <f>'AAL FY23-FY27 Budget'!D82</f>
        <v>30000</v>
      </c>
      <c r="F125" s="355">
        <f>'AAL FY23-FY27 Budget'!E82</f>
        <v>30000</v>
      </c>
      <c r="G125" s="362">
        <f>'C2 FY23-FY27 Budget'!D82</f>
        <v>0</v>
      </c>
      <c r="H125" s="363">
        <f>'C2 FY23-FY27 Budget'!E82</f>
        <v>0</v>
      </c>
      <c r="I125" s="374">
        <f>'C3 FY23-FY27 Budget '!D83</f>
        <v>30000</v>
      </c>
      <c r="J125" s="375">
        <f>'C3 FY23-FY27 Budget '!E83</f>
        <v>30000</v>
      </c>
      <c r="K125" s="386">
        <f>'SHES FY23-FY27 Budget '!D79</f>
        <v>20000</v>
      </c>
      <c r="L125" s="387">
        <f>'SHES FY23-FY27 Budget '!E79</f>
        <v>20000</v>
      </c>
      <c r="M125" s="398">
        <f>'Ector FY23-FY27 Budget '!D79</f>
        <v>30000</v>
      </c>
      <c r="N125" s="399">
        <f>'Ector FY23-FY27 Budget '!E79</f>
        <v>30000</v>
      </c>
      <c r="O125" s="409">
        <f>'Mendez FY23-FY27 Budget'!D83</f>
        <v>0</v>
      </c>
      <c r="P125" s="410">
        <f>'Mendez FY23-FY27 Budget'!E83</f>
        <v>0</v>
      </c>
    </row>
    <row r="126" spans="1:16" x14ac:dyDescent="0.35">
      <c r="A126" s="444" t="s">
        <v>199</v>
      </c>
      <c r="B126" s="328" t="s">
        <v>205</v>
      </c>
      <c r="C126" s="344">
        <v>0</v>
      </c>
      <c r="D126" s="458">
        <v>0</v>
      </c>
      <c r="E126" s="354">
        <f>'AAL FY23-FY27 Budget'!D83</f>
        <v>80000</v>
      </c>
      <c r="F126" s="355">
        <f>'AAL FY23-FY27 Budget'!E83</f>
        <v>80000</v>
      </c>
      <c r="G126" s="362">
        <f>'C2 FY23-FY27 Budget'!D83</f>
        <v>40000</v>
      </c>
      <c r="H126" s="363">
        <f>'C2 FY23-FY27 Budget'!E83</f>
        <v>40000</v>
      </c>
      <c r="I126" s="374">
        <f>'C3 FY23-FY27 Budget '!D84</f>
        <v>60000</v>
      </c>
      <c r="J126" s="375">
        <f>'C3 FY23-FY27 Budget '!E84</f>
        <v>60000</v>
      </c>
      <c r="K126" s="386">
        <f>'SHES FY23-FY27 Budget '!D64</f>
        <v>60000</v>
      </c>
      <c r="L126" s="387">
        <f>'SHES FY23-FY27 Budget '!E64</f>
        <v>60000</v>
      </c>
      <c r="M126" s="398">
        <f>'Ector FY23-FY27 Budget '!D64</f>
        <v>120000</v>
      </c>
      <c r="N126" s="399">
        <f>'Ector FY23-FY27 Budget '!E64</f>
        <v>120000</v>
      </c>
      <c r="O126" s="409">
        <f>'Mendez FY23-FY27 Budget'!D68</f>
        <v>80000</v>
      </c>
      <c r="P126" s="410">
        <f>'Mendez FY23-FY27 Budget'!E68</f>
        <v>80000</v>
      </c>
    </row>
    <row r="127" spans="1:16" x14ac:dyDescent="0.35">
      <c r="A127" s="444"/>
      <c r="B127" s="332" t="s">
        <v>425</v>
      </c>
      <c r="C127" s="344">
        <f>'Network FY23-FY27  Budget'!D39</f>
        <v>20000</v>
      </c>
      <c r="D127" s="458">
        <f>'Network FY23-FY27  Budget'!E39</f>
        <v>20000</v>
      </c>
      <c r="E127" s="354">
        <v>0</v>
      </c>
      <c r="F127" s="355">
        <v>0</v>
      </c>
      <c r="G127" s="362">
        <v>0</v>
      </c>
      <c r="H127" s="363">
        <v>0</v>
      </c>
      <c r="I127" s="374">
        <v>0</v>
      </c>
      <c r="J127" s="375">
        <v>0</v>
      </c>
      <c r="K127" s="386">
        <v>0</v>
      </c>
      <c r="L127" s="387">
        <v>0</v>
      </c>
      <c r="M127" s="398">
        <v>0</v>
      </c>
      <c r="N127" s="399">
        <v>0</v>
      </c>
      <c r="O127" s="409">
        <v>0</v>
      </c>
      <c r="P127" s="410">
        <v>0</v>
      </c>
    </row>
    <row r="128" spans="1:16" x14ac:dyDescent="0.35">
      <c r="A128" s="444"/>
      <c r="B128" s="332" t="s">
        <v>509</v>
      </c>
      <c r="C128" s="344">
        <f>'Network FY23-FY27  Budget'!D40</f>
        <v>150000</v>
      </c>
      <c r="D128" s="458">
        <f>'Network FY23-FY27  Budget'!E40</f>
        <v>150000</v>
      </c>
      <c r="E128" s="354">
        <v>0</v>
      </c>
      <c r="F128" s="355">
        <v>0</v>
      </c>
      <c r="G128" s="362">
        <v>0</v>
      </c>
      <c r="H128" s="363">
        <v>0</v>
      </c>
      <c r="I128" s="374">
        <v>0</v>
      </c>
      <c r="J128" s="375">
        <v>0</v>
      </c>
      <c r="K128" s="386">
        <v>0</v>
      </c>
      <c r="L128" s="387">
        <v>0</v>
      </c>
      <c r="M128" s="398">
        <v>0</v>
      </c>
      <c r="N128" s="399">
        <v>0</v>
      </c>
      <c r="O128" s="409">
        <v>0</v>
      </c>
      <c r="P128" s="410">
        <v>0</v>
      </c>
    </row>
    <row r="129" spans="1:16" x14ac:dyDescent="0.35">
      <c r="A129" s="444"/>
      <c r="B129" s="332" t="s">
        <v>426</v>
      </c>
      <c r="C129" s="344">
        <v>0</v>
      </c>
      <c r="D129" s="458">
        <v>0</v>
      </c>
      <c r="E129" s="354">
        <v>0</v>
      </c>
      <c r="F129" s="355">
        <v>0</v>
      </c>
      <c r="G129" s="362">
        <v>0</v>
      </c>
      <c r="H129" s="363">
        <v>0</v>
      </c>
      <c r="I129" s="374">
        <v>0</v>
      </c>
      <c r="J129" s="375">
        <v>0</v>
      </c>
      <c r="K129" s="386">
        <f>'SHES FY23-FY27 Budget '!D76</f>
        <v>0</v>
      </c>
      <c r="L129" s="387">
        <f>'SHES FY23-FY27 Budget '!E76</f>
        <v>0</v>
      </c>
      <c r="M129" s="398">
        <f>'Ector FY23-FY27 Budget '!D76</f>
        <v>30000</v>
      </c>
      <c r="N129" s="399">
        <f>'Ector FY23-FY27 Budget '!E76</f>
        <v>30000</v>
      </c>
      <c r="O129" s="409">
        <f>'Mendez FY23-FY27 Budget'!D80</f>
        <v>0</v>
      </c>
      <c r="P129" s="410">
        <f>'Mendez FY23-FY27 Budget'!E80</f>
        <v>0</v>
      </c>
    </row>
    <row r="130" spans="1:16" x14ac:dyDescent="0.35">
      <c r="A130" s="444" t="s">
        <v>199</v>
      </c>
      <c r="B130" s="328" t="s">
        <v>206</v>
      </c>
      <c r="C130" s="344">
        <v>0</v>
      </c>
      <c r="D130" s="458">
        <v>0</v>
      </c>
      <c r="E130" s="354">
        <f>'AAL FY23-FY27 Budget'!D84</f>
        <v>15000</v>
      </c>
      <c r="F130" s="355">
        <f>'AAL FY23-FY27 Budget'!E84</f>
        <v>15000</v>
      </c>
      <c r="G130" s="362">
        <f>'C2 FY23-FY27 Budget'!D84</f>
        <v>10000</v>
      </c>
      <c r="H130" s="363">
        <f>'C2 FY23-FY27 Budget'!E84</f>
        <v>10000</v>
      </c>
      <c r="I130" s="374">
        <f>'C3 FY23-FY27 Budget '!D85</f>
        <v>15000</v>
      </c>
      <c r="J130" s="375">
        <f>'C3 FY23-FY27 Budget '!E85</f>
        <v>15000</v>
      </c>
      <c r="K130" s="386">
        <f>'SHES FY23-FY27 Budget '!D65</f>
        <v>12000</v>
      </c>
      <c r="L130" s="387">
        <f>'SHES FY23-FY27 Budget '!E65</f>
        <v>12000</v>
      </c>
      <c r="M130" s="398">
        <f>'Ector FY23-FY27 Budget '!D65</f>
        <v>20000</v>
      </c>
      <c r="N130" s="399">
        <f>'Ector FY23-FY27 Budget '!E65</f>
        <v>20000</v>
      </c>
      <c r="O130" s="409">
        <f>'Mendez FY23-FY27 Budget'!D69</f>
        <v>40000</v>
      </c>
      <c r="P130" s="410">
        <f>'Mendez FY23-FY27 Budget'!E69</f>
        <v>40000</v>
      </c>
    </row>
    <row r="131" spans="1:16" x14ac:dyDescent="0.35">
      <c r="A131" s="444" t="s">
        <v>199</v>
      </c>
      <c r="B131" s="328" t="s">
        <v>208</v>
      </c>
      <c r="C131" s="344">
        <v>0</v>
      </c>
      <c r="D131" s="458">
        <v>0</v>
      </c>
      <c r="E131" s="354">
        <f>'AAL FY23-FY27 Budget'!D86</f>
        <v>0</v>
      </c>
      <c r="F131" s="355">
        <f>'AAL FY23-FY27 Budget'!E86</f>
        <v>0</v>
      </c>
      <c r="G131" s="362">
        <f>'C2 FY23-FY27 Budget'!D86</f>
        <v>0</v>
      </c>
      <c r="H131" s="363">
        <f>'C2 FY23-FY27 Budget'!E86</f>
        <v>0</v>
      </c>
      <c r="I131" s="374">
        <f>'C3 FY23-FY27 Budget '!D87</f>
        <v>0</v>
      </c>
      <c r="J131" s="375">
        <f>'C3 FY23-FY27 Budget '!E87</f>
        <v>0</v>
      </c>
      <c r="K131" s="386">
        <v>0</v>
      </c>
      <c r="L131" s="387">
        <v>0</v>
      </c>
      <c r="M131" s="398">
        <v>0</v>
      </c>
      <c r="N131" s="399">
        <v>0</v>
      </c>
      <c r="O131" s="409">
        <v>0</v>
      </c>
      <c r="P131" s="410">
        <v>0</v>
      </c>
    </row>
    <row r="132" spans="1:16" x14ac:dyDescent="0.35">
      <c r="A132" s="444" t="s">
        <v>199</v>
      </c>
      <c r="B132" s="328" t="s">
        <v>427</v>
      </c>
      <c r="C132" s="344">
        <v>0</v>
      </c>
      <c r="D132" s="458">
        <v>0</v>
      </c>
      <c r="E132" s="354">
        <f>'AAL FY23-FY27 Budget'!D87</f>
        <v>7400</v>
      </c>
      <c r="F132" s="355">
        <f>'AAL FY23-FY27 Budget'!E87</f>
        <v>6975</v>
      </c>
      <c r="G132" s="362">
        <f>'C2 FY23-FY27 Budget'!D87</f>
        <v>0</v>
      </c>
      <c r="H132" s="363">
        <f>'C2 FY23-FY27 Budget'!E87</f>
        <v>0</v>
      </c>
      <c r="I132" s="374">
        <f>'C3 FY23-FY27 Budget '!D88</f>
        <v>3000</v>
      </c>
      <c r="J132" s="375">
        <f>'C3 FY23-FY27 Budget '!E88</f>
        <v>3000</v>
      </c>
      <c r="K132" s="386">
        <v>0</v>
      </c>
      <c r="L132" s="387">
        <v>0</v>
      </c>
      <c r="M132" s="398">
        <v>0</v>
      </c>
      <c r="N132" s="399">
        <v>0</v>
      </c>
      <c r="O132" s="409">
        <v>0</v>
      </c>
      <c r="P132" s="410">
        <v>0</v>
      </c>
    </row>
    <row r="133" spans="1:16" x14ac:dyDescent="0.35">
      <c r="A133" s="444" t="s">
        <v>199</v>
      </c>
      <c r="B133" s="328" t="s">
        <v>428</v>
      </c>
      <c r="C133" s="344">
        <v>0</v>
      </c>
      <c r="D133" s="458">
        <v>0</v>
      </c>
      <c r="E133" s="354">
        <f>'AAL FY23-FY27 Budget'!D88</f>
        <v>0</v>
      </c>
      <c r="F133" s="355">
        <f>'AAL FY23-FY27 Budget'!E88</f>
        <v>15596.88</v>
      </c>
      <c r="G133" s="362">
        <f>'C2 FY23-FY27 Budget'!D88</f>
        <v>0</v>
      </c>
      <c r="H133" s="363">
        <f>'C2 FY23-FY27 Budget'!E88</f>
        <v>0</v>
      </c>
      <c r="I133" s="374">
        <f>'C3 FY23-FY27 Budget '!D89</f>
        <v>0</v>
      </c>
      <c r="J133" s="375">
        <f>'C3 FY23-FY27 Budget '!E89</f>
        <v>0</v>
      </c>
      <c r="K133" s="386">
        <v>0</v>
      </c>
      <c r="L133" s="387">
        <v>0</v>
      </c>
      <c r="M133" s="398">
        <v>0</v>
      </c>
      <c r="N133" s="399">
        <v>0</v>
      </c>
      <c r="O133" s="409">
        <v>0</v>
      </c>
      <c r="P133" s="410">
        <v>0</v>
      </c>
    </row>
    <row r="134" spans="1:16" x14ac:dyDescent="0.35">
      <c r="A134" s="444" t="s">
        <v>199</v>
      </c>
      <c r="B134" s="328" t="s">
        <v>211</v>
      </c>
      <c r="C134" s="344">
        <v>0</v>
      </c>
      <c r="D134" s="458">
        <v>0</v>
      </c>
      <c r="E134" s="354">
        <f>'AAL FY23-FY27 Budget'!D89</f>
        <v>45000</v>
      </c>
      <c r="F134" s="355">
        <f>'AAL FY23-FY27 Budget'!E89</f>
        <v>45000</v>
      </c>
      <c r="G134" s="362">
        <f>'C2 FY23-FY27 Budget'!D89</f>
        <v>0</v>
      </c>
      <c r="H134" s="363">
        <f>'C2 FY23-FY27 Budget'!E89</f>
        <v>0</v>
      </c>
      <c r="I134" s="374">
        <f>'C3 FY23-FY27 Budget '!D90</f>
        <v>0</v>
      </c>
      <c r="J134" s="375">
        <f>'C3 FY23-FY27 Budget '!E90</f>
        <v>0</v>
      </c>
      <c r="K134" s="386">
        <v>0</v>
      </c>
      <c r="L134" s="387">
        <v>0</v>
      </c>
      <c r="M134" s="398">
        <v>0</v>
      </c>
      <c r="N134" s="399">
        <v>0</v>
      </c>
      <c r="O134" s="409">
        <v>0</v>
      </c>
      <c r="P134" s="410">
        <v>0</v>
      </c>
    </row>
    <row r="135" spans="1:16" x14ac:dyDescent="0.35">
      <c r="A135" s="444" t="s">
        <v>199</v>
      </c>
      <c r="B135" s="328" t="s">
        <v>212</v>
      </c>
      <c r="C135" s="344">
        <v>0</v>
      </c>
      <c r="D135" s="458">
        <v>0</v>
      </c>
      <c r="E135" s="354">
        <f>'AAL FY23-FY27 Budget'!D90</f>
        <v>0</v>
      </c>
      <c r="F135" s="355">
        <f>'AAL FY23-FY27 Budget'!E90</f>
        <v>0</v>
      </c>
      <c r="G135" s="362">
        <f>'C2 FY23-FY27 Budget'!D90</f>
        <v>0</v>
      </c>
      <c r="H135" s="363">
        <f>'C2 FY23-FY27 Budget'!E90</f>
        <v>0</v>
      </c>
      <c r="I135" s="374">
        <f>'C3 FY23-FY27 Budget '!D91</f>
        <v>0</v>
      </c>
      <c r="J135" s="375">
        <f>'C3 FY23-FY27 Budget '!E91</f>
        <v>0</v>
      </c>
      <c r="K135" s="386">
        <v>0</v>
      </c>
      <c r="L135" s="387">
        <v>0</v>
      </c>
      <c r="M135" s="398">
        <v>0</v>
      </c>
      <c r="N135" s="399">
        <v>0</v>
      </c>
      <c r="O135" s="409">
        <v>0</v>
      </c>
      <c r="P135" s="410">
        <v>0</v>
      </c>
    </row>
    <row r="136" spans="1:16" x14ac:dyDescent="0.35">
      <c r="A136" s="444"/>
      <c r="B136" s="328" t="s">
        <v>85</v>
      </c>
      <c r="C136" s="344">
        <v>0</v>
      </c>
      <c r="D136" s="458">
        <v>0</v>
      </c>
      <c r="E136" s="354">
        <v>0</v>
      </c>
      <c r="F136" s="355">
        <v>0</v>
      </c>
      <c r="G136" s="362">
        <v>0</v>
      </c>
      <c r="H136" s="363">
        <v>0</v>
      </c>
      <c r="I136" s="374">
        <v>0</v>
      </c>
      <c r="J136" s="375">
        <v>0</v>
      </c>
      <c r="K136" s="386">
        <f>'SHES FY23-FY27 Budget '!D71</f>
        <v>2620.7472000000002</v>
      </c>
      <c r="L136" s="387">
        <f>'SHES FY23-FY27 Budget '!E71</f>
        <v>2620.7472000000002</v>
      </c>
      <c r="M136" s="398">
        <f>'Ector FY23-FY27 Budget '!D71</f>
        <v>15000</v>
      </c>
      <c r="N136" s="399">
        <f>'Ector FY23-FY27 Budget '!E71</f>
        <v>15000</v>
      </c>
      <c r="O136" s="409">
        <f>'Mendez FY23-FY27 Budget'!D75</f>
        <v>0</v>
      </c>
      <c r="P136" s="410">
        <f>'Mendez FY23-FY27 Budget'!E75</f>
        <v>0</v>
      </c>
    </row>
    <row r="137" spans="1:16" x14ac:dyDescent="0.35">
      <c r="A137" s="444" t="s">
        <v>199</v>
      </c>
      <c r="B137" s="328" t="s">
        <v>213</v>
      </c>
      <c r="C137" s="344">
        <v>0</v>
      </c>
      <c r="D137" s="458">
        <v>0</v>
      </c>
      <c r="E137" s="354">
        <f>'AAL FY23-FY27 Budget'!D91</f>
        <v>65000</v>
      </c>
      <c r="F137" s="355">
        <f>'AAL FY23-FY27 Budget'!E91</f>
        <v>65000</v>
      </c>
      <c r="G137" s="362">
        <f>'C2 FY23-FY27 Budget'!D91</f>
        <v>0</v>
      </c>
      <c r="H137" s="363">
        <f>'C2 FY23-FY27 Budget'!E91</f>
        <v>0</v>
      </c>
      <c r="I137" s="374">
        <f>'C3 FY23-FY27 Budget '!D92</f>
        <v>0</v>
      </c>
      <c r="J137" s="375">
        <f>'C3 FY23-FY27 Budget '!E92</f>
        <v>0</v>
      </c>
      <c r="K137" s="386">
        <v>0</v>
      </c>
      <c r="L137" s="387">
        <v>0</v>
      </c>
      <c r="M137" s="398">
        <v>0</v>
      </c>
      <c r="N137" s="399">
        <v>0</v>
      </c>
      <c r="O137" s="409">
        <v>0</v>
      </c>
      <c r="P137" s="410">
        <v>0</v>
      </c>
    </row>
    <row r="138" spans="1:16" ht="15" thickBot="1" x14ac:dyDescent="0.4">
      <c r="A138" s="445" t="s">
        <v>199</v>
      </c>
      <c r="B138" s="330" t="s">
        <v>214</v>
      </c>
      <c r="C138" s="344">
        <v>0</v>
      </c>
      <c r="D138" s="458">
        <v>0</v>
      </c>
      <c r="E138" s="354">
        <f>'AAL FY23-FY27 Budget'!D92</f>
        <v>8700</v>
      </c>
      <c r="F138" s="355">
        <f>'AAL FY23-FY27 Budget'!E92</f>
        <v>8700</v>
      </c>
      <c r="G138" s="362">
        <f>'C2 FY23-FY27 Budget'!D92</f>
        <v>0</v>
      </c>
      <c r="H138" s="363">
        <f>'C2 FY23-FY27 Budget'!E92</f>
        <v>0</v>
      </c>
      <c r="I138" s="374">
        <f>'C3 FY23-FY27 Budget '!D93</f>
        <v>0</v>
      </c>
      <c r="J138" s="375">
        <f>'C3 FY23-FY27 Budget '!E93</f>
        <v>0</v>
      </c>
      <c r="K138" s="386">
        <v>0</v>
      </c>
      <c r="L138" s="387">
        <v>0</v>
      </c>
      <c r="M138" s="398">
        <v>0</v>
      </c>
      <c r="N138" s="399">
        <v>0</v>
      </c>
      <c r="O138" s="409">
        <v>0</v>
      </c>
      <c r="P138" s="410">
        <v>0</v>
      </c>
    </row>
    <row r="139" spans="1:16" x14ac:dyDescent="0.35">
      <c r="A139" s="444"/>
      <c r="B139" s="524" t="s">
        <v>429</v>
      </c>
      <c r="C139" s="523">
        <v>0</v>
      </c>
      <c r="D139" s="458">
        <v>0</v>
      </c>
      <c r="E139" s="354">
        <v>0</v>
      </c>
      <c r="F139" s="355">
        <v>0</v>
      </c>
      <c r="G139" s="362">
        <v>0</v>
      </c>
      <c r="H139" s="363">
        <v>0</v>
      </c>
      <c r="I139" s="374">
        <v>0</v>
      </c>
      <c r="J139" s="375">
        <v>0</v>
      </c>
      <c r="K139" s="386">
        <f>'SHES FY23-FY27 Budget '!D51</f>
        <v>60000</v>
      </c>
      <c r="L139" s="387">
        <f>'SHES FY23-FY27 Budget '!E51</f>
        <v>60000</v>
      </c>
      <c r="M139" s="398">
        <f>'Ector FY23-FY27 Budget '!D51</f>
        <v>120000</v>
      </c>
      <c r="N139" s="399">
        <f>'Ector FY23-FY27 Budget '!E51</f>
        <v>120000</v>
      </c>
      <c r="O139" s="409">
        <f>'Mendez FY23-FY27 Budget'!D55</f>
        <v>60000</v>
      </c>
      <c r="P139" s="410">
        <f>'Mendez FY23-FY27 Budget'!E55</f>
        <v>60000</v>
      </c>
    </row>
    <row r="140" spans="1:16" x14ac:dyDescent="0.35">
      <c r="A140" s="444"/>
      <c r="B140" s="524" t="s">
        <v>510</v>
      </c>
      <c r="C140" s="523">
        <v>0</v>
      </c>
      <c r="D140" s="458">
        <v>0</v>
      </c>
      <c r="E140" s="354">
        <v>0</v>
      </c>
      <c r="F140" s="355">
        <v>0</v>
      </c>
      <c r="G140" s="362">
        <v>0</v>
      </c>
      <c r="H140" s="363">
        <v>0</v>
      </c>
      <c r="I140" s="374">
        <v>0</v>
      </c>
      <c r="J140" s="375">
        <v>0</v>
      </c>
      <c r="K140" s="386">
        <f>'SHES FY23-FY27 Budget '!D52</f>
        <v>0</v>
      </c>
      <c r="L140" s="387">
        <f>'SHES FY23-FY27 Budget '!E52</f>
        <v>0</v>
      </c>
      <c r="M140" s="398">
        <f>'Ector FY23-FY27 Budget '!D52</f>
        <v>30000</v>
      </c>
      <c r="N140" s="399">
        <f>'Ector FY23-FY27 Budget '!E52</f>
        <v>30000</v>
      </c>
      <c r="O140" s="409">
        <f>'Mendez FY23-FY27 Budget'!D56</f>
        <v>115000</v>
      </c>
      <c r="P140" s="410">
        <f>'Mendez FY23-FY27 Budget'!E56</f>
        <v>115000</v>
      </c>
    </row>
    <row r="141" spans="1:16" x14ac:dyDescent="0.35">
      <c r="A141" s="444" t="s">
        <v>124</v>
      </c>
      <c r="B141" s="524" t="s">
        <v>125</v>
      </c>
      <c r="C141" s="523">
        <v>0</v>
      </c>
      <c r="D141" s="458">
        <v>0</v>
      </c>
      <c r="E141" s="354">
        <f>'AAL FY23-FY27 Budget'!D93</f>
        <v>0</v>
      </c>
      <c r="F141" s="355">
        <f>'AAL FY23-FY27 Budget'!E93</f>
        <v>0</v>
      </c>
      <c r="G141" s="362">
        <f>'C2 FY23-FY27 Budget'!D93</f>
        <v>0</v>
      </c>
      <c r="H141" s="363">
        <f>'C2 FY23-FY27 Budget'!E93</f>
        <v>0</v>
      </c>
      <c r="I141" s="374">
        <f>'C3 FY23-FY27 Budget '!D94</f>
        <v>0</v>
      </c>
      <c r="J141" s="375">
        <f>'C3 FY23-FY27 Budget '!E94</f>
        <v>0</v>
      </c>
      <c r="K141" s="386">
        <v>0</v>
      </c>
      <c r="L141" s="387">
        <v>0</v>
      </c>
      <c r="M141" s="398">
        <v>0</v>
      </c>
      <c r="N141" s="399">
        <v>0</v>
      </c>
      <c r="O141" s="409">
        <v>0</v>
      </c>
      <c r="P141" s="410">
        <v>0</v>
      </c>
    </row>
    <row r="142" spans="1:16" x14ac:dyDescent="0.35">
      <c r="A142" s="444" t="s">
        <v>124</v>
      </c>
      <c r="B142" s="524" t="s">
        <v>67</v>
      </c>
      <c r="C142" s="523">
        <v>0</v>
      </c>
      <c r="D142" s="458">
        <v>0</v>
      </c>
      <c r="E142" s="354">
        <f>'AAL FY23-FY27 Budget'!D94</f>
        <v>48000</v>
      </c>
      <c r="F142" s="355">
        <f>'AAL FY23-FY27 Budget'!E94</f>
        <v>48000</v>
      </c>
      <c r="G142" s="362">
        <f>'C2 FY23-FY27 Budget'!D94</f>
        <v>10000</v>
      </c>
      <c r="H142" s="363">
        <f>'C2 FY23-FY27 Budget'!E94</f>
        <v>10000</v>
      </c>
      <c r="I142" s="374">
        <f>'C3 FY23-FY27 Budget '!D95</f>
        <v>34330</v>
      </c>
      <c r="J142" s="375">
        <f>'C3 FY23-FY27 Budget '!E95</f>
        <v>34330</v>
      </c>
      <c r="K142" s="386">
        <f>'SHES FY23-FY27 Budget '!D81</f>
        <v>10000</v>
      </c>
      <c r="L142" s="387">
        <f>'SHES FY23-FY27 Budget '!E81</f>
        <v>10000</v>
      </c>
      <c r="M142" s="398">
        <f>'Ector FY23-FY27 Budget '!D81</f>
        <v>20000</v>
      </c>
      <c r="N142" s="399">
        <f>'Ector FY23-FY27 Budget '!E81</f>
        <v>20000</v>
      </c>
      <c r="O142" s="409">
        <f>'Mendez FY23-FY27 Budget'!D85</f>
        <v>25000</v>
      </c>
      <c r="P142" s="410">
        <f>'Mendez FY23-FY27 Budget'!E85</f>
        <v>25000</v>
      </c>
    </row>
    <row r="143" spans="1:16" x14ac:dyDescent="0.35">
      <c r="A143" s="444" t="s">
        <v>124</v>
      </c>
      <c r="B143" s="524" t="s">
        <v>128</v>
      </c>
      <c r="C143" s="523">
        <v>0</v>
      </c>
      <c r="D143" s="458">
        <v>0</v>
      </c>
      <c r="E143" s="354">
        <f>'AAL FY23-FY27 Budget'!D97</f>
        <v>170000</v>
      </c>
      <c r="F143" s="355">
        <f>'AAL FY23-FY27 Budget'!E97</f>
        <v>170000</v>
      </c>
      <c r="G143" s="362">
        <f>'C2 FY23-FY27 Budget'!D95</f>
        <v>60000</v>
      </c>
      <c r="H143" s="363">
        <f>'C2 FY23-FY27 Budget'!E95</f>
        <v>60000</v>
      </c>
      <c r="I143" s="374">
        <f>'C3 FY23-FY27 Budget '!D96</f>
        <v>140000</v>
      </c>
      <c r="J143" s="375">
        <f>'C3 FY23-FY27 Budget '!E96</f>
        <v>140000</v>
      </c>
      <c r="K143" s="386">
        <v>0</v>
      </c>
      <c r="L143" s="387">
        <v>0</v>
      </c>
      <c r="M143" s="398">
        <v>0</v>
      </c>
      <c r="N143" s="399">
        <v>0</v>
      </c>
      <c r="O143" s="409">
        <v>0</v>
      </c>
      <c r="P143" s="410">
        <v>0</v>
      </c>
    </row>
    <row r="144" spans="1:16" x14ac:dyDescent="0.35">
      <c r="A144" s="444" t="s">
        <v>124</v>
      </c>
      <c r="B144" s="524" t="s">
        <v>129</v>
      </c>
      <c r="C144" s="523">
        <v>0</v>
      </c>
      <c r="D144" s="458">
        <v>0</v>
      </c>
      <c r="E144" s="354">
        <f>'AAL FY23-FY27 Budget'!D98</f>
        <v>20000</v>
      </c>
      <c r="F144" s="355">
        <f>'AAL FY23-FY27 Budget'!E98</f>
        <v>20000</v>
      </c>
      <c r="G144" s="362">
        <f>'C2 FY23-FY27 Budget'!D96</f>
        <v>10000</v>
      </c>
      <c r="H144" s="363">
        <f>'C2 FY23-FY27 Budget'!E96</f>
        <v>10000</v>
      </c>
      <c r="I144" s="374">
        <f>'C3 FY23-FY27 Budget '!D97</f>
        <v>10000</v>
      </c>
      <c r="J144" s="375">
        <f>'C3 FY23-FY27 Budget '!E97</f>
        <v>10000</v>
      </c>
      <c r="K144" s="386">
        <f>'SHES FY23-FY27 Budget '!D46</f>
        <v>20000</v>
      </c>
      <c r="L144" s="387">
        <f>'SHES FY23-FY27 Budget '!E46</f>
        <v>20000</v>
      </c>
      <c r="M144" s="398">
        <f>'Ector FY23-FY27 Budget '!D46</f>
        <v>30000</v>
      </c>
      <c r="N144" s="399">
        <f>'Ector FY23-FY27 Budget '!E46</f>
        <v>30000</v>
      </c>
      <c r="O144" s="409">
        <f>'Mendez FY23-FY27 Budget'!D50</f>
        <v>20000</v>
      </c>
      <c r="P144" s="410">
        <f>'Mendez FY23-FY27 Budget'!E50</f>
        <v>20000</v>
      </c>
    </row>
    <row r="145" spans="1:16" x14ac:dyDescent="0.35">
      <c r="A145" s="444" t="s">
        <v>124</v>
      </c>
      <c r="B145" s="524" t="s">
        <v>130</v>
      </c>
      <c r="C145" s="523">
        <v>0</v>
      </c>
      <c r="D145" s="458">
        <v>0</v>
      </c>
      <c r="E145" s="354">
        <f>'AAL FY23-FY27 Budget'!D99</f>
        <v>65000</v>
      </c>
      <c r="F145" s="355">
        <f>'AAL FY23-FY27 Budget'!E99</f>
        <v>65000</v>
      </c>
      <c r="G145" s="362">
        <f>'C2 FY23-FY27 Budget'!D97</f>
        <v>36500</v>
      </c>
      <c r="H145" s="363">
        <f>'C2 FY23-FY27 Budget'!E97</f>
        <v>36500</v>
      </c>
      <c r="I145" s="374">
        <f>'C3 FY23-FY27 Budget '!D98</f>
        <v>30000</v>
      </c>
      <c r="J145" s="375">
        <f>'C3 FY23-FY27 Budget '!E98</f>
        <v>30000</v>
      </c>
      <c r="K145" s="386">
        <v>0</v>
      </c>
      <c r="L145" s="387">
        <v>0</v>
      </c>
      <c r="M145" s="398">
        <v>0</v>
      </c>
      <c r="N145" s="399">
        <v>0</v>
      </c>
      <c r="O145" s="409">
        <v>0</v>
      </c>
      <c r="P145" s="410">
        <v>0</v>
      </c>
    </row>
    <row r="146" spans="1:16" x14ac:dyDescent="0.35">
      <c r="A146" s="444" t="s">
        <v>124</v>
      </c>
      <c r="B146" s="524" t="s">
        <v>131</v>
      </c>
      <c r="C146" s="523">
        <v>0</v>
      </c>
      <c r="D146" s="458">
        <v>0</v>
      </c>
      <c r="E146" s="354">
        <f>'AAL FY23-FY27 Budget'!D100</f>
        <v>27000</v>
      </c>
      <c r="F146" s="355">
        <f>'AAL FY23-FY27 Budget'!E100</f>
        <v>27000</v>
      </c>
      <c r="G146" s="362">
        <f>'C2 FY23-FY27 Budget'!D98</f>
        <v>2100</v>
      </c>
      <c r="H146" s="363">
        <f>'C2 FY23-FY27 Budget'!E98</f>
        <v>2100</v>
      </c>
      <c r="I146" s="374">
        <f>'C3 FY23-FY27 Budget '!D99</f>
        <v>20000</v>
      </c>
      <c r="J146" s="375">
        <f>'C3 FY23-FY27 Budget '!E99</f>
        <v>20000</v>
      </c>
      <c r="K146" s="386">
        <v>0</v>
      </c>
      <c r="L146" s="387">
        <v>0</v>
      </c>
      <c r="M146" s="398">
        <v>0</v>
      </c>
      <c r="N146" s="399">
        <v>0</v>
      </c>
      <c r="O146" s="409">
        <v>0</v>
      </c>
      <c r="P146" s="410">
        <v>0</v>
      </c>
    </row>
    <row r="147" spans="1:16" x14ac:dyDescent="0.35">
      <c r="A147" s="444" t="s">
        <v>124</v>
      </c>
      <c r="B147" s="524" t="s">
        <v>132</v>
      </c>
      <c r="C147" s="523">
        <v>0</v>
      </c>
      <c r="D147" s="458">
        <v>0</v>
      </c>
      <c r="E147" s="354">
        <f>'AAL FY23-FY27 Budget'!D101</f>
        <v>30000</v>
      </c>
      <c r="F147" s="355">
        <f>'AAL FY23-FY27 Budget'!E101</f>
        <v>30000</v>
      </c>
      <c r="G147" s="362">
        <f>'C2 FY23-FY27 Budget'!D99</f>
        <v>0</v>
      </c>
      <c r="H147" s="363">
        <f>'C2 FY23-FY27 Budget'!E99</f>
        <v>0</v>
      </c>
      <c r="I147" s="374">
        <f>'C3 FY23-FY27 Budget '!D100</f>
        <v>0</v>
      </c>
      <c r="J147" s="375">
        <f>'C3 FY23-FY27 Budget '!E100</f>
        <v>0</v>
      </c>
      <c r="K147" s="386">
        <f>'SHES FY23-FY27 Budget '!D78</f>
        <v>0</v>
      </c>
      <c r="L147" s="387">
        <f>'SHES FY23-FY27 Budget '!E78</f>
        <v>0</v>
      </c>
      <c r="M147" s="398">
        <f>'Ector FY23-FY27 Budget '!D78</f>
        <v>40000</v>
      </c>
      <c r="N147" s="399">
        <f>'Ector FY23-FY27 Budget '!E78</f>
        <v>40000</v>
      </c>
      <c r="O147" s="409">
        <f>'Mendez FY23-FY27 Budget'!D82</f>
        <v>20000</v>
      </c>
      <c r="P147" s="410">
        <f>'Mendez FY23-FY27 Budget'!E82</f>
        <v>20000</v>
      </c>
    </row>
    <row r="148" spans="1:16" x14ac:dyDescent="0.35">
      <c r="A148" s="444" t="s">
        <v>124</v>
      </c>
      <c r="B148" s="524" t="s">
        <v>41</v>
      </c>
      <c r="C148" s="523">
        <v>0</v>
      </c>
      <c r="D148" s="458">
        <v>0</v>
      </c>
      <c r="E148" s="354">
        <f>'AAL FY23-FY27 Budget'!D102</f>
        <v>7500</v>
      </c>
      <c r="F148" s="355">
        <f>'AAL FY23-FY27 Budget'!E102</f>
        <v>10450</v>
      </c>
      <c r="G148" s="362">
        <f>'C2 FY23-FY27 Budget'!D100</f>
        <v>5000</v>
      </c>
      <c r="H148" s="363">
        <f>'C2 FY23-FY27 Budget'!E100</f>
        <v>8700</v>
      </c>
      <c r="I148" s="374">
        <f>'C3 FY23-FY27 Budget '!D101</f>
        <v>5000</v>
      </c>
      <c r="J148" s="375">
        <f>'C3 FY23-FY27 Budget '!E101</f>
        <v>8450</v>
      </c>
      <c r="K148" s="386">
        <f>'SHES FY23-FY27 Budget '!D70</f>
        <v>15000</v>
      </c>
      <c r="L148" s="387">
        <f>'SHES FY23-FY27 Budget '!E70</f>
        <v>15000</v>
      </c>
      <c r="M148" s="398">
        <f>'Ector FY23-FY27 Budget '!D70</f>
        <v>20000</v>
      </c>
      <c r="N148" s="399">
        <f>'Ector FY23-FY27 Budget '!E70</f>
        <v>20000</v>
      </c>
      <c r="O148" s="409">
        <f>'Mendez FY23-FY27 Budget'!D74</f>
        <v>20000</v>
      </c>
      <c r="P148" s="410">
        <f>'Mendez FY23-FY27 Budget'!E74</f>
        <v>20000</v>
      </c>
    </row>
    <row r="149" spans="1:16" x14ac:dyDescent="0.35">
      <c r="A149" s="444" t="s">
        <v>124</v>
      </c>
      <c r="B149" s="524" t="s">
        <v>133</v>
      </c>
      <c r="C149" s="523">
        <v>0</v>
      </c>
      <c r="D149" s="458">
        <v>0</v>
      </c>
      <c r="E149" s="354">
        <f>'AAL FY23-FY27 Budget'!D103</f>
        <v>3000</v>
      </c>
      <c r="F149" s="355">
        <f>'AAL FY23-FY27 Budget'!E103</f>
        <v>3000</v>
      </c>
      <c r="G149" s="362">
        <f>'C2 FY23-FY27 Budget'!D101</f>
        <v>0</v>
      </c>
      <c r="H149" s="363">
        <f>'C2 FY23-FY27 Budget'!E101</f>
        <v>0</v>
      </c>
      <c r="I149" s="374">
        <f>'C3 FY23-FY27 Budget '!D102</f>
        <v>500</v>
      </c>
      <c r="J149" s="375">
        <f>'C3 FY23-FY27 Budget '!E102</f>
        <v>500</v>
      </c>
      <c r="K149" s="386">
        <v>0</v>
      </c>
      <c r="L149" s="387">
        <v>0</v>
      </c>
      <c r="M149" s="398">
        <v>0</v>
      </c>
      <c r="N149" s="399">
        <v>0</v>
      </c>
      <c r="O149" s="409">
        <v>0</v>
      </c>
      <c r="P149" s="410">
        <v>0</v>
      </c>
    </row>
    <row r="150" spans="1:16" x14ac:dyDescent="0.35">
      <c r="A150" s="444" t="s">
        <v>124</v>
      </c>
      <c r="B150" s="524" t="s">
        <v>134</v>
      </c>
      <c r="C150" s="523">
        <v>0</v>
      </c>
      <c r="D150" s="458">
        <v>0</v>
      </c>
      <c r="E150" s="354">
        <f>'AAL FY23-FY27 Budget'!D104</f>
        <v>5000</v>
      </c>
      <c r="F150" s="355">
        <f>'AAL FY23-FY27 Budget'!E104</f>
        <v>5000</v>
      </c>
      <c r="G150" s="362">
        <f>'C2 FY23-FY27 Budget'!D102</f>
        <v>0</v>
      </c>
      <c r="H150" s="363">
        <f>'C2 FY23-FY27 Budget'!E102</f>
        <v>0</v>
      </c>
      <c r="I150" s="374">
        <f>'C3 FY23-FY27 Budget '!D103</f>
        <v>0</v>
      </c>
      <c r="J150" s="375">
        <f>'C3 FY23-FY27 Budget '!E103</f>
        <v>0</v>
      </c>
      <c r="K150" s="386">
        <v>0</v>
      </c>
      <c r="L150" s="387">
        <v>0</v>
      </c>
      <c r="M150" s="398">
        <v>0</v>
      </c>
      <c r="N150" s="399">
        <v>0</v>
      </c>
      <c r="O150" s="409">
        <v>0</v>
      </c>
      <c r="P150" s="410">
        <v>0</v>
      </c>
    </row>
    <row r="151" spans="1:16" x14ac:dyDescent="0.35">
      <c r="A151" s="444" t="s">
        <v>124</v>
      </c>
      <c r="B151" s="524" t="s">
        <v>135</v>
      </c>
      <c r="C151" s="523">
        <v>0</v>
      </c>
      <c r="D151" s="458">
        <v>0</v>
      </c>
      <c r="E151" s="354">
        <f>'AAL FY23-FY27 Budget'!D105</f>
        <v>1550</v>
      </c>
      <c r="F151" s="355">
        <f>'AAL FY23-FY27 Budget'!E105</f>
        <v>1550</v>
      </c>
      <c r="G151" s="362">
        <f>'C2 FY23-FY27 Budget'!D103</f>
        <v>1550</v>
      </c>
      <c r="H151" s="363">
        <f>'C2 FY23-FY27 Budget'!E103</f>
        <v>1550</v>
      </c>
      <c r="I151" s="374">
        <f>'C3 FY23-FY27 Budget '!D104</f>
        <v>3000</v>
      </c>
      <c r="J151" s="375">
        <f>'C3 FY23-FY27 Budget '!E104</f>
        <v>3000</v>
      </c>
      <c r="K151" s="386">
        <f>'SHES FY23-FY27 Budget '!D69</f>
        <v>300</v>
      </c>
      <c r="L151" s="387">
        <f>'SHES FY23-FY27 Budget '!E69</f>
        <v>300</v>
      </c>
      <c r="M151" s="398">
        <f>'Ector FY23-FY27 Budget '!D69</f>
        <v>0</v>
      </c>
      <c r="N151" s="399">
        <f>'Ector FY23-FY27 Budget '!E69</f>
        <v>0</v>
      </c>
      <c r="O151" s="409">
        <f>'Mendez FY23-FY27 Budget'!D73</f>
        <v>0</v>
      </c>
      <c r="P151" s="410">
        <f>'Mendez FY23-FY27 Budget'!E73</f>
        <v>0</v>
      </c>
    </row>
    <row r="152" spans="1:16" x14ac:dyDescent="0.35">
      <c r="A152" s="444" t="s">
        <v>124</v>
      </c>
      <c r="B152" s="524" t="s">
        <v>136</v>
      </c>
      <c r="C152" s="523">
        <v>0</v>
      </c>
      <c r="D152" s="458">
        <v>0</v>
      </c>
      <c r="E152" s="354">
        <f>'AAL FY23-FY27 Budget'!D106</f>
        <v>75000</v>
      </c>
      <c r="F152" s="355">
        <f>'AAL FY23-FY27 Budget'!E106</f>
        <v>75000</v>
      </c>
      <c r="G152" s="362">
        <f>'C2 FY23-FY27 Budget'!D104</f>
        <v>20000</v>
      </c>
      <c r="H152" s="363">
        <f>'C2 FY23-FY27 Budget'!E104</f>
        <v>20000</v>
      </c>
      <c r="I152" s="374">
        <f>'C3 FY23-FY27 Budget '!D105</f>
        <v>32000</v>
      </c>
      <c r="J152" s="375">
        <f>'C3 FY23-FY27 Budget '!E105</f>
        <v>32000</v>
      </c>
      <c r="K152" s="386">
        <v>0</v>
      </c>
      <c r="L152" s="387">
        <v>0</v>
      </c>
      <c r="M152" s="398">
        <v>0</v>
      </c>
      <c r="N152" s="399">
        <v>0</v>
      </c>
      <c r="O152" s="409">
        <v>0</v>
      </c>
      <c r="P152" s="410">
        <v>0</v>
      </c>
    </row>
    <row r="153" spans="1:16" ht="15" thickBot="1" x14ac:dyDescent="0.4">
      <c r="A153" s="445" t="s">
        <v>124</v>
      </c>
      <c r="B153" s="524" t="s">
        <v>124</v>
      </c>
      <c r="C153" s="523">
        <v>0</v>
      </c>
      <c r="D153" s="458">
        <v>0</v>
      </c>
      <c r="E153" s="354">
        <f>'AAL FY23-FY27 Budget'!D107</f>
        <v>10000</v>
      </c>
      <c r="F153" s="355">
        <f>'AAL FY23-FY27 Budget'!E107</f>
        <v>10000</v>
      </c>
      <c r="G153" s="362">
        <v>0</v>
      </c>
      <c r="H153" s="363">
        <v>0</v>
      </c>
      <c r="I153" s="374">
        <f>'C3 FY23-FY27 Budget '!D106</f>
        <v>0</v>
      </c>
      <c r="J153" s="375">
        <f>'C3 FY23-FY27 Budget '!E106</f>
        <v>0</v>
      </c>
      <c r="K153" s="386">
        <v>0</v>
      </c>
      <c r="L153" s="387">
        <v>0</v>
      </c>
      <c r="M153" s="398">
        <v>0</v>
      </c>
      <c r="N153" s="399">
        <v>0</v>
      </c>
      <c r="O153" s="409">
        <v>0</v>
      </c>
      <c r="P153" s="410">
        <v>0</v>
      </c>
    </row>
    <row r="154" spans="1:16" x14ac:dyDescent="0.35">
      <c r="A154" s="444" t="s">
        <v>137</v>
      </c>
      <c r="B154" s="331" t="s">
        <v>138</v>
      </c>
      <c r="C154" s="344">
        <v>0</v>
      </c>
      <c r="D154" s="458">
        <v>0</v>
      </c>
      <c r="E154" s="354">
        <f>'AAL FY23-FY27 Budget'!D108</f>
        <v>110000</v>
      </c>
      <c r="F154" s="355">
        <f>'AAL FY23-FY27 Budget'!E108</f>
        <v>110000</v>
      </c>
      <c r="G154" s="362">
        <f>'C2 FY23-FY27 Budget'!D106</f>
        <v>28000</v>
      </c>
      <c r="H154" s="363">
        <f>'C2 FY23-FY27 Budget'!E106</f>
        <v>28000</v>
      </c>
      <c r="I154" s="374">
        <f>'C3 FY23-FY27 Budget '!D107</f>
        <v>63000</v>
      </c>
      <c r="J154" s="375">
        <f>'C3 FY23-FY27 Budget '!E107</f>
        <v>63000</v>
      </c>
      <c r="K154" s="386">
        <v>0</v>
      </c>
      <c r="L154" s="387">
        <v>0</v>
      </c>
      <c r="M154" s="398">
        <v>0</v>
      </c>
      <c r="N154" s="399">
        <v>0</v>
      </c>
      <c r="O154" s="409">
        <v>0</v>
      </c>
      <c r="P154" s="410">
        <v>0</v>
      </c>
    </row>
    <row r="155" spans="1:16" x14ac:dyDescent="0.35">
      <c r="A155" s="444" t="s">
        <v>137</v>
      </c>
      <c r="B155" s="328" t="s">
        <v>139</v>
      </c>
      <c r="C155" s="344">
        <v>0</v>
      </c>
      <c r="D155" s="458">
        <v>0</v>
      </c>
      <c r="E155" s="354">
        <f>'AAL FY23-FY27 Budget'!D109</f>
        <v>32000</v>
      </c>
      <c r="F155" s="355">
        <f>'AAL FY23-FY27 Budget'!E109</f>
        <v>32000</v>
      </c>
      <c r="G155" s="362">
        <f>'C2 FY23-FY27 Budget'!D107</f>
        <v>0</v>
      </c>
      <c r="H155" s="363">
        <f>'C2 FY23-FY27 Budget'!E107</f>
        <v>0</v>
      </c>
      <c r="I155" s="374">
        <f>'C3 FY23-FY27 Budget '!D108</f>
        <v>34000</v>
      </c>
      <c r="J155" s="375">
        <f>'C3 FY23-FY27 Budget '!E108</f>
        <v>34000</v>
      </c>
      <c r="K155" s="386">
        <v>0</v>
      </c>
      <c r="L155" s="387">
        <v>0</v>
      </c>
      <c r="M155" s="398">
        <v>0</v>
      </c>
      <c r="N155" s="399">
        <v>0</v>
      </c>
      <c r="O155" s="409">
        <v>0</v>
      </c>
      <c r="P155" s="410">
        <v>0</v>
      </c>
    </row>
    <row r="156" spans="1:16" x14ac:dyDescent="0.35">
      <c r="A156" s="452" t="s">
        <v>248</v>
      </c>
      <c r="B156" s="16" t="s">
        <v>511</v>
      </c>
      <c r="C156" s="344">
        <v>0</v>
      </c>
      <c r="D156" s="458">
        <v>0</v>
      </c>
      <c r="E156" s="354">
        <v>0</v>
      </c>
      <c r="F156" s="355">
        <v>0</v>
      </c>
      <c r="G156" s="362">
        <v>0</v>
      </c>
      <c r="H156" s="363">
        <v>0</v>
      </c>
      <c r="I156" s="374">
        <v>0</v>
      </c>
      <c r="J156" s="375">
        <v>0</v>
      </c>
      <c r="K156" s="386">
        <f>'SHES FY23-FY27 Budget '!D47</f>
        <v>40000</v>
      </c>
      <c r="L156" s="387">
        <f>'SHES FY23-FY27 Budget '!E47</f>
        <v>48000</v>
      </c>
      <c r="M156" s="398">
        <f>'Ector FY23-FY27 Budget '!D47</f>
        <v>1269000</v>
      </c>
      <c r="N156" s="399">
        <f>'Ector FY23-FY27 Budget '!E47</f>
        <v>1269000</v>
      </c>
      <c r="O156" s="409">
        <f>'Mendez FY23-FY27 Budget'!D51</f>
        <v>100000</v>
      </c>
      <c r="P156" s="410">
        <f>'Mendez FY23-FY27 Budget'!E51</f>
        <v>100000</v>
      </c>
    </row>
    <row r="157" spans="1:16" x14ac:dyDescent="0.35">
      <c r="A157" s="452" t="s">
        <v>248</v>
      </c>
      <c r="B157" s="16" t="s">
        <v>512</v>
      </c>
      <c r="C157" s="344">
        <v>0</v>
      </c>
      <c r="D157" s="458">
        <v>0</v>
      </c>
      <c r="E157" s="354">
        <v>0</v>
      </c>
      <c r="F157" s="355">
        <v>0</v>
      </c>
      <c r="G157" s="362">
        <v>0</v>
      </c>
      <c r="H157" s="363">
        <v>0</v>
      </c>
      <c r="I157" s="374">
        <v>0</v>
      </c>
      <c r="J157" s="375">
        <v>0</v>
      </c>
      <c r="K157" s="386">
        <f>'SHES FY23-FY27 Budget '!D48</f>
        <v>265000</v>
      </c>
      <c r="L157" s="387">
        <f>'SHES FY23-FY27 Budget '!E48</f>
        <v>251372</v>
      </c>
      <c r="M157" s="398">
        <f>'Ector FY23-FY27 Budget '!D48</f>
        <v>598050</v>
      </c>
      <c r="N157" s="399">
        <f>'Ector FY23-FY27 Budget '!E48</f>
        <v>598050</v>
      </c>
      <c r="O157" s="409">
        <f>'Mendez FY23-FY27 Budget'!D52</f>
        <v>80000</v>
      </c>
      <c r="P157" s="410">
        <f>'Mendez FY23-FY27 Budget'!E52</f>
        <v>80000</v>
      </c>
    </row>
    <row r="158" spans="1:16" x14ac:dyDescent="0.35">
      <c r="A158" s="452"/>
      <c r="B158" s="16" t="s">
        <v>513</v>
      </c>
      <c r="C158" s="344">
        <v>0</v>
      </c>
      <c r="D158" s="458">
        <v>0</v>
      </c>
      <c r="E158" s="354">
        <v>0</v>
      </c>
      <c r="F158" s="355">
        <v>0</v>
      </c>
      <c r="G158" s="362">
        <v>0</v>
      </c>
      <c r="H158" s="363">
        <v>0</v>
      </c>
      <c r="I158" s="374">
        <v>0</v>
      </c>
      <c r="J158" s="375">
        <v>0</v>
      </c>
      <c r="K158" s="386">
        <f>'SHES FY23-FY27 Budget '!D73</f>
        <v>5500</v>
      </c>
      <c r="L158" s="387">
        <f>'SHES FY23-FY27 Budget '!E73</f>
        <v>5500</v>
      </c>
      <c r="M158" s="398">
        <f>'Ector FY23-FY27 Budget '!D73</f>
        <v>80000</v>
      </c>
      <c r="N158" s="399">
        <f>'Ector FY23-FY27 Budget '!E73</f>
        <v>80000</v>
      </c>
      <c r="O158" s="409">
        <f>'Mendez FY23-FY27 Budget'!D77</f>
        <v>20000</v>
      </c>
      <c r="P158" s="410">
        <f>'Mendez FY23-FY27 Budget'!E77</f>
        <v>20000</v>
      </c>
    </row>
    <row r="159" spans="1:16" x14ac:dyDescent="0.35">
      <c r="A159" s="453"/>
      <c r="B159" t="s">
        <v>419</v>
      </c>
      <c r="C159" s="344">
        <v>0</v>
      </c>
      <c r="D159" s="458">
        <v>0</v>
      </c>
      <c r="E159" s="354">
        <v>0</v>
      </c>
      <c r="F159" s="355">
        <v>0</v>
      </c>
      <c r="G159" s="362">
        <v>0</v>
      </c>
      <c r="H159" s="363">
        <v>0</v>
      </c>
      <c r="I159" s="374">
        <v>0</v>
      </c>
      <c r="J159" s="375">
        <v>0</v>
      </c>
      <c r="K159" s="386">
        <f>'SHES FY23-FY27 Budget '!D74</f>
        <v>5000</v>
      </c>
      <c r="L159" s="387">
        <f>'SHES FY23-FY27 Budget '!E74</f>
        <v>5000</v>
      </c>
      <c r="M159" s="398">
        <f>'Ector FY23-FY27 Budget '!D73</f>
        <v>80000</v>
      </c>
      <c r="N159" s="399">
        <f>'Ector FY23-FY27 Budget '!E73</f>
        <v>80000</v>
      </c>
      <c r="O159" s="409">
        <f>'Mendez FY23-FY27 Budget'!D78</f>
        <v>0</v>
      </c>
      <c r="P159" s="410">
        <f>'Mendez FY23-FY27 Budget'!E78</f>
        <v>0</v>
      </c>
    </row>
    <row r="160" spans="1:16" x14ac:dyDescent="0.35">
      <c r="A160" s="444" t="s">
        <v>137</v>
      </c>
      <c r="B160" s="328" t="s">
        <v>140</v>
      </c>
      <c r="C160" s="344">
        <v>0</v>
      </c>
      <c r="D160" s="458">
        <v>0</v>
      </c>
      <c r="E160" s="354">
        <f>'AAL FY23-FY27 Budget'!D110</f>
        <v>18000</v>
      </c>
      <c r="F160" s="355">
        <f>'AAL FY23-FY27 Budget'!E110</f>
        <v>18000</v>
      </c>
      <c r="G160" s="362">
        <f>'C2 FY23-FY27 Budget'!D108</f>
        <v>0</v>
      </c>
      <c r="H160" s="363">
        <f>'C2 FY23-FY27 Budget'!E108</f>
        <v>0</v>
      </c>
      <c r="I160" s="374">
        <f>'C3 FY23-FY27 Budget '!D109</f>
        <v>52500</v>
      </c>
      <c r="J160" s="375">
        <f>'C3 FY23-FY27 Budget '!E109</f>
        <v>52500</v>
      </c>
      <c r="K160" s="386">
        <v>0</v>
      </c>
      <c r="L160" s="387">
        <v>0</v>
      </c>
      <c r="M160" s="398">
        <v>0</v>
      </c>
      <c r="N160" s="399">
        <v>0</v>
      </c>
      <c r="O160" s="409">
        <v>0</v>
      </c>
      <c r="P160" s="410">
        <v>0</v>
      </c>
    </row>
    <row r="161" spans="1:16" x14ac:dyDescent="0.35">
      <c r="A161" s="444" t="s">
        <v>137</v>
      </c>
      <c r="B161" s="328" t="s">
        <v>141</v>
      </c>
      <c r="C161" s="344">
        <v>0</v>
      </c>
      <c r="D161" s="458">
        <v>0</v>
      </c>
      <c r="E161" s="354">
        <f>'AAL FY23-FY27 Budget'!D111</f>
        <v>270000</v>
      </c>
      <c r="F161" s="355">
        <f>'AAL FY23-FY27 Budget'!E111</f>
        <v>270000</v>
      </c>
      <c r="G161" s="362">
        <f>'C2 FY23-FY27 Budget'!D109</f>
        <v>0</v>
      </c>
      <c r="H161" s="363">
        <f>'C2 FY23-FY27 Budget'!E109</f>
        <v>0</v>
      </c>
      <c r="I161" s="374">
        <f>'C3 FY23-FY27 Budget '!D110</f>
        <v>65000</v>
      </c>
      <c r="J161" s="375">
        <f>'C3 FY23-FY27 Budget '!E110</f>
        <v>65000</v>
      </c>
      <c r="K161" s="386">
        <v>0</v>
      </c>
      <c r="L161" s="387">
        <v>0</v>
      </c>
      <c r="M161" s="398">
        <v>0</v>
      </c>
      <c r="N161" s="399">
        <v>0</v>
      </c>
      <c r="O161" s="409">
        <v>0</v>
      </c>
      <c r="P161" s="410">
        <v>0</v>
      </c>
    </row>
    <row r="162" spans="1:16" x14ac:dyDescent="0.35">
      <c r="A162" s="444" t="s">
        <v>137</v>
      </c>
      <c r="B162" s="328" t="s">
        <v>142</v>
      </c>
      <c r="C162" s="344">
        <v>0</v>
      </c>
      <c r="D162" s="458">
        <v>0</v>
      </c>
      <c r="E162" s="354">
        <f>'AAL FY23-FY27 Budget'!D112</f>
        <v>0</v>
      </c>
      <c r="F162" s="355">
        <f>'AAL FY23-FY27 Budget'!E112</f>
        <v>0</v>
      </c>
      <c r="G162" s="362">
        <f>'C2 FY23-FY27 Budget'!D110</f>
        <v>0</v>
      </c>
      <c r="H162" s="363">
        <f>'C2 FY23-FY27 Budget'!E110</f>
        <v>0</v>
      </c>
      <c r="I162" s="374">
        <f>'C3 FY23-FY27 Budget '!D111</f>
        <v>10000</v>
      </c>
      <c r="J162" s="375">
        <f>'C3 FY23-FY27 Budget '!E111</f>
        <v>10000</v>
      </c>
      <c r="K162" s="386">
        <v>0</v>
      </c>
      <c r="L162" s="387">
        <v>0</v>
      </c>
      <c r="M162" s="398">
        <v>0</v>
      </c>
      <c r="N162" s="399">
        <v>0</v>
      </c>
      <c r="O162" s="409">
        <v>0</v>
      </c>
      <c r="P162" s="410">
        <v>0</v>
      </c>
    </row>
    <row r="163" spans="1:16" x14ac:dyDescent="0.35">
      <c r="A163" s="444" t="s">
        <v>137</v>
      </c>
      <c r="B163" s="328" t="s">
        <v>143</v>
      </c>
      <c r="C163" s="344">
        <v>0</v>
      </c>
      <c r="D163" s="458">
        <v>0</v>
      </c>
      <c r="E163" s="354">
        <f>'AAL FY23-FY27 Budget'!D113</f>
        <v>275000</v>
      </c>
      <c r="F163" s="355">
        <f>'AAL FY23-FY27 Budget'!E113</f>
        <v>275000</v>
      </c>
      <c r="G163" s="362">
        <f>'C2 FY23-FY27 Budget'!D111</f>
        <v>66000</v>
      </c>
      <c r="H163" s="363">
        <f>'C2 FY23-FY27 Budget'!E111</f>
        <v>66000</v>
      </c>
      <c r="I163" s="374">
        <f>'C3 FY23-FY27 Budget '!D112</f>
        <v>70000</v>
      </c>
      <c r="J163" s="375">
        <f>'C3 FY23-FY27 Budget '!E112</f>
        <v>70000</v>
      </c>
      <c r="K163" s="386">
        <f>'SHES FY23-FY27 Budget '!D80</f>
        <v>0</v>
      </c>
      <c r="L163" s="387">
        <f>'SHES FY23-FY27 Budget '!E80</f>
        <v>0</v>
      </c>
      <c r="M163" s="398">
        <f>'Ector FY23-FY27 Budget '!D80</f>
        <v>338000</v>
      </c>
      <c r="N163" s="399">
        <f>'Ector FY23-FY27 Budget '!E80</f>
        <v>338000</v>
      </c>
      <c r="O163" s="409">
        <f>'Mendez FY23-FY27 Budget'!D84</f>
        <v>150000</v>
      </c>
      <c r="P163" s="410">
        <f>'Mendez FY23-FY27 Budget'!E84</f>
        <v>150000</v>
      </c>
    </row>
    <row r="164" spans="1:16" x14ac:dyDescent="0.35">
      <c r="A164" s="444" t="s">
        <v>137</v>
      </c>
      <c r="B164" s="328" t="s">
        <v>144</v>
      </c>
      <c r="C164" s="344">
        <v>0</v>
      </c>
      <c r="D164" s="458">
        <v>0</v>
      </c>
      <c r="E164" s="354">
        <f>'AAL FY23-FY27 Budget'!D114</f>
        <v>25000</v>
      </c>
      <c r="F164" s="355">
        <f>'AAL FY23-FY27 Budget'!E114</f>
        <v>25000</v>
      </c>
      <c r="G164" s="362">
        <f>'C2 FY23-FY27 Budget'!D112</f>
        <v>5750</v>
      </c>
      <c r="H164" s="363">
        <f>'C2 FY23-FY27 Budget'!E112</f>
        <v>5750</v>
      </c>
      <c r="I164" s="374">
        <f>'C3 FY23-FY27 Budget '!D113</f>
        <v>6000</v>
      </c>
      <c r="J164" s="375">
        <f>'C3 FY23-FY27 Budget '!E113</f>
        <v>6000</v>
      </c>
      <c r="K164" s="386">
        <v>0</v>
      </c>
      <c r="L164" s="387">
        <v>0</v>
      </c>
      <c r="M164" s="398">
        <v>0</v>
      </c>
      <c r="N164" s="399">
        <v>0</v>
      </c>
      <c r="O164" s="409">
        <v>0</v>
      </c>
      <c r="P164" s="410">
        <v>0</v>
      </c>
    </row>
    <row r="165" spans="1:16" x14ac:dyDescent="0.35">
      <c r="A165" s="444" t="s">
        <v>137</v>
      </c>
      <c r="B165" s="328" t="s">
        <v>145</v>
      </c>
      <c r="C165" s="344">
        <v>0</v>
      </c>
      <c r="D165" s="458">
        <v>0</v>
      </c>
      <c r="E165" s="354">
        <f>'AAL FY23-FY27 Budget'!D115</f>
        <v>0</v>
      </c>
      <c r="F165" s="355">
        <f>'AAL FY23-FY27 Budget'!E115</f>
        <v>0</v>
      </c>
      <c r="G165" s="362">
        <f>'C2 FY23-FY27 Budget'!D113</f>
        <v>5500</v>
      </c>
      <c r="H165" s="363">
        <f>'C2 FY23-FY27 Budget'!E113</f>
        <v>5500</v>
      </c>
      <c r="I165" s="374">
        <f>'C3 FY23-FY27 Budget '!D114</f>
        <v>2100</v>
      </c>
      <c r="J165" s="375">
        <f>'C3 FY23-FY27 Budget '!E114</f>
        <v>2100</v>
      </c>
      <c r="K165" s="386">
        <v>0</v>
      </c>
      <c r="L165" s="387">
        <v>0</v>
      </c>
      <c r="M165" s="398">
        <v>0</v>
      </c>
      <c r="N165" s="399">
        <v>0</v>
      </c>
      <c r="O165" s="409">
        <v>0</v>
      </c>
      <c r="P165" s="410">
        <v>0</v>
      </c>
    </row>
    <row r="166" spans="1:16" x14ac:dyDescent="0.35">
      <c r="A166" s="444" t="s">
        <v>137</v>
      </c>
      <c r="B166" s="328" t="s">
        <v>146</v>
      </c>
      <c r="C166" s="344">
        <v>0</v>
      </c>
      <c r="D166" s="458">
        <v>0</v>
      </c>
      <c r="E166" s="354">
        <f>'AAL FY23-FY27 Budget'!D116</f>
        <v>0</v>
      </c>
      <c r="F166" s="355">
        <f>'AAL FY23-FY27 Budget'!E116</f>
        <v>0</v>
      </c>
      <c r="G166" s="362">
        <f>'C2 FY23-FY27 Budget'!D114</f>
        <v>8000</v>
      </c>
      <c r="H166" s="363">
        <f>'C2 FY23-FY27 Budget'!E114</f>
        <v>8000</v>
      </c>
      <c r="I166" s="374">
        <f>'C3 FY23-FY27 Budget '!D115</f>
        <v>45000</v>
      </c>
      <c r="J166" s="375">
        <f>'C3 FY23-FY27 Budget '!E115</f>
        <v>45000</v>
      </c>
      <c r="K166" s="386">
        <v>0</v>
      </c>
      <c r="L166" s="387">
        <v>0</v>
      </c>
      <c r="M166" s="398">
        <v>0</v>
      </c>
      <c r="N166" s="399">
        <v>0</v>
      </c>
      <c r="O166" s="409">
        <v>0</v>
      </c>
      <c r="P166" s="410">
        <v>0</v>
      </c>
    </row>
    <row r="167" spans="1:16" x14ac:dyDescent="0.35">
      <c r="A167" s="444" t="s">
        <v>137</v>
      </c>
      <c r="B167" s="328" t="s">
        <v>147</v>
      </c>
      <c r="C167" s="344">
        <v>0</v>
      </c>
      <c r="D167" s="458">
        <v>0</v>
      </c>
      <c r="E167" s="354">
        <f>'AAL FY23-FY27 Budget'!D117</f>
        <v>40000</v>
      </c>
      <c r="F167" s="355">
        <f>'AAL FY23-FY27 Budget'!E117</f>
        <v>40000</v>
      </c>
      <c r="G167" s="362">
        <f>'C2 FY23-FY27 Budget'!D115</f>
        <v>10000</v>
      </c>
      <c r="H167" s="363">
        <f>'C2 FY23-FY27 Budget'!E115</f>
        <v>10000</v>
      </c>
      <c r="I167" s="374">
        <f>'C3 FY23-FY27 Budget '!D116</f>
        <v>10000</v>
      </c>
      <c r="J167" s="375">
        <f>'C3 FY23-FY27 Budget '!E116</f>
        <v>10000</v>
      </c>
      <c r="K167" s="386">
        <v>0</v>
      </c>
      <c r="L167" s="387">
        <v>0</v>
      </c>
      <c r="M167" s="398">
        <v>0</v>
      </c>
      <c r="N167" s="399">
        <v>0</v>
      </c>
      <c r="O167" s="409">
        <v>0</v>
      </c>
      <c r="P167" s="410">
        <v>0</v>
      </c>
    </row>
    <row r="168" spans="1:16" x14ac:dyDescent="0.35">
      <c r="A168" s="444" t="s">
        <v>137</v>
      </c>
      <c r="B168" s="328" t="s">
        <v>148</v>
      </c>
      <c r="C168" s="344">
        <v>0</v>
      </c>
      <c r="D168" s="458">
        <v>0</v>
      </c>
      <c r="E168" s="354">
        <f>'AAL FY23-FY27 Budget'!D118+'AAL FY23-FY27 Budget'!E119</f>
        <v>1364284</v>
      </c>
      <c r="F168" s="355">
        <f>'AAL FY23-FY27 Budget'!E118+'AAL FY23-FY27 Budget'!E119</f>
        <v>1364284</v>
      </c>
      <c r="G168" s="362">
        <f>'C2 FY23-FY27 Budget'!D116</f>
        <v>250000</v>
      </c>
      <c r="H168" s="363">
        <f>'C2 FY23-FY27 Budget'!E116</f>
        <v>250000</v>
      </c>
      <c r="I168" s="374">
        <f>'C3 FY23-FY27 Budget '!D117</f>
        <v>531831</v>
      </c>
      <c r="J168" s="375">
        <f>'C3 FY23-FY27 Budget '!E117</f>
        <v>531831</v>
      </c>
      <c r="K168" s="386">
        <v>0</v>
      </c>
      <c r="L168" s="387">
        <v>0</v>
      </c>
      <c r="M168" s="398">
        <v>0</v>
      </c>
      <c r="N168" s="399">
        <v>0</v>
      </c>
      <c r="O168" s="409">
        <v>0</v>
      </c>
      <c r="P168" s="410">
        <v>0</v>
      </c>
    </row>
    <row r="169" spans="1:16" x14ac:dyDescent="0.35">
      <c r="A169" s="444" t="s">
        <v>137</v>
      </c>
      <c r="B169" s="328" t="s">
        <v>151</v>
      </c>
      <c r="C169" s="344">
        <v>0</v>
      </c>
      <c r="D169" s="458">
        <v>0</v>
      </c>
      <c r="E169" s="354">
        <f>'AAL FY23-FY27 Budget'!D120</f>
        <v>7000</v>
      </c>
      <c r="F169" s="355">
        <f>'AAL FY23-FY27 Budget'!E120</f>
        <v>7000</v>
      </c>
      <c r="G169" s="362">
        <f>'C2 FY23-FY27 Budget'!D119</f>
        <v>0</v>
      </c>
      <c r="H169" s="363">
        <f>'C2 FY23-FY27 Budget'!E119</f>
        <v>0</v>
      </c>
      <c r="I169" s="374">
        <f>'C3 FY23-FY27 Budget '!D120</f>
        <v>0</v>
      </c>
      <c r="J169" s="375">
        <f>'C3 FY23-FY27 Budget '!E120</f>
        <v>0</v>
      </c>
      <c r="K169" s="386">
        <v>0</v>
      </c>
      <c r="L169" s="387">
        <v>0</v>
      </c>
      <c r="M169" s="398">
        <v>0</v>
      </c>
      <c r="N169" s="399">
        <v>0</v>
      </c>
      <c r="O169" s="409">
        <v>0</v>
      </c>
      <c r="P169" s="410">
        <v>0</v>
      </c>
    </row>
    <row r="170" spans="1:16" x14ac:dyDescent="0.35">
      <c r="A170" s="444" t="s">
        <v>137</v>
      </c>
      <c r="B170" s="328" t="s">
        <v>152</v>
      </c>
      <c r="C170" s="344">
        <v>0</v>
      </c>
      <c r="D170" s="458">
        <v>0</v>
      </c>
      <c r="E170" s="354">
        <f>'AAL FY23-FY27 Budget'!D121</f>
        <v>1500</v>
      </c>
      <c r="F170" s="355">
        <f>'AAL FY23-FY27 Budget'!E121</f>
        <v>1500</v>
      </c>
      <c r="G170" s="362">
        <f>'C2 FY23-FY27 Budget'!D120</f>
        <v>4400</v>
      </c>
      <c r="H170" s="363">
        <f>'C2 FY23-FY27 Budget'!E120</f>
        <v>4400</v>
      </c>
      <c r="I170" s="374">
        <f>'C3 FY23-FY27 Budget '!D121</f>
        <v>0</v>
      </c>
      <c r="J170" s="375">
        <f>'C3 FY23-FY27 Budget '!E121</f>
        <v>0</v>
      </c>
      <c r="K170" s="386">
        <v>0</v>
      </c>
      <c r="L170" s="387">
        <v>0</v>
      </c>
      <c r="M170" s="398">
        <v>0</v>
      </c>
      <c r="N170" s="399">
        <v>0</v>
      </c>
      <c r="O170" s="409">
        <v>0</v>
      </c>
      <c r="P170" s="410">
        <v>0</v>
      </c>
    </row>
    <row r="171" spans="1:16" x14ac:dyDescent="0.35">
      <c r="A171" s="454"/>
      <c r="B171" s="332" t="s">
        <v>514</v>
      </c>
      <c r="C171" s="344">
        <f>'Network FY23-FY27  Budget'!D41</f>
        <v>5000</v>
      </c>
      <c r="D171" s="458">
        <f>'Network FY23-FY27  Budget'!E41</f>
        <v>5000</v>
      </c>
      <c r="E171" s="354">
        <v>0</v>
      </c>
      <c r="F171" s="355">
        <v>0</v>
      </c>
      <c r="G171" s="362">
        <v>0</v>
      </c>
      <c r="H171" s="363">
        <v>0</v>
      </c>
      <c r="I171" s="374">
        <v>0</v>
      </c>
      <c r="J171" s="375">
        <v>0</v>
      </c>
      <c r="K171" s="386">
        <v>0</v>
      </c>
      <c r="L171" s="387">
        <v>0</v>
      </c>
      <c r="M171" s="398">
        <v>0</v>
      </c>
      <c r="N171" s="399">
        <v>0</v>
      </c>
      <c r="O171" s="409">
        <v>0</v>
      </c>
      <c r="P171" s="410">
        <v>0</v>
      </c>
    </row>
    <row r="172" spans="1:16" x14ac:dyDescent="0.35">
      <c r="A172" s="454"/>
      <c r="B172" s="332" t="s">
        <v>515</v>
      </c>
      <c r="C172" s="344">
        <f>'Network FY23-FY27  Budget'!D42</f>
        <v>2000</v>
      </c>
      <c r="D172" s="458">
        <f>'Network FY23-FY27  Budget'!E42</f>
        <v>2000</v>
      </c>
      <c r="E172" s="354">
        <v>0</v>
      </c>
      <c r="F172" s="355">
        <v>0</v>
      </c>
      <c r="G172" s="362">
        <v>0</v>
      </c>
      <c r="H172" s="363">
        <v>0</v>
      </c>
      <c r="I172" s="374">
        <v>0</v>
      </c>
      <c r="J172" s="375">
        <v>0</v>
      </c>
      <c r="K172" s="386">
        <v>0</v>
      </c>
      <c r="L172" s="387">
        <v>0</v>
      </c>
      <c r="M172" s="398">
        <v>0</v>
      </c>
      <c r="N172" s="399">
        <v>0</v>
      </c>
      <c r="O172" s="409">
        <v>0</v>
      </c>
      <c r="P172" s="410">
        <v>0</v>
      </c>
    </row>
    <row r="173" spans="1:16" x14ac:dyDescent="0.35">
      <c r="A173" s="454"/>
      <c r="B173" s="332" t="s">
        <v>516</v>
      </c>
      <c r="C173" s="344">
        <f>'Network FY23-FY27  Budget'!D43</f>
        <v>20000</v>
      </c>
      <c r="D173" s="458">
        <f>'Network FY23-FY27  Budget'!E43</f>
        <v>20000</v>
      </c>
      <c r="E173" s="354">
        <v>0</v>
      </c>
      <c r="F173" s="355">
        <v>0</v>
      </c>
      <c r="G173" s="362">
        <v>0</v>
      </c>
      <c r="H173" s="363">
        <v>0</v>
      </c>
      <c r="I173" s="374">
        <v>0</v>
      </c>
      <c r="J173" s="375">
        <v>0</v>
      </c>
      <c r="K173" s="386">
        <v>0</v>
      </c>
      <c r="L173" s="387">
        <v>0</v>
      </c>
      <c r="M173" s="398">
        <v>0</v>
      </c>
      <c r="N173" s="399">
        <v>0</v>
      </c>
      <c r="O173" s="409">
        <v>0</v>
      </c>
      <c r="P173" s="410">
        <v>0</v>
      </c>
    </row>
    <row r="174" spans="1:16" x14ac:dyDescent="0.35">
      <c r="A174" s="454"/>
      <c r="B174" s="332" t="s">
        <v>432</v>
      </c>
      <c r="C174" s="344">
        <f>'Network FY23-FY27  Budget'!D44</f>
        <v>10000</v>
      </c>
      <c r="D174" s="458">
        <f>'Network FY23-FY27  Budget'!E44</f>
        <v>10000</v>
      </c>
      <c r="E174" s="354">
        <v>0</v>
      </c>
      <c r="F174" s="355">
        <v>0</v>
      </c>
      <c r="G174" s="362">
        <v>0</v>
      </c>
      <c r="H174" s="363">
        <v>0</v>
      </c>
      <c r="I174" s="374">
        <v>0</v>
      </c>
      <c r="J174" s="375">
        <v>0</v>
      </c>
      <c r="K174" s="386">
        <v>0</v>
      </c>
      <c r="L174" s="387">
        <v>0</v>
      </c>
      <c r="M174" s="398">
        <v>0</v>
      </c>
      <c r="N174" s="399">
        <v>0</v>
      </c>
      <c r="O174" s="409">
        <v>0</v>
      </c>
      <c r="P174" s="410">
        <v>0</v>
      </c>
    </row>
    <row r="175" spans="1:16" ht="15" thickBot="1" x14ac:dyDescent="0.4">
      <c r="A175" s="455"/>
      <c r="B175" s="333" t="s">
        <v>517</v>
      </c>
      <c r="C175" s="345">
        <f>'Network FY23-FY27  Budget'!D45</f>
        <v>5000</v>
      </c>
      <c r="D175" s="459">
        <f>'Network FY23-FY27  Budget'!E45</f>
        <v>5000</v>
      </c>
      <c r="E175" s="354">
        <v>0</v>
      </c>
      <c r="F175" s="355">
        <v>0</v>
      </c>
      <c r="G175" s="362">
        <v>0</v>
      </c>
      <c r="H175" s="363">
        <v>0</v>
      </c>
      <c r="I175" s="374">
        <v>0</v>
      </c>
      <c r="J175" s="375">
        <v>0</v>
      </c>
      <c r="K175" s="386">
        <v>0</v>
      </c>
      <c r="L175" s="387">
        <v>0</v>
      </c>
      <c r="M175" s="398">
        <v>0</v>
      </c>
      <c r="N175" s="399">
        <v>0</v>
      </c>
      <c r="O175" s="409">
        <v>0</v>
      </c>
      <c r="P175" s="410">
        <v>0</v>
      </c>
    </row>
    <row r="176" spans="1:16" s="325" customFormat="1" ht="16" thickBot="1" x14ac:dyDescent="0.4">
      <c r="A176" s="1248" t="s">
        <v>518</v>
      </c>
      <c r="B176" s="1249"/>
      <c r="C176" s="421">
        <f t="shared" ref="C176:P176" si="1">SUM(C44:C175)</f>
        <v>5796764</v>
      </c>
      <c r="D176" s="421" t="e">
        <f t="shared" si="1"/>
        <v>#REF!</v>
      </c>
      <c r="E176" s="422">
        <f t="shared" si="1"/>
        <v>12584056</v>
      </c>
      <c r="F176" s="422" t="e">
        <f t="shared" si="1"/>
        <v>#REF!</v>
      </c>
      <c r="G176" s="423">
        <f t="shared" si="1"/>
        <v>3042232</v>
      </c>
      <c r="H176" s="423" t="e">
        <f t="shared" si="1"/>
        <v>#REF!</v>
      </c>
      <c r="I176" s="424">
        <f t="shared" si="1"/>
        <v>5262476</v>
      </c>
      <c r="J176" s="424" t="e">
        <f t="shared" si="1"/>
        <v>#REF!</v>
      </c>
      <c r="K176" s="425">
        <f t="shared" si="1"/>
        <v>5321861.7472000001</v>
      </c>
      <c r="L176" s="425" t="e">
        <f t="shared" si="1"/>
        <v>#REF!</v>
      </c>
      <c r="M176" s="426">
        <f t="shared" si="1"/>
        <v>15865777</v>
      </c>
      <c r="N176" s="426" t="e">
        <f t="shared" si="1"/>
        <v>#REF!</v>
      </c>
      <c r="O176" s="427">
        <f t="shared" si="1"/>
        <v>5334360</v>
      </c>
      <c r="P176" s="490" t="e">
        <f t="shared" si="1"/>
        <v>#REF!</v>
      </c>
    </row>
    <row r="177" spans="1:16" ht="15" thickBot="1" x14ac:dyDescent="0.4"/>
    <row r="178" spans="1:16" s="325" customFormat="1" ht="16" thickBot="1" x14ac:dyDescent="0.4">
      <c r="A178" s="1248" t="s">
        <v>519</v>
      </c>
      <c r="B178" s="1249"/>
      <c r="C178" s="421">
        <f t="shared" ref="C178:P178" si="2">C42-C176</f>
        <v>453236</v>
      </c>
      <c r="D178" s="421" t="e">
        <f t="shared" si="2"/>
        <v>#REF!</v>
      </c>
      <c r="E178" s="422">
        <f t="shared" si="2"/>
        <v>3024118</v>
      </c>
      <c r="F178" s="422" t="e">
        <f t="shared" si="2"/>
        <v>#REF!</v>
      </c>
      <c r="G178" s="423">
        <f t="shared" si="2"/>
        <v>-139777</v>
      </c>
      <c r="H178" s="423" t="e">
        <f t="shared" si="2"/>
        <v>#REF!</v>
      </c>
      <c r="I178" s="424">
        <f t="shared" si="2"/>
        <v>-15835</v>
      </c>
      <c r="J178" s="424" t="e">
        <f t="shared" si="2"/>
        <v>#REF!</v>
      </c>
      <c r="K178" s="425">
        <f t="shared" si="2"/>
        <v>505149.2527999999</v>
      </c>
      <c r="L178" s="425" t="e">
        <f t="shared" si="2"/>
        <v>#REF!</v>
      </c>
      <c r="M178" s="426">
        <f t="shared" si="2"/>
        <v>2729276</v>
      </c>
      <c r="N178" s="426" t="e">
        <f t="shared" si="2"/>
        <v>#REF!</v>
      </c>
      <c r="O178" s="427">
        <f t="shared" si="2"/>
        <v>54496</v>
      </c>
      <c r="P178" s="490" t="e">
        <f t="shared" si="2"/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E42:P43 F4 E3:E4 E5:F38 E40:F40" name="Range1_3"/>
  </protectedRanges>
  <mergeCells count="10">
    <mergeCell ref="K1:L1"/>
    <mergeCell ref="M1:N1"/>
    <mergeCell ref="O1:P1"/>
    <mergeCell ref="A176:B176"/>
    <mergeCell ref="A178:B178"/>
    <mergeCell ref="A42:B42"/>
    <mergeCell ref="C1:D1"/>
    <mergeCell ref="E1:F1"/>
    <mergeCell ref="G1:H1"/>
    <mergeCell ref="I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0D02-FFBB-44EB-B8B9-48E4D857BD9A}">
  <dimension ref="A1:D167"/>
  <sheetViews>
    <sheetView workbookViewId="0">
      <selection activeCell="C41" sqref="C41"/>
    </sheetView>
  </sheetViews>
  <sheetFormatPr defaultRowHeight="14.5" x14ac:dyDescent="0.35"/>
  <cols>
    <col min="2" max="2" width="64.81640625" bestFit="1" customWidth="1"/>
    <col min="3" max="4" width="11.54296875" bestFit="1" customWidth="1"/>
  </cols>
  <sheetData>
    <row r="1" spans="1:4" ht="19" thickBot="1" x14ac:dyDescent="0.5">
      <c r="A1" s="559"/>
      <c r="B1" s="584" t="s">
        <v>473</v>
      </c>
      <c r="C1" s="1251" t="s">
        <v>474</v>
      </c>
      <c r="D1" s="1252"/>
    </row>
    <row r="2" spans="1:4" ht="29.5" thickBot="1" x14ac:dyDescent="0.4">
      <c r="A2" s="575" t="s">
        <v>520</v>
      </c>
      <c r="B2" s="664" t="s">
        <v>94</v>
      </c>
      <c r="C2" s="593" t="s">
        <v>95</v>
      </c>
      <c r="D2" s="594" t="s">
        <v>96</v>
      </c>
    </row>
    <row r="3" spans="1:4" ht="16" thickBot="1" x14ac:dyDescent="0.4">
      <c r="A3" s="574" t="s">
        <v>521</v>
      </c>
      <c r="B3" s="320" t="s">
        <v>7</v>
      </c>
      <c r="C3" s="676">
        <v>200000</v>
      </c>
      <c r="D3" s="685">
        <v>903971</v>
      </c>
    </row>
    <row r="4" spans="1:4" ht="16" thickBot="1" x14ac:dyDescent="0.4">
      <c r="A4" s="575" t="s">
        <v>522</v>
      </c>
      <c r="B4" s="663" t="s">
        <v>353</v>
      </c>
      <c r="C4" s="677"/>
      <c r="D4" s="686"/>
    </row>
    <row r="5" spans="1:4" x14ac:dyDescent="0.35">
      <c r="A5" s="576">
        <v>1</v>
      </c>
      <c r="B5" s="665" t="s">
        <v>99</v>
      </c>
      <c r="C5" s="678"/>
      <c r="D5" s="687"/>
    </row>
    <row r="6" spans="1:4" x14ac:dyDescent="0.35">
      <c r="A6" s="577">
        <v>2</v>
      </c>
      <c r="B6" s="666" t="s">
        <v>477</v>
      </c>
      <c r="C6" s="679"/>
      <c r="D6" s="688"/>
    </row>
    <row r="7" spans="1:4" x14ac:dyDescent="0.35">
      <c r="A7" s="577">
        <v>3</v>
      </c>
      <c r="B7" s="666" t="s">
        <v>478</v>
      </c>
      <c r="C7" s="679"/>
      <c r="D7" s="688"/>
    </row>
    <row r="8" spans="1:4" x14ac:dyDescent="0.35">
      <c r="A8" s="576">
        <v>4</v>
      </c>
      <c r="B8" s="334" t="s">
        <v>101</v>
      </c>
      <c r="C8" s="680"/>
      <c r="D8" s="689"/>
    </row>
    <row r="9" spans="1:4" x14ac:dyDescent="0.35">
      <c r="A9" s="576">
        <v>5</v>
      </c>
      <c r="B9" s="334" t="s">
        <v>356</v>
      </c>
      <c r="C9" s="679"/>
      <c r="D9" s="688"/>
    </row>
    <row r="10" spans="1:4" x14ac:dyDescent="0.35">
      <c r="A10" s="577">
        <v>6</v>
      </c>
      <c r="B10" s="667" t="s">
        <v>262</v>
      </c>
      <c r="C10" s="679"/>
      <c r="D10" s="688"/>
    </row>
    <row r="11" spans="1:4" x14ac:dyDescent="0.35">
      <c r="A11" s="577">
        <v>7</v>
      </c>
      <c r="B11" s="667" t="s">
        <v>19</v>
      </c>
      <c r="C11" s="679"/>
      <c r="D11" s="688"/>
    </row>
    <row r="12" spans="1:4" x14ac:dyDescent="0.35">
      <c r="A12" s="577">
        <v>8</v>
      </c>
      <c r="B12" s="667" t="s">
        <v>18</v>
      </c>
      <c r="C12" s="679"/>
      <c r="D12" s="688"/>
    </row>
    <row r="13" spans="1:4" x14ac:dyDescent="0.35">
      <c r="A13" s="578">
        <v>9</v>
      </c>
      <c r="B13" s="334" t="s">
        <v>218</v>
      </c>
      <c r="C13" s="679"/>
      <c r="D13" s="688"/>
    </row>
    <row r="14" spans="1:4" x14ac:dyDescent="0.35">
      <c r="A14" s="578">
        <v>10</v>
      </c>
      <c r="B14" s="334" t="s">
        <v>357</v>
      </c>
      <c r="C14" s="679"/>
      <c r="D14" s="688"/>
    </row>
    <row r="15" spans="1:4" x14ac:dyDescent="0.35">
      <c r="A15" s="578">
        <v>11</v>
      </c>
      <c r="B15" s="334" t="s">
        <v>219</v>
      </c>
      <c r="C15" s="679"/>
      <c r="D15" s="688"/>
    </row>
    <row r="16" spans="1:4" x14ac:dyDescent="0.35">
      <c r="A16" s="578">
        <v>12</v>
      </c>
      <c r="B16" s="334" t="s">
        <v>230</v>
      </c>
      <c r="C16" s="679"/>
      <c r="D16" s="688"/>
    </row>
    <row r="17" spans="1:4" x14ac:dyDescent="0.35">
      <c r="A17" s="578">
        <v>13</v>
      </c>
      <c r="B17" s="334" t="s">
        <v>359</v>
      </c>
      <c r="C17" s="679"/>
      <c r="D17" s="688"/>
    </row>
    <row r="18" spans="1:4" x14ac:dyDescent="0.35">
      <c r="A18" s="578">
        <v>14</v>
      </c>
      <c r="B18" s="334" t="s">
        <v>260</v>
      </c>
      <c r="C18" s="679"/>
      <c r="D18" s="688"/>
    </row>
    <row r="19" spans="1:4" x14ac:dyDescent="0.35">
      <c r="A19" s="578">
        <v>15</v>
      </c>
      <c r="B19" s="334" t="s">
        <v>12</v>
      </c>
      <c r="C19" s="679"/>
      <c r="D19" s="688"/>
    </row>
    <row r="20" spans="1:4" x14ac:dyDescent="0.35">
      <c r="A20" s="578">
        <v>16</v>
      </c>
      <c r="B20" s="334" t="s">
        <v>220</v>
      </c>
      <c r="C20" s="679"/>
      <c r="D20" s="688"/>
    </row>
    <row r="21" spans="1:4" x14ac:dyDescent="0.35">
      <c r="A21" s="578">
        <v>17</v>
      </c>
      <c r="B21" s="334" t="s">
        <v>8</v>
      </c>
      <c r="C21" s="679"/>
      <c r="D21" s="688"/>
    </row>
    <row r="22" spans="1:4" x14ac:dyDescent="0.35">
      <c r="A22" s="578">
        <v>18</v>
      </c>
      <c r="B22" s="334" t="s">
        <v>117</v>
      </c>
      <c r="C22" s="679"/>
      <c r="D22" s="688"/>
    </row>
    <row r="23" spans="1:4" x14ac:dyDescent="0.35">
      <c r="A23" s="578">
        <v>19</v>
      </c>
      <c r="B23" s="334" t="s">
        <v>118</v>
      </c>
      <c r="C23" s="679"/>
      <c r="D23" s="688"/>
    </row>
    <row r="24" spans="1:4" x14ac:dyDescent="0.35">
      <c r="A24" s="576">
        <v>20</v>
      </c>
      <c r="B24" s="334" t="s">
        <v>108</v>
      </c>
      <c r="C24" s="679"/>
      <c r="D24" s="688"/>
    </row>
    <row r="25" spans="1:4" x14ac:dyDescent="0.35">
      <c r="A25" s="577">
        <v>21</v>
      </c>
      <c r="B25" s="667" t="s">
        <v>13</v>
      </c>
      <c r="C25" s="679"/>
      <c r="D25" s="688"/>
    </row>
    <row r="26" spans="1:4" x14ac:dyDescent="0.35">
      <c r="A26" s="577">
        <v>22</v>
      </c>
      <c r="B26" s="667" t="s">
        <v>20</v>
      </c>
      <c r="C26" s="679"/>
      <c r="D26" s="688"/>
    </row>
    <row r="27" spans="1:4" x14ac:dyDescent="0.35">
      <c r="A27" s="576">
        <v>23</v>
      </c>
      <c r="B27" s="334" t="s">
        <v>104</v>
      </c>
      <c r="C27" s="679"/>
      <c r="D27" s="688"/>
    </row>
    <row r="28" spans="1:4" x14ac:dyDescent="0.35">
      <c r="A28" s="576">
        <v>24</v>
      </c>
      <c r="B28" s="334" t="s">
        <v>105</v>
      </c>
      <c r="C28" s="679"/>
      <c r="D28" s="688"/>
    </row>
    <row r="29" spans="1:4" x14ac:dyDescent="0.35">
      <c r="A29" s="576">
        <v>25</v>
      </c>
      <c r="B29" s="334" t="s">
        <v>106</v>
      </c>
      <c r="C29" s="679"/>
      <c r="D29" s="688"/>
    </row>
    <row r="30" spans="1:4" x14ac:dyDescent="0.35">
      <c r="A30" s="576">
        <v>26</v>
      </c>
      <c r="B30" s="334" t="s">
        <v>107</v>
      </c>
      <c r="C30" s="679"/>
      <c r="D30" s="688"/>
    </row>
    <row r="31" spans="1:4" x14ac:dyDescent="0.35">
      <c r="A31" s="576">
        <v>27</v>
      </c>
      <c r="B31" s="334" t="s">
        <v>109</v>
      </c>
      <c r="C31" s="679"/>
      <c r="D31" s="688"/>
    </row>
    <row r="32" spans="1:4" x14ac:dyDescent="0.35">
      <c r="A32" s="577">
        <v>28</v>
      </c>
      <c r="B32" s="334" t="s">
        <v>222</v>
      </c>
      <c r="C32" s="679"/>
      <c r="D32" s="688"/>
    </row>
    <row r="33" spans="1:4" x14ac:dyDescent="0.35">
      <c r="A33" s="578">
        <v>29</v>
      </c>
      <c r="B33" s="334" t="s">
        <v>361</v>
      </c>
      <c r="C33" s="679"/>
      <c r="D33" s="688"/>
    </row>
    <row r="34" spans="1:4" x14ac:dyDescent="0.35">
      <c r="A34" s="578">
        <v>30</v>
      </c>
      <c r="B34" s="334" t="s">
        <v>111</v>
      </c>
      <c r="C34" s="679"/>
      <c r="D34" s="688"/>
    </row>
    <row r="35" spans="1:4" x14ac:dyDescent="0.35">
      <c r="A35" s="577">
        <v>31</v>
      </c>
      <c r="B35" s="667" t="s">
        <v>261</v>
      </c>
      <c r="C35" s="679"/>
      <c r="D35" s="688"/>
    </row>
    <row r="36" spans="1:4" x14ac:dyDescent="0.35">
      <c r="A36" s="576">
        <v>32</v>
      </c>
      <c r="B36" s="334" t="s">
        <v>479</v>
      </c>
      <c r="C36" s="680"/>
      <c r="D36" s="689"/>
    </row>
    <row r="37" spans="1:4" x14ac:dyDescent="0.35">
      <c r="A37" s="579">
        <v>33</v>
      </c>
      <c r="B37" s="334" t="s">
        <v>264</v>
      </c>
      <c r="C37" s="679"/>
      <c r="D37" s="688"/>
    </row>
    <row r="38" spans="1:4" x14ac:dyDescent="0.35">
      <c r="A38" s="577">
        <v>34</v>
      </c>
      <c r="B38" s="667" t="s">
        <v>14</v>
      </c>
      <c r="C38" s="679"/>
      <c r="D38" s="688"/>
    </row>
    <row r="39" spans="1:4" x14ac:dyDescent="0.35">
      <c r="A39" s="577">
        <v>35</v>
      </c>
      <c r="B39" s="668" t="s">
        <v>368</v>
      </c>
      <c r="C39" s="680"/>
      <c r="D39" s="689"/>
    </row>
    <row r="40" spans="1:4" x14ac:dyDescent="0.35">
      <c r="A40" s="577">
        <v>36</v>
      </c>
      <c r="B40" s="667" t="s">
        <v>265</v>
      </c>
      <c r="C40" s="679"/>
      <c r="D40" s="688"/>
    </row>
    <row r="41" spans="1:4" x14ac:dyDescent="0.35">
      <c r="A41" s="577">
        <v>37</v>
      </c>
      <c r="B41" s="668" t="s">
        <v>480</v>
      </c>
      <c r="C41" s="680">
        <f>'Network FY23-FY27  Budget'!D5+'Network FY23-FY27  Budget'!D6+'Network FY23-FY27  Budget'!D7+'Network FY23-FY27  Budget'!D8+'Network FY23-FY27  Budget'!D9+'Network FY23-FY27  Budget'!D10</f>
        <v>5350000</v>
      </c>
      <c r="D41" s="689">
        <f>'Network FY23-FY27  Budget'!J5+'Network FY23-FY27  Budget'!J6+'Network FY23-FY27  Budget'!J7+'Network FY23-FY27  Budget'!J8+'Network FY23-FY27  Budget'!J9+'Network FY23-FY27  Budget'!J10</f>
        <v>6004110</v>
      </c>
    </row>
    <row r="42" spans="1:4" ht="15.5" x14ac:dyDescent="0.35">
      <c r="A42" s="580"/>
      <c r="B42" s="561" t="s">
        <v>371</v>
      </c>
      <c r="C42" s="681"/>
      <c r="D42" s="681"/>
    </row>
    <row r="43" spans="1:4" ht="15.5" x14ac:dyDescent="0.35">
      <c r="A43" s="581"/>
      <c r="B43" s="569"/>
      <c r="C43" s="682"/>
      <c r="D43" s="682"/>
    </row>
    <row r="44" spans="1:4" ht="15.5" x14ac:dyDescent="0.35">
      <c r="A44" s="575"/>
      <c r="B44" s="554" t="s">
        <v>372</v>
      </c>
      <c r="C44" s="553"/>
      <c r="D44" s="690"/>
    </row>
    <row r="45" spans="1:4" x14ac:dyDescent="0.35">
      <c r="A45" s="576">
        <v>1</v>
      </c>
      <c r="B45" s="328" t="s">
        <v>373</v>
      </c>
      <c r="C45" s="683"/>
      <c r="D45" s="689"/>
    </row>
    <row r="46" spans="1:4" x14ac:dyDescent="0.35">
      <c r="A46" s="576">
        <v>2</v>
      </c>
      <c r="B46" s="334" t="s">
        <v>374</v>
      </c>
      <c r="C46" s="683"/>
      <c r="D46" s="689"/>
    </row>
    <row r="47" spans="1:4" x14ac:dyDescent="0.35">
      <c r="A47" s="576">
        <v>3</v>
      </c>
      <c r="B47" s="529" t="s">
        <v>375</v>
      </c>
      <c r="C47" s="683"/>
      <c r="D47" s="689"/>
    </row>
    <row r="48" spans="1:4" x14ac:dyDescent="0.35">
      <c r="A48" s="576">
        <v>4</v>
      </c>
      <c r="B48" s="328" t="s">
        <v>483</v>
      </c>
      <c r="C48" s="683"/>
      <c r="D48" s="689"/>
    </row>
    <row r="49" spans="1:4" x14ac:dyDescent="0.35">
      <c r="A49" s="576">
        <v>5</v>
      </c>
      <c r="B49" s="328" t="s">
        <v>378</v>
      </c>
      <c r="C49" s="683"/>
      <c r="D49" s="689"/>
    </row>
    <row r="50" spans="1:4" x14ac:dyDescent="0.35">
      <c r="A50" s="576">
        <v>8</v>
      </c>
      <c r="B50" s="328" t="s">
        <v>484</v>
      </c>
      <c r="C50" s="683"/>
      <c r="D50" s="689"/>
    </row>
    <row r="51" spans="1:4" x14ac:dyDescent="0.35">
      <c r="A51" s="576">
        <v>6</v>
      </c>
      <c r="B51" s="328" t="s">
        <v>381</v>
      </c>
      <c r="C51" s="683"/>
      <c r="D51" s="689"/>
    </row>
    <row r="52" spans="1:4" x14ac:dyDescent="0.35">
      <c r="A52" s="576">
        <v>7</v>
      </c>
      <c r="B52" s="328" t="s">
        <v>382</v>
      </c>
      <c r="C52" s="683"/>
      <c r="D52" s="689"/>
    </row>
    <row r="53" spans="1:4" x14ac:dyDescent="0.35">
      <c r="A53" s="576">
        <v>9</v>
      </c>
      <c r="B53" s="328" t="s">
        <v>384</v>
      </c>
      <c r="C53" s="683"/>
      <c r="D53" s="689"/>
    </row>
    <row r="54" spans="1:4" x14ac:dyDescent="0.35">
      <c r="A54" s="576">
        <v>10</v>
      </c>
      <c r="B54" s="522" t="s">
        <v>485</v>
      </c>
      <c r="C54" s="683"/>
      <c r="D54" s="689"/>
    </row>
    <row r="55" spans="1:4" x14ac:dyDescent="0.35">
      <c r="A55" s="576">
        <v>11</v>
      </c>
      <c r="B55" s="522" t="s">
        <v>486</v>
      </c>
      <c r="C55" s="683"/>
      <c r="D55" s="689"/>
    </row>
    <row r="56" spans="1:4" x14ac:dyDescent="0.35">
      <c r="A56" s="576">
        <v>12</v>
      </c>
      <c r="B56" s="328" t="s">
        <v>487</v>
      </c>
      <c r="C56" s="683"/>
      <c r="D56" s="689"/>
    </row>
    <row r="57" spans="1:4" x14ac:dyDescent="0.35">
      <c r="A57" s="576">
        <v>13</v>
      </c>
      <c r="B57" s="522" t="s">
        <v>523</v>
      </c>
      <c r="C57" s="683"/>
      <c r="D57" s="689"/>
    </row>
    <row r="58" spans="1:4" x14ac:dyDescent="0.35">
      <c r="A58" s="576">
        <v>14</v>
      </c>
      <c r="B58" s="522" t="s">
        <v>524</v>
      </c>
      <c r="C58" s="683"/>
      <c r="D58" s="689"/>
    </row>
    <row r="59" spans="1:4" x14ac:dyDescent="0.35">
      <c r="A59" s="576">
        <v>15</v>
      </c>
      <c r="B59" s="522" t="s">
        <v>490</v>
      </c>
      <c r="C59" s="683"/>
      <c r="D59" s="689"/>
    </row>
    <row r="60" spans="1:4" x14ac:dyDescent="0.35">
      <c r="A60" s="576">
        <v>16</v>
      </c>
      <c r="B60" s="328" t="s">
        <v>491</v>
      </c>
      <c r="C60" s="683"/>
      <c r="D60" s="691"/>
    </row>
    <row r="61" spans="1:4" x14ac:dyDescent="0.35">
      <c r="A61" s="576">
        <v>17</v>
      </c>
      <c r="B61" s="328" t="s">
        <v>492</v>
      </c>
      <c r="C61" s="683"/>
      <c r="D61" s="691"/>
    </row>
    <row r="62" spans="1:4" x14ac:dyDescent="0.35">
      <c r="A62" s="576">
        <v>18</v>
      </c>
      <c r="B62" s="328" t="s">
        <v>244</v>
      </c>
      <c r="C62" s="683"/>
      <c r="D62" s="689"/>
    </row>
    <row r="63" spans="1:4" x14ac:dyDescent="0.35">
      <c r="A63" s="576">
        <v>19</v>
      </c>
      <c r="B63" s="328" t="s">
        <v>397</v>
      </c>
      <c r="C63" s="683"/>
      <c r="D63" s="689"/>
    </row>
    <row r="64" spans="1:4" x14ac:dyDescent="0.35">
      <c r="A64" s="576">
        <v>20</v>
      </c>
      <c r="B64" s="328" t="s">
        <v>398</v>
      </c>
      <c r="C64" s="683"/>
      <c r="D64" s="689"/>
    </row>
    <row r="65" spans="1:4" x14ac:dyDescent="0.35">
      <c r="A65" s="576">
        <v>21</v>
      </c>
      <c r="B65" s="328" t="s">
        <v>399</v>
      </c>
      <c r="C65" s="683"/>
      <c r="D65" s="689"/>
    </row>
    <row r="66" spans="1:4" x14ac:dyDescent="0.35">
      <c r="A66" s="576">
        <v>22</v>
      </c>
      <c r="B66" s="328" t="s">
        <v>525</v>
      </c>
      <c r="C66" s="683"/>
      <c r="D66" s="689"/>
    </row>
    <row r="67" spans="1:4" x14ac:dyDescent="0.35">
      <c r="A67" s="576">
        <v>23</v>
      </c>
      <c r="B67" s="669" t="s">
        <v>526</v>
      </c>
      <c r="C67" s="683"/>
      <c r="D67" s="689"/>
    </row>
    <row r="68" spans="1:4" x14ac:dyDescent="0.35">
      <c r="A68" s="576">
        <v>24</v>
      </c>
      <c r="B68" s="669" t="s">
        <v>494</v>
      </c>
      <c r="C68" s="683"/>
      <c r="D68" s="689"/>
    </row>
    <row r="69" spans="1:4" x14ac:dyDescent="0.35">
      <c r="A69" s="576">
        <v>25</v>
      </c>
      <c r="B69" s="669" t="s">
        <v>171</v>
      </c>
      <c r="C69" s="683"/>
      <c r="D69" s="689"/>
    </row>
    <row r="70" spans="1:4" x14ac:dyDescent="0.35">
      <c r="A70" s="576">
        <v>26</v>
      </c>
      <c r="B70" s="669" t="s">
        <v>314</v>
      </c>
      <c r="C70" s="683"/>
      <c r="D70" s="689"/>
    </row>
    <row r="71" spans="1:4" x14ac:dyDescent="0.35">
      <c r="A71" s="576">
        <v>27</v>
      </c>
      <c r="B71" s="328" t="s">
        <v>195</v>
      </c>
      <c r="C71" s="683"/>
      <c r="D71" s="689"/>
    </row>
    <row r="72" spans="1:4" x14ac:dyDescent="0.35">
      <c r="A72" s="576">
        <v>28</v>
      </c>
      <c r="B72" s="328" t="s">
        <v>495</v>
      </c>
      <c r="C72" s="683"/>
      <c r="D72" s="689"/>
    </row>
    <row r="73" spans="1:4" x14ac:dyDescent="0.35">
      <c r="A73" s="576">
        <v>29</v>
      </c>
      <c r="B73" s="328" t="s">
        <v>527</v>
      </c>
      <c r="C73" s="683"/>
      <c r="D73" s="689"/>
    </row>
    <row r="74" spans="1:4" x14ac:dyDescent="0.35">
      <c r="A74" s="576">
        <v>30</v>
      </c>
      <c r="B74" s="328" t="s">
        <v>505</v>
      </c>
      <c r="C74" s="683"/>
      <c r="D74" s="689"/>
    </row>
    <row r="75" spans="1:4" x14ac:dyDescent="0.35">
      <c r="A75" s="576">
        <v>31</v>
      </c>
      <c r="B75" s="328" t="s">
        <v>507</v>
      </c>
      <c r="C75" s="683"/>
      <c r="D75" s="689"/>
    </row>
    <row r="76" spans="1:4" x14ac:dyDescent="0.35">
      <c r="A76" s="576">
        <v>32</v>
      </c>
      <c r="B76" s="670" t="s">
        <v>511</v>
      </c>
      <c r="C76" s="683"/>
      <c r="D76" s="689"/>
    </row>
    <row r="77" spans="1:4" x14ac:dyDescent="0.35">
      <c r="A77" s="576">
        <v>33</v>
      </c>
      <c r="B77" s="670" t="s">
        <v>512</v>
      </c>
      <c r="C77" s="683"/>
      <c r="D77" s="689"/>
    </row>
    <row r="78" spans="1:4" x14ac:dyDescent="0.35">
      <c r="A78" s="576">
        <v>34</v>
      </c>
      <c r="B78" s="337" t="s">
        <v>202</v>
      </c>
      <c r="C78" s="683"/>
      <c r="D78" s="689"/>
    </row>
    <row r="79" spans="1:4" x14ac:dyDescent="0.35">
      <c r="A79" s="576">
        <v>35</v>
      </c>
      <c r="B79" s="328" t="s">
        <v>508</v>
      </c>
      <c r="C79" s="683"/>
      <c r="D79" s="689"/>
    </row>
    <row r="80" spans="1:4" x14ac:dyDescent="0.35">
      <c r="A80" s="576">
        <v>36</v>
      </c>
      <c r="B80" s="671" t="s">
        <v>528</v>
      </c>
      <c r="C80" s="683"/>
      <c r="D80" s="689"/>
    </row>
    <row r="81" spans="1:4" x14ac:dyDescent="0.35">
      <c r="A81" s="576">
        <v>37</v>
      </c>
      <c r="B81" s="328" t="s">
        <v>198</v>
      </c>
      <c r="C81" s="683"/>
      <c r="D81" s="689"/>
    </row>
    <row r="82" spans="1:4" x14ac:dyDescent="0.35">
      <c r="A82" s="576">
        <v>38</v>
      </c>
      <c r="B82" s="328" t="s">
        <v>316</v>
      </c>
      <c r="C82" s="683"/>
      <c r="D82" s="689"/>
    </row>
    <row r="83" spans="1:4" x14ac:dyDescent="0.35">
      <c r="A83" s="576">
        <v>39</v>
      </c>
      <c r="B83" s="329" t="s">
        <v>317</v>
      </c>
      <c r="C83" s="683"/>
      <c r="D83" s="689"/>
    </row>
    <row r="84" spans="1:4" x14ac:dyDescent="0.35">
      <c r="A84" s="576">
        <v>40</v>
      </c>
      <c r="B84" s="328" t="s">
        <v>404</v>
      </c>
      <c r="C84" s="683"/>
      <c r="D84" s="689"/>
    </row>
    <row r="85" spans="1:4" x14ac:dyDescent="0.35">
      <c r="A85" s="576">
        <v>41</v>
      </c>
      <c r="B85" s="328" t="s">
        <v>496</v>
      </c>
      <c r="C85" s="683"/>
      <c r="D85" s="689"/>
    </row>
    <row r="86" spans="1:4" x14ac:dyDescent="0.35">
      <c r="A86" s="576">
        <v>42</v>
      </c>
      <c r="B86" s="328" t="s">
        <v>497</v>
      </c>
      <c r="C86" s="683"/>
      <c r="D86" s="689"/>
    </row>
    <row r="87" spans="1:4" x14ac:dyDescent="0.35">
      <c r="A87" s="576">
        <v>43</v>
      </c>
      <c r="B87" s="328" t="s">
        <v>173</v>
      </c>
      <c r="C87" s="683"/>
      <c r="D87" s="689"/>
    </row>
    <row r="88" spans="1:4" x14ac:dyDescent="0.35">
      <c r="A88" s="576">
        <v>44</v>
      </c>
      <c r="B88" s="328" t="s">
        <v>179</v>
      </c>
      <c r="C88" s="683"/>
      <c r="D88" s="689"/>
    </row>
    <row r="89" spans="1:4" x14ac:dyDescent="0.35">
      <c r="A89" s="576">
        <v>45</v>
      </c>
      <c r="B89" s="672" t="s">
        <v>529</v>
      </c>
      <c r="C89" s="683"/>
      <c r="D89" s="689"/>
    </row>
    <row r="90" spans="1:4" x14ac:dyDescent="0.35">
      <c r="A90" s="576">
        <v>46</v>
      </c>
      <c r="B90" s="672" t="s">
        <v>174</v>
      </c>
      <c r="C90" s="683"/>
      <c r="D90" s="689"/>
    </row>
    <row r="91" spans="1:4" x14ac:dyDescent="0.35">
      <c r="A91" s="576">
        <v>47</v>
      </c>
      <c r="B91" s="328" t="s">
        <v>175</v>
      </c>
      <c r="C91" s="683"/>
      <c r="D91" s="689"/>
    </row>
    <row r="92" spans="1:4" x14ac:dyDescent="0.35">
      <c r="A92" s="576">
        <v>48</v>
      </c>
      <c r="B92" s="673" t="s">
        <v>406</v>
      </c>
      <c r="C92" s="683"/>
      <c r="D92" s="689"/>
    </row>
    <row r="93" spans="1:4" x14ac:dyDescent="0.35">
      <c r="A93" s="576">
        <v>49</v>
      </c>
      <c r="B93" s="328" t="s">
        <v>176</v>
      </c>
      <c r="C93" s="683"/>
      <c r="D93" s="689"/>
    </row>
    <row r="94" spans="1:4" x14ac:dyDescent="0.35">
      <c r="A94" s="576">
        <v>50</v>
      </c>
      <c r="B94" s="332" t="s">
        <v>407</v>
      </c>
      <c r="C94" s="683"/>
      <c r="D94" s="689"/>
    </row>
    <row r="95" spans="1:4" x14ac:dyDescent="0.35">
      <c r="A95" s="576">
        <v>51</v>
      </c>
      <c r="B95" s="328" t="s">
        <v>125</v>
      </c>
      <c r="C95" s="683"/>
      <c r="D95" s="689"/>
    </row>
    <row r="96" spans="1:4" x14ac:dyDescent="0.35">
      <c r="A96" s="576">
        <v>52</v>
      </c>
      <c r="B96" s="329" t="s">
        <v>498</v>
      </c>
      <c r="C96" s="683"/>
      <c r="D96" s="689"/>
    </row>
    <row r="97" spans="1:4" x14ac:dyDescent="0.35">
      <c r="A97" s="576">
        <v>53</v>
      </c>
      <c r="B97" s="329" t="s">
        <v>178</v>
      </c>
      <c r="C97" s="683"/>
      <c r="D97" s="689"/>
    </row>
    <row r="98" spans="1:4" x14ac:dyDescent="0.35">
      <c r="A98" s="576">
        <v>54</v>
      </c>
      <c r="B98" s="332" t="s">
        <v>410</v>
      </c>
      <c r="C98" s="683"/>
      <c r="D98" s="689"/>
    </row>
    <row r="99" spans="1:4" x14ac:dyDescent="0.35">
      <c r="A99" s="576">
        <v>55</v>
      </c>
      <c r="B99" s="332" t="s">
        <v>411</v>
      </c>
      <c r="C99" s="683"/>
      <c r="D99" s="689"/>
    </row>
    <row r="100" spans="1:4" x14ac:dyDescent="0.35">
      <c r="A100" s="576">
        <v>56</v>
      </c>
      <c r="B100" s="332" t="s">
        <v>412</v>
      </c>
      <c r="C100" s="683"/>
      <c r="D100" s="689"/>
    </row>
    <row r="101" spans="1:4" x14ac:dyDescent="0.35">
      <c r="A101" s="576">
        <v>57</v>
      </c>
      <c r="B101" s="328" t="s">
        <v>182</v>
      </c>
      <c r="C101" s="683"/>
      <c r="D101" s="689"/>
    </row>
    <row r="102" spans="1:4" x14ac:dyDescent="0.35">
      <c r="A102" s="576">
        <v>58</v>
      </c>
      <c r="B102" s="328" t="s">
        <v>183</v>
      </c>
      <c r="C102" s="683"/>
      <c r="D102" s="689"/>
    </row>
    <row r="103" spans="1:4" x14ac:dyDescent="0.35">
      <c r="A103" s="576">
        <v>59</v>
      </c>
      <c r="B103" s="336" t="s">
        <v>413</v>
      </c>
      <c r="C103" s="683"/>
      <c r="D103" s="689"/>
    </row>
    <row r="104" spans="1:4" x14ac:dyDescent="0.35">
      <c r="A104" s="576">
        <v>60</v>
      </c>
      <c r="B104" s="336" t="s">
        <v>499</v>
      </c>
      <c r="C104" s="683"/>
      <c r="D104" s="689"/>
    </row>
    <row r="105" spans="1:4" x14ac:dyDescent="0.35">
      <c r="A105" s="576">
        <v>61</v>
      </c>
      <c r="B105" s="328" t="s">
        <v>184</v>
      </c>
      <c r="C105" s="683"/>
      <c r="D105" s="689"/>
    </row>
    <row r="106" spans="1:4" x14ac:dyDescent="0.35">
      <c r="A106" s="576">
        <v>62</v>
      </c>
      <c r="B106" s="328" t="s">
        <v>185</v>
      </c>
      <c r="C106" s="683"/>
      <c r="D106" s="689"/>
    </row>
    <row r="107" spans="1:4" x14ac:dyDescent="0.35">
      <c r="A107" s="576">
        <v>63</v>
      </c>
      <c r="B107" s="336" t="s">
        <v>415</v>
      </c>
      <c r="C107" s="683"/>
      <c r="D107" s="689"/>
    </row>
    <row r="108" spans="1:4" x14ac:dyDescent="0.35">
      <c r="A108" s="576">
        <v>64</v>
      </c>
      <c r="B108" s="336" t="s">
        <v>503</v>
      </c>
      <c r="C108" s="683"/>
      <c r="D108" s="689"/>
    </row>
    <row r="109" spans="1:4" x14ac:dyDescent="0.35">
      <c r="A109" s="576">
        <v>65</v>
      </c>
      <c r="B109" s="328" t="s">
        <v>186</v>
      </c>
      <c r="C109" s="683"/>
      <c r="D109" s="689"/>
    </row>
    <row r="110" spans="1:4" x14ac:dyDescent="0.35">
      <c r="A110" s="576">
        <v>66</v>
      </c>
      <c r="B110" s="328" t="s">
        <v>187</v>
      </c>
      <c r="C110" s="683"/>
      <c r="D110" s="689"/>
    </row>
    <row r="111" spans="1:4" x14ac:dyDescent="0.35">
      <c r="A111" s="576">
        <v>67</v>
      </c>
      <c r="B111" s="328" t="s">
        <v>188</v>
      </c>
      <c r="C111" s="683"/>
      <c r="D111" s="689"/>
    </row>
    <row r="112" spans="1:4" x14ac:dyDescent="0.35">
      <c r="A112" s="576">
        <v>68</v>
      </c>
      <c r="B112" s="328" t="s">
        <v>194</v>
      </c>
      <c r="C112" s="683"/>
      <c r="D112" s="689"/>
    </row>
    <row r="113" spans="1:4" x14ac:dyDescent="0.35">
      <c r="A113" s="576">
        <v>69</v>
      </c>
      <c r="B113" s="328" t="s">
        <v>322</v>
      </c>
      <c r="C113" s="683"/>
      <c r="D113" s="689"/>
    </row>
    <row r="114" spans="1:4" x14ac:dyDescent="0.35">
      <c r="A114" s="576">
        <v>70</v>
      </c>
      <c r="B114" s="332" t="s">
        <v>417</v>
      </c>
      <c r="C114" s="683"/>
      <c r="D114" s="689"/>
    </row>
    <row r="115" spans="1:4" x14ac:dyDescent="0.35">
      <c r="A115" s="576">
        <v>71</v>
      </c>
      <c r="B115" s="328" t="s">
        <v>189</v>
      </c>
      <c r="C115" s="683"/>
      <c r="D115" s="689"/>
    </row>
    <row r="116" spans="1:4" x14ac:dyDescent="0.35">
      <c r="A116" s="576">
        <v>72</v>
      </c>
      <c r="B116" s="332" t="s">
        <v>419</v>
      </c>
      <c r="C116" s="683"/>
      <c r="D116" s="689"/>
    </row>
    <row r="117" spans="1:4" x14ac:dyDescent="0.35">
      <c r="A117" s="576">
        <v>73</v>
      </c>
      <c r="B117" s="674" t="s">
        <v>530</v>
      </c>
      <c r="C117" s="683"/>
      <c r="D117" s="689"/>
    </row>
    <row r="118" spans="1:4" x14ac:dyDescent="0.35">
      <c r="A118" s="576">
        <v>74</v>
      </c>
      <c r="B118" s="328" t="s">
        <v>191</v>
      </c>
      <c r="C118" s="683"/>
      <c r="D118" s="689"/>
    </row>
    <row r="119" spans="1:4" x14ac:dyDescent="0.35">
      <c r="A119" s="576">
        <v>75</v>
      </c>
      <c r="B119" s="328" t="s">
        <v>192</v>
      </c>
      <c r="C119" s="683"/>
      <c r="D119" s="689"/>
    </row>
    <row r="120" spans="1:4" x14ac:dyDescent="0.35">
      <c r="A120" s="576">
        <v>76</v>
      </c>
      <c r="B120" s="328" t="s">
        <v>193</v>
      </c>
      <c r="C120" s="683"/>
      <c r="D120" s="689"/>
    </row>
    <row r="121" spans="1:4" x14ac:dyDescent="0.35">
      <c r="A121" s="576">
        <v>77</v>
      </c>
      <c r="B121" s="328" t="s">
        <v>212</v>
      </c>
      <c r="C121" s="683"/>
      <c r="D121" s="689"/>
    </row>
    <row r="122" spans="1:4" x14ac:dyDescent="0.35">
      <c r="A122" s="576">
        <v>78</v>
      </c>
      <c r="B122" s="328" t="s">
        <v>204</v>
      </c>
      <c r="C122" s="683"/>
      <c r="D122" s="689"/>
    </row>
    <row r="123" spans="1:4" x14ac:dyDescent="0.35">
      <c r="A123" s="576">
        <v>79</v>
      </c>
      <c r="B123" s="328" t="s">
        <v>205</v>
      </c>
      <c r="C123" s="683"/>
      <c r="D123" s="689"/>
    </row>
    <row r="124" spans="1:4" x14ac:dyDescent="0.35">
      <c r="A124" s="576">
        <v>80</v>
      </c>
      <c r="B124" s="328" t="s">
        <v>206</v>
      </c>
      <c r="C124" s="683"/>
      <c r="D124" s="689"/>
    </row>
    <row r="125" spans="1:4" x14ac:dyDescent="0.35">
      <c r="A125" s="576">
        <v>81</v>
      </c>
      <c r="B125" s="332" t="s">
        <v>425</v>
      </c>
      <c r="C125" s="683"/>
      <c r="D125" s="689"/>
    </row>
    <row r="126" spans="1:4" x14ac:dyDescent="0.35">
      <c r="A126" s="576">
        <v>82</v>
      </c>
      <c r="B126" s="332" t="s">
        <v>509</v>
      </c>
      <c r="C126" s="683"/>
      <c r="D126" s="689"/>
    </row>
    <row r="127" spans="1:4" x14ac:dyDescent="0.35">
      <c r="A127" s="576">
        <v>83</v>
      </c>
      <c r="B127" s="332" t="s">
        <v>426</v>
      </c>
      <c r="C127" s="683"/>
      <c r="D127" s="689"/>
    </row>
    <row r="128" spans="1:4" x14ac:dyDescent="0.35">
      <c r="A128" s="576">
        <v>84</v>
      </c>
      <c r="B128" s="675" t="s">
        <v>531</v>
      </c>
      <c r="C128" s="683"/>
      <c r="D128" s="689"/>
    </row>
    <row r="129" spans="1:4" x14ac:dyDescent="0.35">
      <c r="A129" s="576">
        <v>85</v>
      </c>
      <c r="B129" s="328" t="s">
        <v>427</v>
      </c>
      <c r="C129" s="683"/>
      <c r="D129" s="689"/>
    </row>
    <row r="130" spans="1:4" x14ac:dyDescent="0.35">
      <c r="A130" s="576">
        <v>86</v>
      </c>
      <c r="B130" s="328" t="s">
        <v>428</v>
      </c>
      <c r="C130" s="683"/>
      <c r="D130" s="689"/>
    </row>
    <row r="131" spans="1:4" x14ac:dyDescent="0.35">
      <c r="A131" s="576">
        <v>87</v>
      </c>
      <c r="B131" s="328" t="s">
        <v>211</v>
      </c>
      <c r="C131" s="683"/>
      <c r="D131" s="689"/>
    </row>
    <row r="132" spans="1:4" x14ac:dyDescent="0.35">
      <c r="A132" s="576">
        <v>88</v>
      </c>
      <c r="B132" s="328" t="s">
        <v>85</v>
      </c>
      <c r="C132" s="683"/>
      <c r="D132" s="689"/>
    </row>
    <row r="133" spans="1:4" x14ac:dyDescent="0.35">
      <c r="A133" s="576">
        <v>89</v>
      </c>
      <c r="B133" s="674" t="s">
        <v>532</v>
      </c>
      <c r="C133" s="683"/>
      <c r="D133" s="689"/>
    </row>
    <row r="134" spans="1:4" x14ac:dyDescent="0.35">
      <c r="A134" s="576">
        <v>90</v>
      </c>
      <c r="B134" s="674" t="s">
        <v>214</v>
      </c>
      <c r="C134" s="683"/>
      <c r="D134" s="689"/>
    </row>
    <row r="135" spans="1:4" x14ac:dyDescent="0.35">
      <c r="A135" s="576">
        <v>91</v>
      </c>
      <c r="B135" s="328" t="s">
        <v>128</v>
      </c>
      <c r="C135" s="683"/>
      <c r="D135" s="689"/>
    </row>
    <row r="136" spans="1:4" x14ac:dyDescent="0.35">
      <c r="A136" s="576">
        <v>92</v>
      </c>
      <c r="B136" s="328" t="s">
        <v>129</v>
      </c>
      <c r="C136" s="683"/>
      <c r="D136" s="689"/>
    </row>
    <row r="137" spans="1:4" x14ac:dyDescent="0.35">
      <c r="A137" s="576">
        <v>93</v>
      </c>
      <c r="B137" s="328" t="s">
        <v>429</v>
      </c>
      <c r="C137" s="683"/>
      <c r="D137" s="689"/>
    </row>
    <row r="138" spans="1:4" x14ac:dyDescent="0.35">
      <c r="A138" s="576">
        <v>94</v>
      </c>
      <c r="B138" s="328" t="s">
        <v>510</v>
      </c>
      <c r="C138" s="683"/>
      <c r="D138" s="689"/>
    </row>
    <row r="139" spans="1:4" x14ac:dyDescent="0.35">
      <c r="A139" s="576">
        <v>95</v>
      </c>
      <c r="B139" s="328" t="s">
        <v>67</v>
      </c>
      <c r="C139" s="683"/>
      <c r="D139" s="689"/>
    </row>
    <row r="140" spans="1:4" x14ac:dyDescent="0.35">
      <c r="A140" s="576">
        <v>96</v>
      </c>
      <c r="B140" s="332" t="s">
        <v>431</v>
      </c>
      <c r="C140" s="683"/>
      <c r="D140" s="689"/>
    </row>
    <row r="141" spans="1:4" x14ac:dyDescent="0.35">
      <c r="A141" s="576">
        <v>97</v>
      </c>
      <c r="B141" s="328" t="s">
        <v>131</v>
      </c>
      <c r="C141" s="683"/>
      <c r="D141" s="689"/>
    </row>
    <row r="142" spans="1:4" x14ac:dyDescent="0.35">
      <c r="A142" s="576">
        <v>98</v>
      </c>
      <c r="B142" s="328" t="s">
        <v>132</v>
      </c>
      <c r="C142" s="683"/>
      <c r="D142" s="689"/>
    </row>
    <row r="143" spans="1:4" x14ac:dyDescent="0.35">
      <c r="A143" s="576">
        <v>99</v>
      </c>
      <c r="B143" s="328" t="s">
        <v>41</v>
      </c>
      <c r="C143" s="683"/>
      <c r="D143" s="689"/>
    </row>
    <row r="144" spans="1:4" x14ac:dyDescent="0.35">
      <c r="A144" s="576">
        <v>100</v>
      </c>
      <c r="B144" s="328" t="s">
        <v>134</v>
      </c>
      <c r="C144" s="683"/>
      <c r="D144" s="689"/>
    </row>
    <row r="145" spans="1:4" x14ac:dyDescent="0.35">
      <c r="A145" s="576">
        <v>101</v>
      </c>
      <c r="B145" s="328" t="s">
        <v>135</v>
      </c>
      <c r="C145" s="683"/>
      <c r="D145" s="689"/>
    </row>
    <row r="146" spans="1:4" x14ac:dyDescent="0.35">
      <c r="A146" s="576">
        <v>102</v>
      </c>
      <c r="B146" s="332" t="s">
        <v>432</v>
      </c>
      <c r="C146" s="683"/>
      <c r="D146" s="689"/>
    </row>
    <row r="147" spans="1:4" x14ac:dyDescent="0.35">
      <c r="A147" s="576">
        <v>103</v>
      </c>
      <c r="B147" s="328" t="s">
        <v>136</v>
      </c>
      <c r="C147" s="683"/>
      <c r="D147" s="689"/>
    </row>
    <row r="148" spans="1:4" x14ac:dyDescent="0.35">
      <c r="A148" s="576">
        <v>104</v>
      </c>
      <c r="B148" s="328" t="s">
        <v>124</v>
      </c>
      <c r="C148" s="683"/>
      <c r="D148" s="689"/>
    </row>
    <row r="149" spans="1:4" x14ac:dyDescent="0.35">
      <c r="A149" s="576">
        <v>105</v>
      </c>
      <c r="B149" s="332" t="s">
        <v>435</v>
      </c>
      <c r="C149" s="683"/>
      <c r="D149" s="689"/>
    </row>
    <row r="150" spans="1:4" x14ac:dyDescent="0.35">
      <c r="A150" s="576">
        <v>106</v>
      </c>
      <c r="B150" s="328" t="s">
        <v>133</v>
      </c>
      <c r="C150" s="683"/>
      <c r="D150" s="689"/>
    </row>
    <row r="151" spans="1:4" x14ac:dyDescent="0.35">
      <c r="A151" s="576">
        <v>107</v>
      </c>
      <c r="B151" s="328" t="s">
        <v>436</v>
      </c>
      <c r="C151" s="683"/>
      <c r="D151" s="689"/>
    </row>
    <row r="152" spans="1:4" x14ac:dyDescent="0.35">
      <c r="A152" s="576">
        <v>108</v>
      </c>
      <c r="B152" s="670" t="s">
        <v>513</v>
      </c>
      <c r="C152" s="683"/>
      <c r="D152" s="689"/>
    </row>
    <row r="153" spans="1:4" x14ac:dyDescent="0.35">
      <c r="A153" s="576">
        <v>109</v>
      </c>
      <c r="B153" s="328" t="s">
        <v>139</v>
      </c>
      <c r="C153" s="683"/>
      <c r="D153" s="689"/>
    </row>
    <row r="154" spans="1:4" x14ac:dyDescent="0.35">
      <c r="A154" s="576">
        <v>110</v>
      </c>
      <c r="B154" s="328" t="s">
        <v>143</v>
      </c>
      <c r="C154" s="683"/>
      <c r="D154" s="689"/>
    </row>
    <row r="155" spans="1:4" x14ac:dyDescent="0.35">
      <c r="A155" s="576">
        <v>111</v>
      </c>
      <c r="B155" s="328" t="s">
        <v>151</v>
      </c>
      <c r="C155" s="683"/>
      <c r="D155" s="689"/>
    </row>
    <row r="156" spans="1:4" x14ac:dyDescent="0.35">
      <c r="A156" s="576">
        <v>112</v>
      </c>
      <c r="B156" s="328" t="s">
        <v>144</v>
      </c>
      <c r="C156" s="683"/>
      <c r="D156" s="689"/>
    </row>
    <row r="157" spans="1:4" x14ac:dyDescent="0.35">
      <c r="A157" s="576">
        <v>113</v>
      </c>
      <c r="B157" s="328" t="s">
        <v>145</v>
      </c>
      <c r="C157" s="683"/>
      <c r="D157" s="689"/>
    </row>
    <row r="158" spans="1:4" x14ac:dyDescent="0.35">
      <c r="A158" s="576">
        <v>114</v>
      </c>
      <c r="B158" s="328" t="s">
        <v>152</v>
      </c>
      <c r="C158" s="683"/>
      <c r="D158" s="689"/>
    </row>
    <row r="159" spans="1:4" x14ac:dyDescent="0.35">
      <c r="A159" s="576">
        <v>115</v>
      </c>
      <c r="B159" s="328" t="s">
        <v>146</v>
      </c>
      <c r="C159" s="683"/>
      <c r="D159" s="689"/>
    </row>
    <row r="160" spans="1:4" x14ac:dyDescent="0.35">
      <c r="A160" s="576">
        <v>116</v>
      </c>
      <c r="B160" s="328" t="s">
        <v>147</v>
      </c>
      <c r="C160" s="683"/>
      <c r="D160" s="689"/>
    </row>
    <row r="161" spans="1:4" x14ac:dyDescent="0.35">
      <c r="A161" s="576">
        <v>117</v>
      </c>
      <c r="B161" s="328" t="s">
        <v>148</v>
      </c>
      <c r="C161" s="683"/>
      <c r="D161" s="689"/>
    </row>
    <row r="162" spans="1:4" x14ac:dyDescent="0.35">
      <c r="A162" s="576">
        <v>118</v>
      </c>
      <c r="B162" s="328" t="s">
        <v>506</v>
      </c>
      <c r="C162" s="683"/>
      <c r="D162" s="689"/>
    </row>
    <row r="163" spans="1:4" x14ac:dyDescent="0.35">
      <c r="A163" s="576">
        <v>119</v>
      </c>
      <c r="B163" s="328" t="s">
        <v>533</v>
      </c>
      <c r="C163" s="683"/>
      <c r="D163" s="689"/>
    </row>
    <row r="164" spans="1:4" x14ac:dyDescent="0.35">
      <c r="A164" s="576">
        <v>121</v>
      </c>
      <c r="B164" s="328" t="s">
        <v>142</v>
      </c>
      <c r="C164" s="683"/>
      <c r="D164" s="689"/>
    </row>
    <row r="165" spans="1:4" ht="15.5" x14ac:dyDescent="0.35">
      <c r="A165" s="582"/>
      <c r="B165" s="573" t="s">
        <v>444</v>
      </c>
      <c r="C165" s="681">
        <f>SUM(C45:C164)</f>
        <v>0</v>
      </c>
      <c r="D165" s="681">
        <f>SUM(D45:D164)</f>
        <v>0</v>
      </c>
    </row>
    <row r="166" spans="1:4" ht="15.5" x14ac:dyDescent="0.35">
      <c r="A166" s="581"/>
      <c r="B166" s="569"/>
      <c r="C166" s="682"/>
      <c r="D166" s="682"/>
    </row>
    <row r="167" spans="1:4" ht="16" thickBot="1" x14ac:dyDescent="0.4">
      <c r="A167" s="583"/>
      <c r="B167" s="561" t="s">
        <v>445</v>
      </c>
      <c r="C167" s="684">
        <f>C42-C165</f>
        <v>0</v>
      </c>
      <c r="D167" s="684">
        <f>D42-D165</f>
        <v>0</v>
      </c>
    </row>
  </sheetData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47C0-0523-423B-A454-723C4186724F}">
  <sheetPr>
    <tabColor theme="7" tint="0.79998168889431442"/>
  </sheetPr>
  <dimension ref="A1:Q59"/>
  <sheetViews>
    <sheetView topLeftCell="C1" zoomScaleNormal="100" workbookViewId="0">
      <selection activeCell="E20" sqref="E20"/>
    </sheetView>
  </sheetViews>
  <sheetFormatPr defaultRowHeight="14.5" x14ac:dyDescent="0.35"/>
  <cols>
    <col min="1" max="1" width="0" hidden="1" customWidth="1"/>
    <col min="2" max="2" width="31.26953125" hidden="1" customWidth="1"/>
    <col min="3" max="3" width="40.7265625" customWidth="1"/>
    <col min="4" max="5" width="20.54296875" customWidth="1"/>
    <col min="6" max="9" width="20.54296875" hidden="1" customWidth="1"/>
    <col min="10" max="10" width="21.453125" customWidth="1"/>
    <col min="12" max="12" width="13.54296875" customWidth="1"/>
    <col min="16" max="16" width="10.1796875" bestFit="1" customWidth="1"/>
    <col min="17" max="17" width="13" bestFit="1" customWidth="1"/>
  </cols>
  <sheetData>
    <row r="1" spans="1:17" ht="18.5" x14ac:dyDescent="0.35">
      <c r="C1" s="1259" t="s">
        <v>534</v>
      </c>
      <c r="D1" s="1259"/>
    </row>
    <row r="2" spans="1:17" ht="18.5" x14ac:dyDescent="0.35">
      <c r="C2" s="131"/>
      <c r="D2" s="132"/>
      <c r="E2" s="295" t="s">
        <v>535</v>
      </c>
    </row>
    <row r="3" spans="1:17" x14ac:dyDescent="0.35">
      <c r="E3" s="129" t="s">
        <v>536</v>
      </c>
    </row>
    <row r="4" spans="1:17" x14ac:dyDescent="0.35">
      <c r="A4" t="s">
        <v>537</v>
      </c>
      <c r="B4" s="17" t="s">
        <v>93</v>
      </c>
      <c r="C4" s="133" t="s">
        <v>94</v>
      </c>
      <c r="D4" s="50" t="s">
        <v>95</v>
      </c>
      <c r="E4" s="50" t="s">
        <v>96</v>
      </c>
      <c r="F4" s="134" t="s">
        <v>538</v>
      </c>
      <c r="G4" s="50" t="s">
        <v>539</v>
      </c>
      <c r="H4" s="50" t="s">
        <v>540</v>
      </c>
      <c r="I4" s="50" t="s">
        <v>541</v>
      </c>
      <c r="J4" s="316" t="s">
        <v>542</v>
      </c>
    </row>
    <row r="5" spans="1:17" x14ac:dyDescent="0.35">
      <c r="A5">
        <v>1</v>
      </c>
      <c r="B5" t="s">
        <v>288</v>
      </c>
      <c r="C5" s="312" t="s">
        <v>543</v>
      </c>
      <c r="D5" s="88">
        <v>1700000</v>
      </c>
      <c r="E5" s="88">
        <f>'AAL FY23-FY27 Budget'!E80</f>
        <v>1745595.9</v>
      </c>
      <c r="F5" s="53">
        <v>1600000</v>
      </c>
      <c r="G5" s="53">
        <v>1500000</v>
      </c>
      <c r="H5" s="53">
        <v>1400000</v>
      </c>
      <c r="I5" s="53">
        <v>1400000</v>
      </c>
      <c r="J5" s="88">
        <v>1700000</v>
      </c>
      <c r="K5" s="2"/>
      <c r="L5" s="73"/>
      <c r="M5" s="48"/>
      <c r="Q5" t="s">
        <v>544</v>
      </c>
    </row>
    <row r="6" spans="1:17" x14ac:dyDescent="0.35">
      <c r="A6">
        <v>2</v>
      </c>
      <c r="B6" t="s">
        <v>288</v>
      </c>
      <c r="C6" s="312" t="s">
        <v>545</v>
      </c>
      <c r="D6" s="88">
        <v>0</v>
      </c>
      <c r="E6" s="297">
        <f>'C2 FY23-FY27 Budget'!E80</f>
        <v>140325.82860000001</v>
      </c>
      <c r="F6" s="53">
        <v>0</v>
      </c>
      <c r="G6" s="53">
        <v>0</v>
      </c>
      <c r="H6" s="53"/>
      <c r="I6" s="53"/>
      <c r="J6" s="297">
        <v>150000</v>
      </c>
      <c r="K6" s="2"/>
      <c r="L6" s="73"/>
      <c r="M6" s="48"/>
      <c r="P6" t="s">
        <v>115</v>
      </c>
      <c r="Q6" s="126">
        <v>200000</v>
      </c>
    </row>
    <row r="7" spans="1:17" x14ac:dyDescent="0.35">
      <c r="A7">
        <v>3</v>
      </c>
      <c r="B7" t="s">
        <v>288</v>
      </c>
      <c r="C7" s="312" t="s">
        <v>546</v>
      </c>
      <c r="D7" s="88">
        <v>100000</v>
      </c>
      <c r="E7" s="297">
        <f>'C3 FY23-FY27 Budget '!E81</f>
        <v>246064.44</v>
      </c>
      <c r="F7" s="53">
        <v>100000</v>
      </c>
      <c r="G7" s="53">
        <v>200000</v>
      </c>
      <c r="H7" s="53">
        <v>200000</v>
      </c>
      <c r="I7" s="53">
        <v>300000</v>
      </c>
      <c r="J7" s="297">
        <v>300000</v>
      </c>
      <c r="K7" s="2"/>
      <c r="L7" s="73"/>
      <c r="M7" s="48"/>
      <c r="P7" t="s">
        <v>547</v>
      </c>
      <c r="Q7" s="126">
        <v>200000</v>
      </c>
    </row>
    <row r="8" spans="1:17" x14ac:dyDescent="0.35">
      <c r="A8">
        <v>4</v>
      </c>
      <c r="B8" t="s">
        <v>288</v>
      </c>
      <c r="C8" s="312" t="s">
        <v>548</v>
      </c>
      <c r="D8" s="88">
        <v>750000</v>
      </c>
      <c r="E8" s="297">
        <f>'SHES FY23-FY27 Budget '!E49</f>
        <v>707313.45</v>
      </c>
      <c r="F8" s="53">
        <v>700000</v>
      </c>
      <c r="G8" s="53">
        <v>600000</v>
      </c>
      <c r="H8" s="53">
        <v>600000</v>
      </c>
      <c r="I8" s="53">
        <v>600000</v>
      </c>
      <c r="J8" s="297">
        <v>820880</v>
      </c>
      <c r="K8" s="2"/>
      <c r="L8" s="73"/>
      <c r="M8" s="48"/>
      <c r="P8" t="s">
        <v>215</v>
      </c>
      <c r="Q8" s="126">
        <v>200000</v>
      </c>
    </row>
    <row r="9" spans="1:17" x14ac:dyDescent="0.35">
      <c r="A9">
        <v>5</v>
      </c>
      <c r="B9" t="s">
        <v>288</v>
      </c>
      <c r="C9" s="312" t="s">
        <v>549</v>
      </c>
      <c r="D9" s="88">
        <v>2500000</v>
      </c>
      <c r="E9" s="297">
        <f>'Ector FY23-FY27 Budget '!E49</f>
        <v>2392200.36</v>
      </c>
      <c r="F9" s="53">
        <v>2600000</v>
      </c>
      <c r="G9" s="53">
        <v>2500000</v>
      </c>
      <c r="H9" s="53">
        <v>2500000</v>
      </c>
      <c r="I9" s="53">
        <v>2500000</v>
      </c>
      <c r="J9" s="297">
        <v>2633230</v>
      </c>
      <c r="K9" s="2"/>
      <c r="L9" s="73"/>
      <c r="M9" s="48"/>
      <c r="P9" t="s">
        <v>113</v>
      </c>
      <c r="Q9" s="126">
        <v>200000</v>
      </c>
    </row>
    <row r="10" spans="1:17" x14ac:dyDescent="0.35">
      <c r="A10">
        <v>6</v>
      </c>
      <c r="B10" t="s">
        <v>288</v>
      </c>
      <c r="C10" s="312" t="s">
        <v>550</v>
      </c>
      <c r="D10" s="88">
        <v>300000</v>
      </c>
      <c r="E10" s="297">
        <f>'Mendez FY23-FY27 Budget'!E53</f>
        <v>553421.25</v>
      </c>
      <c r="F10" s="53">
        <v>300000</v>
      </c>
      <c r="G10" s="53">
        <v>400000</v>
      </c>
      <c r="H10" s="53">
        <v>500000</v>
      </c>
      <c r="I10" s="53">
        <v>500000</v>
      </c>
      <c r="J10" s="297">
        <v>400000</v>
      </c>
      <c r="K10" s="2"/>
      <c r="L10" s="73"/>
      <c r="M10" s="48"/>
      <c r="Q10" s="125">
        <f>SUM(Q6:Q9)</f>
        <v>800000</v>
      </c>
    </row>
    <row r="11" spans="1:17" hidden="1" x14ac:dyDescent="0.35">
      <c r="A11">
        <v>7</v>
      </c>
      <c r="C11" s="2" t="s">
        <v>295</v>
      </c>
      <c r="D11" s="88"/>
      <c r="E11" s="297"/>
      <c r="F11" s="53">
        <v>300000</v>
      </c>
      <c r="G11" s="53">
        <v>600000</v>
      </c>
      <c r="H11" s="53">
        <v>700000</v>
      </c>
      <c r="I11" s="53">
        <v>900000</v>
      </c>
      <c r="J11" s="297"/>
      <c r="K11" s="2"/>
      <c r="L11" s="73"/>
      <c r="M11" s="48"/>
    </row>
    <row r="12" spans="1:17" hidden="1" x14ac:dyDescent="0.35">
      <c r="A12">
        <v>8</v>
      </c>
      <c r="C12" s="2" t="s">
        <v>295</v>
      </c>
      <c r="D12" s="88"/>
      <c r="E12" s="297"/>
      <c r="F12" s="89"/>
      <c r="G12" s="53">
        <v>300000</v>
      </c>
      <c r="H12" s="53">
        <v>600000</v>
      </c>
      <c r="I12" s="53">
        <v>700000</v>
      </c>
      <c r="J12" s="297"/>
      <c r="K12" s="2"/>
      <c r="L12" s="73"/>
      <c r="M12" s="48"/>
    </row>
    <row r="13" spans="1:17" hidden="1" x14ac:dyDescent="0.35">
      <c r="A13">
        <v>9</v>
      </c>
      <c r="C13" s="2" t="s">
        <v>295</v>
      </c>
      <c r="D13" s="88"/>
      <c r="E13" s="297"/>
      <c r="F13" s="89"/>
      <c r="G13" s="89"/>
      <c r="H13" s="53">
        <v>300000</v>
      </c>
      <c r="I13" s="53">
        <v>600000</v>
      </c>
      <c r="J13" s="297"/>
    </row>
    <row r="14" spans="1:17" hidden="1" x14ac:dyDescent="0.35">
      <c r="A14">
        <v>10</v>
      </c>
      <c r="C14" s="2" t="s">
        <v>295</v>
      </c>
      <c r="D14" s="88"/>
      <c r="E14" s="297"/>
      <c r="F14" s="89"/>
      <c r="G14" s="89"/>
      <c r="H14" s="89"/>
      <c r="I14" s="53">
        <v>300000</v>
      </c>
      <c r="J14" s="297"/>
      <c r="M14" s="48"/>
    </row>
    <row r="15" spans="1:17" x14ac:dyDescent="0.35">
      <c r="A15">
        <v>11</v>
      </c>
      <c r="B15" t="s">
        <v>296</v>
      </c>
      <c r="C15" t="s">
        <v>551</v>
      </c>
      <c r="D15" s="88">
        <v>500000</v>
      </c>
      <c r="E15" s="297">
        <v>1050000</v>
      </c>
      <c r="F15" s="53">
        <v>500000</v>
      </c>
      <c r="G15" s="53">
        <v>500000</v>
      </c>
      <c r="H15" s="53">
        <v>500000</v>
      </c>
      <c r="I15" s="53">
        <v>500000</v>
      </c>
      <c r="J15" s="297">
        <v>1050000</v>
      </c>
    </row>
    <row r="16" spans="1:17" x14ac:dyDescent="0.35">
      <c r="A16">
        <v>12</v>
      </c>
      <c r="B16" t="s">
        <v>296</v>
      </c>
      <c r="C16" s="2" t="s">
        <v>298</v>
      </c>
      <c r="D16" s="88">
        <v>200000</v>
      </c>
      <c r="E16" s="88">
        <v>200000</v>
      </c>
      <c r="F16" s="53">
        <v>200000</v>
      </c>
      <c r="G16" s="53"/>
      <c r="H16" s="53"/>
      <c r="I16" s="53"/>
      <c r="P16" t="s">
        <v>480</v>
      </c>
    </row>
    <row r="17" spans="1:16" x14ac:dyDescent="0.35">
      <c r="A17">
        <v>13</v>
      </c>
      <c r="B17" t="s">
        <v>7</v>
      </c>
      <c r="C17" t="s">
        <v>552</v>
      </c>
      <c r="D17" s="88">
        <v>200000</v>
      </c>
      <c r="E17" s="88">
        <v>200000</v>
      </c>
      <c r="F17" s="53">
        <f>D52</f>
        <v>444236</v>
      </c>
      <c r="G17" s="53" t="e">
        <f>F52</f>
        <v>#REF!</v>
      </c>
      <c r="H17" s="53" t="e">
        <f>G52</f>
        <v>#REF!</v>
      </c>
      <c r="I17" s="53" t="e">
        <f>H52</f>
        <v>#REF!</v>
      </c>
      <c r="P17" s="13">
        <f>SUM(E5:E10)</f>
        <v>5784921.2285999991</v>
      </c>
    </row>
    <row r="18" spans="1:16" ht="15" thickBot="1" x14ac:dyDescent="0.4">
      <c r="B18" s="5"/>
      <c r="C18" s="251" t="s">
        <v>371</v>
      </c>
      <c r="D18" s="90">
        <f t="shared" ref="D18:I18" si="0">SUM(D5:D17)</f>
        <v>6250000</v>
      </c>
      <c r="E18" s="246">
        <f t="shared" si="0"/>
        <v>7234921.2285999991</v>
      </c>
      <c r="F18" s="135">
        <f t="shared" si="0"/>
        <v>6744236</v>
      </c>
      <c r="G18" s="90" t="e">
        <f t="shared" si="0"/>
        <v>#REF!</v>
      </c>
      <c r="H18" s="90" t="e">
        <f t="shared" si="0"/>
        <v>#REF!</v>
      </c>
      <c r="I18" s="90" t="e">
        <f t="shared" si="0"/>
        <v>#REF!</v>
      </c>
    </row>
    <row r="19" spans="1:16" x14ac:dyDescent="0.35">
      <c r="F19" s="48"/>
      <c r="G19" s="48"/>
      <c r="H19" s="48"/>
      <c r="I19" s="48"/>
    </row>
    <row r="20" spans="1:16" x14ac:dyDescent="0.35">
      <c r="A20">
        <v>1</v>
      </c>
      <c r="B20" t="s">
        <v>122</v>
      </c>
      <c r="C20" t="s">
        <v>553</v>
      </c>
      <c r="D20" s="1">
        <v>2154550</v>
      </c>
      <c r="E20" s="298" t="e">
        <f>#REF!</f>
        <v>#REF!</v>
      </c>
      <c r="F20" s="48">
        <v>2569187</v>
      </c>
      <c r="G20" s="48">
        <v>2786262</v>
      </c>
      <c r="H20" s="48">
        <v>3014850</v>
      </c>
      <c r="I20" s="48">
        <v>3250295</v>
      </c>
    </row>
    <row r="21" spans="1:16" x14ac:dyDescent="0.35">
      <c r="A21">
        <v>2</v>
      </c>
      <c r="B21" t="s">
        <v>122</v>
      </c>
      <c r="C21" t="s">
        <v>554</v>
      </c>
      <c r="D21" s="1">
        <v>670754</v>
      </c>
      <c r="E21" s="298" t="e">
        <f>#REF!</f>
        <v>#REF!</v>
      </c>
      <c r="F21" s="48">
        <v>140000</v>
      </c>
      <c r="G21" s="48">
        <v>150000</v>
      </c>
      <c r="H21" s="48">
        <v>160000</v>
      </c>
      <c r="I21" s="48">
        <v>170000</v>
      </c>
      <c r="K21" s="4"/>
    </row>
    <row r="22" spans="1:16" x14ac:dyDescent="0.35">
      <c r="A22">
        <v>9</v>
      </c>
      <c r="B22" t="s">
        <v>155</v>
      </c>
      <c r="C22" t="s">
        <v>307</v>
      </c>
      <c r="D22" s="1">
        <v>9000</v>
      </c>
      <c r="E22" s="1">
        <v>9000</v>
      </c>
      <c r="F22" s="4">
        <v>9000</v>
      </c>
      <c r="G22" s="4">
        <v>9000</v>
      </c>
      <c r="H22" s="4">
        <v>9000</v>
      </c>
      <c r="I22" s="4">
        <v>9000</v>
      </c>
    </row>
    <row r="23" spans="1:16" x14ac:dyDescent="0.35">
      <c r="A23">
        <v>10</v>
      </c>
      <c r="B23" t="s">
        <v>122</v>
      </c>
      <c r="C23" t="s">
        <v>555</v>
      </c>
      <c r="D23" s="1">
        <v>1350000</v>
      </c>
      <c r="E23" s="1">
        <v>1350000</v>
      </c>
      <c r="F23" s="130">
        <v>1000000</v>
      </c>
      <c r="G23" s="48">
        <v>300000</v>
      </c>
      <c r="H23" s="48">
        <v>300000</v>
      </c>
      <c r="I23" s="48">
        <v>300000</v>
      </c>
    </row>
    <row r="24" spans="1:16" x14ac:dyDescent="0.35">
      <c r="A24">
        <v>11</v>
      </c>
      <c r="B24" t="s">
        <v>155</v>
      </c>
      <c r="C24" t="s">
        <v>490</v>
      </c>
      <c r="D24" s="1">
        <v>379620</v>
      </c>
      <c r="E24" s="489" t="e">
        <f>#REF!</f>
        <v>#REF!</v>
      </c>
      <c r="F24" s="4">
        <f>F23*0.214</f>
        <v>214000</v>
      </c>
      <c r="G24" s="4">
        <f>G23*0.214</f>
        <v>64200</v>
      </c>
      <c r="H24" s="4">
        <f>H23*0.214</f>
        <v>64200</v>
      </c>
      <c r="I24" s="4">
        <f>I23*0.214</f>
        <v>64200</v>
      </c>
      <c r="L24" s="4"/>
    </row>
    <row r="25" spans="1:16" x14ac:dyDescent="0.35">
      <c r="A25">
        <v>13</v>
      </c>
      <c r="B25" t="s">
        <v>122</v>
      </c>
      <c r="C25" t="s">
        <v>311</v>
      </c>
      <c r="D25" s="1">
        <f>4*65000</f>
        <v>260000</v>
      </c>
      <c r="E25" s="298" t="e">
        <f>#REF!</f>
        <v>#REF!</v>
      </c>
      <c r="F25" s="48">
        <f>D25+(D25*0.03)</f>
        <v>267800</v>
      </c>
      <c r="G25" s="33">
        <f>6*70000</f>
        <v>420000</v>
      </c>
      <c r="H25" s="48">
        <f>G25+(G25*0.03)</f>
        <v>432600</v>
      </c>
      <c r="I25" s="48">
        <f>H25+(H25*0.03)</f>
        <v>445578</v>
      </c>
    </row>
    <row r="26" spans="1:16" x14ac:dyDescent="0.35">
      <c r="A26">
        <v>14</v>
      </c>
      <c r="B26" t="s">
        <v>155</v>
      </c>
      <c r="C26" t="s">
        <v>556</v>
      </c>
      <c r="D26" s="1">
        <v>80840</v>
      </c>
      <c r="E26" s="298" t="e">
        <f>#REF!</f>
        <v>#REF!</v>
      </c>
      <c r="F26" s="4">
        <f>F25*0.214</f>
        <v>57309.2</v>
      </c>
      <c r="G26" s="4">
        <f>G25*0.214</f>
        <v>89880</v>
      </c>
      <c r="H26" s="4">
        <f>H25*0.214</f>
        <v>92576.4</v>
      </c>
      <c r="I26" s="4">
        <f>I25*0.214</f>
        <v>95353.691999999995</v>
      </c>
      <c r="L26" s="4"/>
    </row>
    <row r="27" spans="1:16" x14ac:dyDescent="0.35">
      <c r="A27">
        <v>16</v>
      </c>
      <c r="B27" t="s">
        <v>169</v>
      </c>
      <c r="C27" t="s">
        <v>314</v>
      </c>
      <c r="D27" s="1">
        <v>4000</v>
      </c>
      <c r="E27" s="1">
        <v>4000</v>
      </c>
      <c r="F27" s="48">
        <f>D27+(D27*0.03)</f>
        <v>4120</v>
      </c>
      <c r="G27" s="48">
        <f>F27+(F27*0.03)</f>
        <v>4243.6000000000004</v>
      </c>
      <c r="H27" s="48">
        <f>G27+(G27*0.03)</f>
        <v>4370.9080000000004</v>
      </c>
      <c r="I27" s="48">
        <f>H27+(H27*0.03)</f>
        <v>4502.0352400000002</v>
      </c>
    </row>
    <row r="28" spans="1:16" x14ac:dyDescent="0.35">
      <c r="A28">
        <v>17</v>
      </c>
      <c r="B28" t="s">
        <v>315</v>
      </c>
      <c r="C28" t="s">
        <v>316</v>
      </c>
      <c r="D28" s="1">
        <v>100000</v>
      </c>
      <c r="E28" s="1">
        <v>100000</v>
      </c>
      <c r="F28" s="130">
        <v>300000</v>
      </c>
      <c r="G28" s="48">
        <v>300000</v>
      </c>
      <c r="H28" s="48">
        <v>300000</v>
      </c>
      <c r="I28" s="48">
        <v>300000</v>
      </c>
    </row>
    <row r="29" spans="1:16" x14ac:dyDescent="0.35">
      <c r="A29">
        <v>18</v>
      </c>
      <c r="B29" s="2" t="s">
        <v>181</v>
      </c>
      <c r="C29" s="2" t="s">
        <v>317</v>
      </c>
      <c r="D29" s="1">
        <v>200000</v>
      </c>
      <c r="E29" s="1">
        <v>200000</v>
      </c>
      <c r="F29" s="48">
        <v>400000</v>
      </c>
      <c r="G29" s="48">
        <v>600000</v>
      </c>
      <c r="H29" s="48">
        <v>600000</v>
      </c>
      <c r="I29" s="48">
        <v>600000</v>
      </c>
    </row>
    <row r="30" spans="1:16" x14ac:dyDescent="0.35">
      <c r="A30">
        <v>19</v>
      </c>
      <c r="B30" t="s">
        <v>124</v>
      </c>
      <c r="C30" t="s">
        <v>318</v>
      </c>
      <c r="D30" s="1">
        <v>85000</v>
      </c>
      <c r="E30" s="1">
        <v>85000</v>
      </c>
      <c r="F30" s="48">
        <f>D30+(D30*0.03)</f>
        <v>87550</v>
      </c>
      <c r="G30" s="48">
        <f>F30+(F30*0.03)</f>
        <v>90176.5</v>
      </c>
      <c r="H30" s="48">
        <f>G30+(G30*0.03)</f>
        <v>92881.794999999998</v>
      </c>
      <c r="I30" s="48">
        <f>H30+(H30*0.03)</f>
        <v>95668.248850000004</v>
      </c>
    </row>
    <row r="31" spans="1:16" x14ac:dyDescent="0.35">
      <c r="A31">
        <v>20</v>
      </c>
      <c r="B31" t="s">
        <v>319</v>
      </c>
      <c r="C31" t="s">
        <v>320</v>
      </c>
      <c r="D31" s="1">
        <v>100000</v>
      </c>
      <c r="E31" s="1">
        <v>100000</v>
      </c>
      <c r="F31" s="48">
        <v>10000</v>
      </c>
      <c r="G31" s="48">
        <v>10000</v>
      </c>
      <c r="H31" s="48">
        <v>10000</v>
      </c>
      <c r="I31" s="48">
        <v>10000</v>
      </c>
    </row>
    <row r="32" spans="1:16" x14ac:dyDescent="0.35">
      <c r="A32">
        <v>21</v>
      </c>
      <c r="B32" t="s">
        <v>319</v>
      </c>
      <c r="C32" t="s">
        <v>321</v>
      </c>
      <c r="D32" s="1">
        <v>100000</v>
      </c>
      <c r="E32" s="1">
        <v>100000</v>
      </c>
      <c r="F32" s="48">
        <v>100000</v>
      </c>
      <c r="G32" s="33">
        <v>200000</v>
      </c>
      <c r="H32" s="48">
        <v>200000</v>
      </c>
      <c r="I32" s="48">
        <v>200000</v>
      </c>
    </row>
    <row r="33" spans="1:9" x14ac:dyDescent="0.35">
      <c r="A33">
        <v>22</v>
      </c>
      <c r="B33" t="s">
        <v>181</v>
      </c>
      <c r="C33" t="s">
        <v>322</v>
      </c>
      <c r="D33" s="1">
        <v>50000</v>
      </c>
      <c r="E33" s="1">
        <v>50000</v>
      </c>
      <c r="F33" s="4">
        <v>50000</v>
      </c>
      <c r="G33" s="4">
        <v>50000</v>
      </c>
      <c r="H33" s="4">
        <v>50000</v>
      </c>
      <c r="I33" s="4">
        <v>50000</v>
      </c>
    </row>
    <row r="34" spans="1:9" x14ac:dyDescent="0.35">
      <c r="C34" t="s">
        <v>557</v>
      </c>
      <c r="D34" s="1"/>
      <c r="E34" s="298">
        <v>200000</v>
      </c>
      <c r="F34" s="4"/>
      <c r="G34" s="4"/>
      <c r="H34" s="4"/>
      <c r="I34" s="4"/>
    </row>
    <row r="35" spans="1:9" x14ac:dyDescent="0.35">
      <c r="A35">
        <v>23</v>
      </c>
      <c r="B35" t="s">
        <v>181</v>
      </c>
      <c r="C35" t="s">
        <v>323</v>
      </c>
      <c r="D35" s="1">
        <v>10000</v>
      </c>
      <c r="E35" s="1">
        <v>10000</v>
      </c>
      <c r="F35" s="4">
        <v>10000</v>
      </c>
      <c r="G35" s="4">
        <v>10000</v>
      </c>
      <c r="H35" s="4">
        <v>10000</v>
      </c>
      <c r="I35" s="4">
        <v>10000</v>
      </c>
    </row>
    <row r="36" spans="1:9" x14ac:dyDescent="0.35">
      <c r="A36">
        <v>24</v>
      </c>
      <c r="B36" t="s">
        <v>324</v>
      </c>
      <c r="C36" t="s">
        <v>325</v>
      </c>
      <c r="D36" s="1">
        <v>30000</v>
      </c>
      <c r="E36" s="1">
        <v>30000</v>
      </c>
      <c r="F36" s="4">
        <v>30000</v>
      </c>
      <c r="G36" s="4">
        <v>30000</v>
      </c>
      <c r="H36" s="4">
        <v>30000</v>
      </c>
      <c r="I36" s="4">
        <v>30000</v>
      </c>
    </row>
    <row r="37" spans="1:9" x14ac:dyDescent="0.35">
      <c r="A37">
        <v>25</v>
      </c>
      <c r="B37" t="s">
        <v>199</v>
      </c>
      <c r="C37" t="s">
        <v>326</v>
      </c>
      <c r="D37" s="1">
        <v>5000</v>
      </c>
      <c r="E37" s="1">
        <v>5000</v>
      </c>
      <c r="F37" s="48">
        <f>D37+(D37*0.03)</f>
        <v>5150</v>
      </c>
      <c r="G37" s="48">
        <f t="shared" ref="G37:I38" si="1">F37+(F37*0.03)</f>
        <v>5304.5</v>
      </c>
      <c r="H37" s="48">
        <f t="shared" si="1"/>
        <v>5463.6350000000002</v>
      </c>
      <c r="I37" s="48">
        <f t="shared" si="1"/>
        <v>5627.5440500000004</v>
      </c>
    </row>
    <row r="38" spans="1:9" x14ac:dyDescent="0.35">
      <c r="A38">
        <v>26</v>
      </c>
      <c r="B38" t="s">
        <v>199</v>
      </c>
      <c r="C38" t="s">
        <v>327</v>
      </c>
      <c r="D38" s="1">
        <v>5000</v>
      </c>
      <c r="E38" s="1">
        <v>5000</v>
      </c>
      <c r="F38" s="48">
        <f>D38+(D38*0.03)</f>
        <v>5150</v>
      </c>
      <c r="G38" s="48">
        <f t="shared" si="1"/>
        <v>5304.5</v>
      </c>
      <c r="H38" s="48">
        <f t="shared" si="1"/>
        <v>5463.6350000000002</v>
      </c>
      <c r="I38" s="48">
        <f t="shared" si="1"/>
        <v>5627.5440500000004</v>
      </c>
    </row>
    <row r="39" spans="1:9" x14ac:dyDescent="0.35">
      <c r="A39">
        <v>27</v>
      </c>
      <c r="B39" t="s">
        <v>199</v>
      </c>
      <c r="C39" t="s">
        <v>328</v>
      </c>
      <c r="D39" s="1">
        <v>20000</v>
      </c>
      <c r="E39" s="1">
        <v>20000</v>
      </c>
      <c r="F39" s="4">
        <v>20000</v>
      </c>
      <c r="G39" s="4">
        <v>20000</v>
      </c>
      <c r="H39" s="4">
        <v>20000</v>
      </c>
      <c r="I39" s="4">
        <v>20000</v>
      </c>
    </row>
    <row r="40" spans="1:9" x14ac:dyDescent="0.35">
      <c r="A40">
        <v>28</v>
      </c>
      <c r="B40" t="s">
        <v>329</v>
      </c>
      <c r="C40" t="s">
        <v>330</v>
      </c>
      <c r="D40" s="1">
        <v>150000</v>
      </c>
      <c r="E40" s="1">
        <v>150000</v>
      </c>
      <c r="F40" s="4">
        <v>200000</v>
      </c>
      <c r="G40" s="4">
        <v>250000</v>
      </c>
      <c r="H40" s="4">
        <v>300000</v>
      </c>
      <c r="I40" s="4">
        <v>350000</v>
      </c>
    </row>
    <row r="41" spans="1:9" x14ac:dyDescent="0.35">
      <c r="A41">
        <v>29</v>
      </c>
      <c r="B41" t="s">
        <v>124</v>
      </c>
      <c r="C41" t="s">
        <v>331</v>
      </c>
      <c r="D41" s="1">
        <v>5000</v>
      </c>
      <c r="E41" s="1">
        <v>5000</v>
      </c>
      <c r="F41" s="48">
        <f>D41+(D41*0.03)</f>
        <v>5150</v>
      </c>
      <c r="G41" s="48">
        <f>F41+(F41*0.03)</f>
        <v>5304.5</v>
      </c>
      <c r="H41" s="48">
        <f>G41+(G41*0.03)</f>
        <v>5463.6350000000002</v>
      </c>
      <c r="I41" s="48">
        <f>H41+(H41*0.03)</f>
        <v>5627.5440500000004</v>
      </c>
    </row>
    <row r="42" spans="1:9" x14ac:dyDescent="0.35">
      <c r="A42">
        <v>30</v>
      </c>
      <c r="B42" t="s">
        <v>124</v>
      </c>
      <c r="C42" t="s">
        <v>332</v>
      </c>
      <c r="D42" s="1">
        <v>2000</v>
      </c>
      <c r="E42" s="1">
        <v>2000</v>
      </c>
      <c r="F42" s="48">
        <f>D42+(D42*0.03)</f>
        <v>2060</v>
      </c>
      <c r="G42" s="48">
        <f t="shared" ref="G42:I45" si="2">F42+(F42*0.03)</f>
        <v>2121.8000000000002</v>
      </c>
      <c r="H42" s="48">
        <f t="shared" si="2"/>
        <v>2185.4540000000002</v>
      </c>
      <c r="I42" s="48">
        <f t="shared" si="2"/>
        <v>2251.0176200000001</v>
      </c>
    </row>
    <row r="43" spans="1:9" x14ac:dyDescent="0.35">
      <c r="A43">
        <v>31</v>
      </c>
      <c r="B43" t="s">
        <v>124</v>
      </c>
      <c r="C43" t="s">
        <v>333</v>
      </c>
      <c r="D43" s="1">
        <v>20000</v>
      </c>
      <c r="E43" s="1">
        <v>20000</v>
      </c>
      <c r="F43" s="48">
        <f>D43+(D43*0.03)</f>
        <v>20600</v>
      </c>
      <c r="G43" s="48">
        <f t="shared" si="2"/>
        <v>21218</v>
      </c>
      <c r="H43" s="48">
        <f t="shared" si="2"/>
        <v>21854.54</v>
      </c>
      <c r="I43" s="48">
        <f t="shared" si="2"/>
        <v>22510.176200000002</v>
      </c>
    </row>
    <row r="44" spans="1:9" x14ac:dyDescent="0.35">
      <c r="A44">
        <v>32</v>
      </c>
      <c r="B44" t="s">
        <v>124</v>
      </c>
      <c r="C44" t="s">
        <v>334</v>
      </c>
      <c r="D44" s="1">
        <v>10000</v>
      </c>
      <c r="E44" s="1">
        <v>10000</v>
      </c>
      <c r="F44" s="48">
        <f>D44+(D44*0.03)</f>
        <v>10300</v>
      </c>
      <c r="G44" s="48">
        <f t="shared" si="2"/>
        <v>10609</v>
      </c>
      <c r="H44" s="48">
        <f t="shared" si="2"/>
        <v>10927.27</v>
      </c>
      <c r="I44" s="48">
        <f t="shared" si="2"/>
        <v>11255.088100000001</v>
      </c>
    </row>
    <row r="45" spans="1:9" x14ac:dyDescent="0.35">
      <c r="A45">
        <v>33</v>
      </c>
      <c r="B45" t="s">
        <v>137</v>
      </c>
      <c r="C45" t="s">
        <v>335</v>
      </c>
      <c r="D45" s="1">
        <v>5000</v>
      </c>
      <c r="E45" s="1">
        <v>5000</v>
      </c>
      <c r="F45" s="48">
        <f>D45+(D45*0.03)</f>
        <v>5150</v>
      </c>
      <c r="G45" s="48">
        <f t="shared" si="2"/>
        <v>5304.5</v>
      </c>
      <c r="H45" s="48">
        <f t="shared" si="2"/>
        <v>5463.6350000000002</v>
      </c>
      <c r="I45" s="48">
        <f t="shared" si="2"/>
        <v>5627.5440500000004</v>
      </c>
    </row>
    <row r="47" spans="1:9" ht="15" thickBot="1" x14ac:dyDescent="0.4">
      <c r="D47" s="4"/>
      <c r="E47" s="4"/>
      <c r="F47" s="48"/>
      <c r="G47" s="48"/>
      <c r="H47" s="48"/>
      <c r="I47" s="48"/>
    </row>
    <row r="48" spans="1:9" ht="15" thickBot="1" x14ac:dyDescent="0.4">
      <c r="B48" s="5"/>
      <c r="C48" s="252" t="s">
        <v>518</v>
      </c>
      <c r="D48" s="248">
        <f t="shared" ref="D48:I48" si="3">SUM(D20:D47)</f>
        <v>5805764</v>
      </c>
      <c r="E48" s="249" t="e">
        <f t="shared" si="3"/>
        <v>#REF!</v>
      </c>
      <c r="F48" s="7">
        <f t="shared" si="3"/>
        <v>5522526.2000000002</v>
      </c>
      <c r="G48" s="7">
        <f t="shared" si="3"/>
        <v>5438928.8999999994</v>
      </c>
      <c r="H48" s="7">
        <f t="shared" si="3"/>
        <v>5747300.9069999987</v>
      </c>
      <c r="I48" s="7">
        <f t="shared" si="3"/>
        <v>6063123.4342099987</v>
      </c>
    </row>
    <row r="49" spans="2:10" ht="15" thickBot="1" x14ac:dyDescent="0.4">
      <c r="C49" s="253"/>
      <c r="D49" s="4"/>
      <c r="E49" s="250"/>
      <c r="F49" s="48"/>
      <c r="G49" s="48"/>
      <c r="H49" s="48"/>
      <c r="I49" s="48"/>
    </row>
    <row r="50" spans="2:10" ht="15" thickBot="1" x14ac:dyDescent="0.4">
      <c r="B50" s="5"/>
      <c r="C50" s="254" t="s">
        <v>558</v>
      </c>
      <c r="D50" s="248">
        <f t="shared" ref="D50:I50" si="4">D18-D48</f>
        <v>444236</v>
      </c>
      <c r="E50" s="249" t="e">
        <f t="shared" si="4"/>
        <v>#REF!</v>
      </c>
      <c r="F50" s="7">
        <f t="shared" si="4"/>
        <v>1221709.7999999998</v>
      </c>
      <c r="G50" s="7" t="e">
        <f t="shared" si="4"/>
        <v>#REF!</v>
      </c>
      <c r="H50" s="7" t="e">
        <f t="shared" si="4"/>
        <v>#REF!</v>
      </c>
      <c r="I50" s="7" t="e">
        <f t="shared" si="4"/>
        <v>#REF!</v>
      </c>
    </row>
    <row r="51" spans="2:10" ht="15" thickBot="1" x14ac:dyDescent="0.4">
      <c r="C51" s="255"/>
      <c r="D51" s="4"/>
      <c r="E51" s="250"/>
      <c r="F51" s="48"/>
      <c r="G51" s="48"/>
      <c r="H51" s="48"/>
      <c r="I51" s="48"/>
    </row>
    <row r="52" spans="2:10" ht="15" thickBot="1" x14ac:dyDescent="0.4">
      <c r="B52" s="5"/>
      <c r="C52" s="254" t="s">
        <v>559</v>
      </c>
      <c r="D52" s="248">
        <f>D50</f>
        <v>444236</v>
      </c>
      <c r="E52" s="249" t="e">
        <f>E50</f>
        <v>#REF!</v>
      </c>
      <c r="F52" s="7" t="e">
        <f>F50-#REF!-#REF!</f>
        <v>#REF!</v>
      </c>
      <c r="G52" s="7" t="e">
        <f>G50-#REF!-#REF!</f>
        <v>#REF!</v>
      </c>
      <c r="H52" s="7" t="e">
        <f>H50-#REF!-#REF!</f>
        <v>#REF!</v>
      </c>
      <c r="I52" s="7" t="e">
        <f>I50-#REF!-#REF!</f>
        <v>#REF!</v>
      </c>
    </row>
    <row r="56" spans="2:10" x14ac:dyDescent="0.35">
      <c r="C56" s="253" t="s">
        <v>560</v>
      </c>
      <c r="D56" t="s">
        <v>561</v>
      </c>
      <c r="E56" t="s">
        <v>562</v>
      </c>
      <c r="J56" t="s">
        <v>563</v>
      </c>
    </row>
    <row r="57" spans="2:10" x14ac:dyDescent="0.35">
      <c r="C57" t="s">
        <v>7</v>
      </c>
      <c r="D57" s="13">
        <f>E17</f>
        <v>200000</v>
      </c>
      <c r="E57" s="480">
        <f>'Master Budgets'!D3</f>
        <v>200000</v>
      </c>
      <c r="J57" t="str">
        <f>IF(D57=E57,"YEA We Balance","NOPE")</f>
        <v>YEA We Balance</v>
      </c>
    </row>
    <row r="58" spans="2:10" x14ac:dyDescent="0.35">
      <c r="C58" t="s">
        <v>564</v>
      </c>
      <c r="D58" s="13">
        <f>E18</f>
        <v>7234921.2285999991</v>
      </c>
      <c r="E58" s="480">
        <f>'Master Budgets'!D42</f>
        <v>7234921.2285999991</v>
      </c>
      <c r="J58" t="str">
        <f>IF(D58=E58,"YEA We Balance","NOPE")</f>
        <v>YEA We Balance</v>
      </c>
    </row>
    <row r="59" spans="2:10" x14ac:dyDescent="0.35">
      <c r="C59" t="s">
        <v>565</v>
      </c>
      <c r="D59" s="4" t="e">
        <f>E48</f>
        <v>#REF!</v>
      </c>
      <c r="E59" s="480" t="e">
        <f>'Master Budgets'!D176</f>
        <v>#REF!</v>
      </c>
      <c r="J59" t="e">
        <f>IF(D59=E59,"YEA We Balance","NOPE")</f>
        <v>#REF!</v>
      </c>
    </row>
  </sheetData>
  <mergeCells count="1">
    <mergeCell ref="C1:D1"/>
  </mergeCells>
  <pageMargins left="0.7" right="0.7" top="0.75" bottom="0.75" header="0.3" footer="0.3"/>
  <pageSetup scale="81" orientation="portrait" r:id="rId1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903F-AB0E-4F1D-A91C-F46365F0B796}">
  <dimension ref="A1:H26"/>
  <sheetViews>
    <sheetView topLeftCell="A8" workbookViewId="0">
      <selection activeCell="G17" sqref="G17"/>
    </sheetView>
  </sheetViews>
  <sheetFormatPr defaultRowHeight="14.5" x14ac:dyDescent="0.35"/>
  <cols>
    <col min="1" max="1" width="30.26953125" bestFit="1" customWidth="1"/>
    <col min="2" max="2" width="11.26953125" bestFit="1" customWidth="1"/>
  </cols>
  <sheetData>
    <row r="1" spans="1:5" x14ac:dyDescent="0.35">
      <c r="A1" s="494" t="s">
        <v>566</v>
      </c>
      <c r="B1" s="495"/>
      <c r="C1" s="495"/>
      <c r="D1" s="495"/>
      <c r="E1" s="747"/>
    </row>
    <row r="2" spans="1:5" x14ac:dyDescent="0.35">
      <c r="A2" s="453" t="s">
        <v>567</v>
      </c>
      <c r="E2" s="748"/>
    </row>
    <row r="3" spans="1:5" x14ac:dyDescent="0.35">
      <c r="A3" s="453"/>
      <c r="E3" s="748"/>
    </row>
    <row r="4" spans="1:5" x14ac:dyDescent="0.35">
      <c r="A4" s="453"/>
      <c r="E4" s="748"/>
    </row>
    <row r="5" spans="1:5" x14ac:dyDescent="0.35">
      <c r="A5" s="453"/>
      <c r="B5" t="s">
        <v>568</v>
      </c>
      <c r="E5" s="748"/>
    </row>
    <row r="6" spans="1:5" x14ac:dyDescent="0.35">
      <c r="A6" s="453"/>
      <c r="B6" t="s">
        <v>569</v>
      </c>
      <c r="E6" s="748"/>
    </row>
    <row r="7" spans="1:5" x14ac:dyDescent="0.35">
      <c r="A7" s="453"/>
      <c r="B7" t="s">
        <v>570</v>
      </c>
      <c r="E7" s="748"/>
    </row>
    <row r="8" spans="1:5" x14ac:dyDescent="0.35">
      <c r="A8" s="453" t="s">
        <v>571</v>
      </c>
      <c r="B8" s="694">
        <v>275102</v>
      </c>
      <c r="E8" s="748"/>
    </row>
    <row r="9" spans="1:5" x14ac:dyDescent="0.35">
      <c r="A9" s="453" t="s">
        <v>572</v>
      </c>
      <c r="B9" s="745">
        <v>77967.33</v>
      </c>
      <c r="E9" s="748"/>
    </row>
    <row r="10" spans="1:5" x14ac:dyDescent="0.35">
      <c r="A10" s="453" t="s">
        <v>573</v>
      </c>
      <c r="B10" s="695">
        <v>150444.78</v>
      </c>
      <c r="E10" s="748"/>
    </row>
    <row r="11" spans="1:5" x14ac:dyDescent="0.35">
      <c r="A11" s="453" t="s">
        <v>574</v>
      </c>
      <c r="B11" s="756">
        <v>0</v>
      </c>
      <c r="E11" s="748"/>
    </row>
    <row r="12" spans="1:5" x14ac:dyDescent="0.35">
      <c r="A12" s="453" t="s">
        <v>1</v>
      </c>
      <c r="B12" s="756">
        <v>0</v>
      </c>
      <c r="E12" s="748"/>
    </row>
    <row r="13" spans="1:5" ht="15" thickBot="1" x14ac:dyDescent="0.4">
      <c r="A13" s="453" t="s">
        <v>115</v>
      </c>
      <c r="B13" s="746">
        <v>0</v>
      </c>
      <c r="E13" s="748"/>
    </row>
    <row r="14" spans="1:5" x14ac:dyDescent="0.35">
      <c r="A14" s="453"/>
      <c r="B14" s="480">
        <f>SUM(B8:B13)</f>
        <v>503514.11</v>
      </c>
      <c r="E14" s="748"/>
    </row>
    <row r="15" spans="1:5" x14ac:dyDescent="0.35">
      <c r="A15" s="453"/>
      <c r="E15" s="748"/>
    </row>
    <row r="16" spans="1:5" x14ac:dyDescent="0.35">
      <c r="A16" s="453" t="s">
        <v>575</v>
      </c>
      <c r="E16" s="748"/>
    </row>
    <row r="17" spans="1:8" ht="15" thickBot="1" x14ac:dyDescent="0.4">
      <c r="A17" s="502" t="s">
        <v>576</v>
      </c>
      <c r="B17" s="503"/>
      <c r="C17" s="503"/>
      <c r="D17" s="503"/>
      <c r="E17" s="757"/>
    </row>
    <row r="18" spans="1:8" ht="15" thickBot="1" x14ac:dyDescent="0.4"/>
    <row r="19" spans="1:8" x14ac:dyDescent="0.35">
      <c r="A19" s="494" t="s">
        <v>577</v>
      </c>
      <c r="B19" s="495"/>
      <c r="C19" s="495"/>
      <c r="D19" s="495"/>
      <c r="E19" s="495"/>
      <c r="F19" s="495"/>
      <c r="G19" s="495"/>
      <c r="H19" s="747"/>
    </row>
    <row r="20" spans="1:8" x14ac:dyDescent="0.35">
      <c r="A20" s="453" t="s">
        <v>578</v>
      </c>
      <c r="H20" s="748"/>
    </row>
    <row r="21" spans="1:8" x14ac:dyDescent="0.35">
      <c r="A21" s="453" t="s">
        <v>579</v>
      </c>
      <c r="H21" s="748"/>
    </row>
    <row r="22" spans="1:8" x14ac:dyDescent="0.35">
      <c r="A22" s="453"/>
      <c r="H22" s="748"/>
    </row>
    <row r="23" spans="1:8" x14ac:dyDescent="0.35">
      <c r="A23" s="453"/>
      <c r="B23" s="29" t="s">
        <v>580</v>
      </c>
      <c r="C23" s="29"/>
      <c r="D23" s="29"/>
      <c r="E23" s="29"/>
      <c r="F23" s="29"/>
      <c r="G23" s="29"/>
      <c r="H23" s="748"/>
    </row>
    <row r="24" spans="1:8" x14ac:dyDescent="0.35">
      <c r="A24" s="453"/>
      <c r="B24" s="29" t="s">
        <v>581</v>
      </c>
      <c r="C24" s="29" t="s">
        <v>97</v>
      </c>
      <c r="D24" s="29" t="s">
        <v>215</v>
      </c>
      <c r="E24" s="29" t="s">
        <v>113</v>
      </c>
      <c r="F24" s="22" t="s">
        <v>574</v>
      </c>
      <c r="G24" s="29" t="s">
        <v>582</v>
      </c>
      <c r="H24" s="749" t="s">
        <v>115</v>
      </c>
    </row>
    <row r="25" spans="1:8" x14ac:dyDescent="0.35">
      <c r="A25" s="453"/>
      <c r="B25" s="750" t="e">
        <f>+('Master Budgets '!#REF!)</f>
        <v>#REF!</v>
      </c>
      <c r="C25">
        <f>+('Master Budgets '!D4)</f>
        <v>820</v>
      </c>
      <c r="D25" s="750">
        <f>+('Master Budgets '!F4)</f>
        <v>210</v>
      </c>
      <c r="E25" s="750">
        <f>+('Master Budgets '!H4)</f>
        <v>330</v>
      </c>
      <c r="F25" s="750">
        <f>+('Master Budgets '!L4)</f>
        <v>500</v>
      </c>
      <c r="G25" s="750">
        <f>+('Master Budgets '!P4)</f>
        <v>1400</v>
      </c>
      <c r="H25" s="751" t="e">
        <f>+('Master Budgets '!#REF!)</f>
        <v>#REF!</v>
      </c>
    </row>
    <row r="26" spans="1:8" ht="15" thickBot="1" x14ac:dyDescent="0.4">
      <c r="A26" s="752" t="s">
        <v>583</v>
      </c>
      <c r="B26" s="753" t="e">
        <f>SUM(C26:H26)</f>
        <v>#REF!</v>
      </c>
      <c r="C26" s="754" t="e">
        <f>++(C25/$B$25)</f>
        <v>#REF!</v>
      </c>
      <c r="D26" s="754" t="e">
        <f t="shared" ref="D26:H26" si="0">++(D25/$B$25)</f>
        <v>#REF!</v>
      </c>
      <c r="E26" s="754" t="e">
        <f t="shared" si="0"/>
        <v>#REF!</v>
      </c>
      <c r="F26" s="754" t="e">
        <f t="shared" si="0"/>
        <v>#REF!</v>
      </c>
      <c r="G26" s="754" t="e">
        <f t="shared" si="0"/>
        <v>#REF!</v>
      </c>
      <c r="H26" s="755" t="e">
        <f t="shared" si="0"/>
        <v>#REF!</v>
      </c>
    </row>
  </sheetData>
  <protectedRanges>
    <protectedRange algorithmName="SHA-512" hashValue="sib5Nlt62x8Cjehj5QpvQOfZQRWFyVXdW4ymlOfnLMMNdxZw1XVdONARla6+9R164l5kN77+d8cnUihMlL+w0A==" saltValue="TiYlffcKhraV9z9Br0ykmA==" spinCount="100000" sqref="B8" name="Range1_3"/>
  </protectedRanges>
  <phoneticPr fontId="18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A19F-4770-4780-9706-F33ABE37D552}">
  <dimension ref="A1:D167"/>
  <sheetViews>
    <sheetView topLeftCell="A58" workbookViewId="0">
      <selection activeCell="K75" sqref="K75"/>
    </sheetView>
  </sheetViews>
  <sheetFormatPr defaultColWidth="9.1796875" defaultRowHeight="14.5" x14ac:dyDescent="0.35"/>
  <cols>
    <col min="1" max="1" width="17.81640625" style="549" bestFit="1" customWidth="1"/>
    <col min="2" max="2" width="63.26953125" style="319" customWidth="1"/>
    <col min="3" max="4" width="15.26953125" style="560" bestFit="1" customWidth="1"/>
    <col min="5" max="16384" width="9.1796875" style="319"/>
  </cols>
  <sheetData>
    <row r="1" spans="1:4" s="559" customFormat="1" ht="19" thickBot="1" x14ac:dyDescent="0.5">
      <c r="B1" s="584" t="s">
        <v>473</v>
      </c>
      <c r="C1" s="1253" t="s">
        <v>97</v>
      </c>
      <c r="D1" s="1254"/>
    </row>
    <row r="2" spans="1:4" s="559" customFormat="1" ht="18" customHeight="1" thickBot="1" x14ac:dyDescent="0.4">
      <c r="A2" s="575" t="s">
        <v>520</v>
      </c>
      <c r="B2" s="585" t="s">
        <v>94</v>
      </c>
      <c r="C2" s="595" t="s">
        <v>475</v>
      </c>
      <c r="D2" s="595" t="s">
        <v>96</v>
      </c>
    </row>
    <row r="3" spans="1:4" ht="16" thickBot="1" x14ac:dyDescent="0.4">
      <c r="A3" s="574" t="s">
        <v>521</v>
      </c>
      <c r="B3" s="320" t="s">
        <v>7</v>
      </c>
      <c r="C3" s="586">
        <v>1823958</v>
      </c>
      <c r="D3" s="586">
        <v>1786654</v>
      </c>
    </row>
    <row r="4" spans="1:4" ht="16" thickBot="1" x14ac:dyDescent="0.4">
      <c r="A4" s="575" t="s">
        <v>522</v>
      </c>
      <c r="B4" s="663" t="s">
        <v>353</v>
      </c>
      <c r="C4" s="557"/>
      <c r="D4" s="557"/>
    </row>
    <row r="5" spans="1:4" s="560" customFormat="1" x14ac:dyDescent="0.35">
      <c r="A5" s="576">
        <v>1</v>
      </c>
      <c r="B5" s="656" t="s">
        <v>99</v>
      </c>
      <c r="C5" s="657"/>
      <c r="D5" s="657"/>
    </row>
    <row r="6" spans="1:4" s="560" customFormat="1" x14ac:dyDescent="0.35">
      <c r="A6" s="577">
        <v>2</v>
      </c>
      <c r="B6" s="645" t="s">
        <v>477</v>
      </c>
      <c r="C6" s="646"/>
      <c r="D6" s="647"/>
    </row>
    <row r="7" spans="1:4" s="560" customFormat="1" x14ac:dyDescent="0.35">
      <c r="A7" s="577">
        <v>3</v>
      </c>
      <c r="B7" s="645" t="s">
        <v>478</v>
      </c>
      <c r="C7" s="646"/>
      <c r="D7" s="647"/>
    </row>
    <row r="8" spans="1:4" s="560" customFormat="1" x14ac:dyDescent="0.35">
      <c r="A8" s="576">
        <v>4</v>
      </c>
      <c r="B8" s="525" t="s">
        <v>101</v>
      </c>
      <c r="C8" s="611"/>
      <c r="D8" s="611"/>
    </row>
    <row r="9" spans="1:4" s="560" customFormat="1" x14ac:dyDescent="0.35">
      <c r="A9" s="576">
        <v>5</v>
      </c>
      <c r="B9" s="525" t="s">
        <v>356</v>
      </c>
      <c r="C9" s="611"/>
      <c r="D9" s="612"/>
    </row>
    <row r="10" spans="1:4" s="560" customFormat="1" x14ac:dyDescent="0.35">
      <c r="A10" s="577">
        <v>6</v>
      </c>
      <c r="B10" s="614" t="s">
        <v>262</v>
      </c>
      <c r="C10" s="611"/>
      <c r="D10" s="611"/>
    </row>
    <row r="11" spans="1:4" s="560" customFormat="1" x14ac:dyDescent="0.35">
      <c r="A11" s="577">
        <v>7</v>
      </c>
      <c r="B11" s="614" t="s">
        <v>19</v>
      </c>
      <c r="C11" s="611"/>
      <c r="D11" s="611"/>
    </row>
    <row r="12" spans="1:4" s="560" customFormat="1" x14ac:dyDescent="0.35">
      <c r="A12" s="577">
        <v>8</v>
      </c>
      <c r="B12" s="614" t="s">
        <v>18</v>
      </c>
      <c r="C12" s="611"/>
      <c r="D12" s="611"/>
    </row>
    <row r="13" spans="1:4" s="560" customFormat="1" x14ac:dyDescent="0.35">
      <c r="A13" s="578">
        <v>9</v>
      </c>
      <c r="B13" s="525" t="s">
        <v>218</v>
      </c>
      <c r="C13" s="611"/>
      <c r="D13" s="611"/>
    </row>
    <row r="14" spans="1:4" s="560" customFormat="1" x14ac:dyDescent="0.35">
      <c r="A14" s="578">
        <v>10</v>
      </c>
      <c r="B14" s="525" t="s">
        <v>357</v>
      </c>
      <c r="C14" s="611"/>
      <c r="D14" s="611"/>
    </row>
    <row r="15" spans="1:4" s="560" customFormat="1" x14ac:dyDescent="0.35">
      <c r="A15" s="578">
        <v>11</v>
      </c>
      <c r="B15" s="525" t="s">
        <v>219</v>
      </c>
      <c r="C15" s="611"/>
      <c r="D15" s="611"/>
    </row>
    <row r="16" spans="1:4" s="560" customFormat="1" x14ac:dyDescent="0.35">
      <c r="A16" s="578">
        <v>12</v>
      </c>
      <c r="B16" s="525" t="s">
        <v>230</v>
      </c>
      <c r="C16" s="611"/>
      <c r="D16" s="611"/>
    </row>
    <row r="17" spans="1:4" s="560" customFormat="1" x14ac:dyDescent="0.35">
      <c r="A17" s="578">
        <v>13</v>
      </c>
      <c r="B17" s="525" t="s">
        <v>359</v>
      </c>
      <c r="C17" s="611"/>
      <c r="D17" s="611"/>
    </row>
    <row r="18" spans="1:4" s="560" customFormat="1" x14ac:dyDescent="0.35">
      <c r="A18" s="578">
        <v>14</v>
      </c>
      <c r="B18" s="525" t="s">
        <v>260</v>
      </c>
      <c r="C18" s="611"/>
      <c r="D18" s="611"/>
    </row>
    <row r="19" spans="1:4" s="560" customFormat="1" x14ac:dyDescent="0.35">
      <c r="A19" s="578">
        <v>15</v>
      </c>
      <c r="B19" s="525" t="s">
        <v>12</v>
      </c>
      <c r="C19" s="611"/>
      <c r="D19" s="611"/>
    </row>
    <row r="20" spans="1:4" s="560" customFormat="1" x14ac:dyDescent="0.35">
      <c r="A20" s="578">
        <v>16</v>
      </c>
      <c r="B20" s="525" t="s">
        <v>220</v>
      </c>
      <c r="C20" s="611"/>
      <c r="D20" s="611"/>
    </row>
    <row r="21" spans="1:4" s="560" customFormat="1" x14ac:dyDescent="0.35">
      <c r="A21" s="578">
        <v>17</v>
      </c>
      <c r="B21" s="525" t="s">
        <v>8</v>
      </c>
      <c r="C21" s="611"/>
      <c r="D21" s="611"/>
    </row>
    <row r="22" spans="1:4" s="560" customFormat="1" x14ac:dyDescent="0.35">
      <c r="A22" s="578">
        <v>18</v>
      </c>
      <c r="B22" s="525" t="s">
        <v>117</v>
      </c>
      <c r="C22" s="611"/>
      <c r="D22" s="612"/>
    </row>
    <row r="23" spans="1:4" s="560" customFormat="1" x14ac:dyDescent="0.35">
      <c r="A23" s="578">
        <v>19</v>
      </c>
      <c r="B23" s="525" t="s">
        <v>118</v>
      </c>
      <c r="C23" s="611"/>
      <c r="D23" s="612"/>
    </row>
    <row r="24" spans="1:4" s="560" customFormat="1" x14ac:dyDescent="0.35">
      <c r="A24" s="576">
        <v>20</v>
      </c>
      <c r="B24" s="525" t="s">
        <v>108</v>
      </c>
      <c r="C24" s="611"/>
      <c r="D24" s="611"/>
    </row>
    <row r="25" spans="1:4" s="560" customFormat="1" x14ac:dyDescent="0.35">
      <c r="A25" s="577">
        <v>21</v>
      </c>
      <c r="B25" s="614" t="s">
        <v>13</v>
      </c>
      <c r="C25" s="611"/>
      <c r="D25" s="611"/>
    </row>
    <row r="26" spans="1:4" s="560" customFormat="1" x14ac:dyDescent="0.35">
      <c r="A26" s="577">
        <v>22</v>
      </c>
      <c r="B26" s="614" t="s">
        <v>20</v>
      </c>
      <c r="C26" s="611"/>
      <c r="D26" s="611"/>
    </row>
    <row r="27" spans="1:4" s="560" customFormat="1" x14ac:dyDescent="0.35">
      <c r="A27" s="576">
        <v>23</v>
      </c>
      <c r="B27" s="525" t="s">
        <v>104</v>
      </c>
      <c r="C27" s="611"/>
      <c r="D27" s="611"/>
    </row>
    <row r="28" spans="1:4" s="560" customFormat="1" x14ac:dyDescent="0.35">
      <c r="A28" s="576">
        <v>24</v>
      </c>
      <c r="B28" s="525" t="s">
        <v>105</v>
      </c>
      <c r="C28" s="611"/>
      <c r="D28" s="611"/>
    </row>
    <row r="29" spans="1:4" s="560" customFormat="1" x14ac:dyDescent="0.35">
      <c r="A29" s="576">
        <v>25</v>
      </c>
      <c r="B29" s="525" t="s">
        <v>106</v>
      </c>
      <c r="C29" s="611"/>
      <c r="D29" s="611"/>
    </row>
    <row r="30" spans="1:4" s="560" customFormat="1" x14ac:dyDescent="0.35">
      <c r="A30" s="576">
        <v>26</v>
      </c>
      <c r="B30" s="525" t="s">
        <v>107</v>
      </c>
      <c r="C30" s="611"/>
      <c r="D30" s="611"/>
    </row>
    <row r="31" spans="1:4" s="560" customFormat="1" x14ac:dyDescent="0.35">
      <c r="A31" s="576">
        <v>27</v>
      </c>
      <c r="B31" s="525" t="s">
        <v>109</v>
      </c>
      <c r="C31" s="611"/>
      <c r="D31" s="611"/>
    </row>
    <row r="32" spans="1:4" s="560" customFormat="1" x14ac:dyDescent="0.35">
      <c r="A32" s="577">
        <v>28</v>
      </c>
      <c r="B32" s="525" t="s">
        <v>222</v>
      </c>
      <c r="C32" s="611"/>
      <c r="D32" s="611"/>
    </row>
    <row r="33" spans="1:4" s="560" customFormat="1" x14ac:dyDescent="0.35">
      <c r="A33" s="578">
        <v>29</v>
      </c>
      <c r="B33" s="525" t="s">
        <v>361</v>
      </c>
      <c r="C33" s="611"/>
      <c r="D33" s="611"/>
    </row>
    <row r="34" spans="1:4" s="560" customFormat="1" x14ac:dyDescent="0.35">
      <c r="A34" s="578">
        <v>30</v>
      </c>
      <c r="B34" s="525" t="s">
        <v>111</v>
      </c>
      <c r="C34" s="611"/>
      <c r="D34" s="611"/>
    </row>
    <row r="35" spans="1:4" s="560" customFormat="1" x14ac:dyDescent="0.35">
      <c r="A35" s="577">
        <v>31</v>
      </c>
      <c r="B35" s="614" t="s">
        <v>261</v>
      </c>
      <c r="C35" s="611"/>
      <c r="D35" s="611"/>
    </row>
    <row r="36" spans="1:4" s="560" customFormat="1" x14ac:dyDescent="0.35">
      <c r="A36" s="576">
        <v>32</v>
      </c>
      <c r="B36" s="525" t="s">
        <v>479</v>
      </c>
      <c r="C36" s="611"/>
      <c r="D36" s="611"/>
    </row>
    <row r="37" spans="1:4" s="560" customFormat="1" x14ac:dyDescent="0.35">
      <c r="A37" s="579">
        <v>33</v>
      </c>
      <c r="B37" s="525" t="s">
        <v>264</v>
      </c>
      <c r="C37" s="611"/>
      <c r="D37" s="611"/>
    </row>
    <row r="38" spans="1:4" s="560" customFormat="1" x14ac:dyDescent="0.35">
      <c r="A38" s="577">
        <v>34</v>
      </c>
      <c r="B38" s="614" t="s">
        <v>14</v>
      </c>
      <c r="C38" s="611"/>
      <c r="D38" s="611"/>
    </row>
    <row r="39" spans="1:4" s="560" customFormat="1" x14ac:dyDescent="0.35">
      <c r="A39" s="577">
        <v>35</v>
      </c>
      <c r="B39" s="617" t="s">
        <v>368</v>
      </c>
      <c r="C39" s="601"/>
      <c r="D39" s="601"/>
    </row>
    <row r="40" spans="1:4" s="560" customFormat="1" x14ac:dyDescent="0.35">
      <c r="A40" s="577">
        <v>36</v>
      </c>
      <c r="B40" s="614" t="s">
        <v>265</v>
      </c>
      <c r="C40" s="611"/>
      <c r="D40" s="611"/>
    </row>
    <row r="41" spans="1:4" s="560" customFormat="1" x14ac:dyDescent="0.35">
      <c r="A41" s="577">
        <v>37</v>
      </c>
      <c r="B41" s="617" t="s">
        <v>480</v>
      </c>
      <c r="C41" s="601"/>
      <c r="D41" s="601"/>
    </row>
    <row r="42" spans="1:4" s="568" customFormat="1" ht="15.5" x14ac:dyDescent="0.35">
      <c r="A42" s="580"/>
      <c r="B42" s="561" t="s">
        <v>371</v>
      </c>
      <c r="C42" s="562"/>
      <c r="D42" s="562"/>
    </row>
    <row r="43" spans="1:4" s="568" customFormat="1" ht="9.75" customHeight="1" x14ac:dyDescent="0.35">
      <c r="A43" s="581"/>
      <c r="B43" s="569"/>
      <c r="C43" s="570"/>
      <c r="D43" s="570"/>
    </row>
    <row r="44" spans="1:4" ht="15.5" x14ac:dyDescent="0.35">
      <c r="A44" s="575"/>
      <c r="B44" s="554" t="s">
        <v>372</v>
      </c>
      <c r="C44" s="555"/>
      <c r="D44" s="555"/>
    </row>
    <row r="45" spans="1:4" x14ac:dyDescent="0.35">
      <c r="A45" s="576">
        <v>1</v>
      </c>
      <c r="B45" s="524" t="s">
        <v>373</v>
      </c>
      <c r="C45" s="601"/>
      <c r="D45" s="601"/>
    </row>
    <row r="46" spans="1:4" x14ac:dyDescent="0.35">
      <c r="A46" s="576">
        <v>2</v>
      </c>
      <c r="B46" s="525" t="s">
        <v>374</v>
      </c>
      <c r="C46" s="601"/>
      <c r="D46" s="601"/>
    </row>
    <row r="47" spans="1:4" x14ac:dyDescent="0.35">
      <c r="A47" s="576">
        <v>3</v>
      </c>
      <c r="B47" s="607" t="s">
        <v>375</v>
      </c>
      <c r="C47" s="601"/>
      <c r="D47" s="601"/>
    </row>
    <row r="48" spans="1:4" x14ac:dyDescent="0.35">
      <c r="A48" s="576">
        <v>4</v>
      </c>
      <c r="B48" s="524" t="s">
        <v>483</v>
      </c>
      <c r="C48" s="601"/>
      <c r="D48" s="601"/>
    </row>
    <row r="49" spans="1:4" x14ac:dyDescent="0.35">
      <c r="A49" s="576">
        <v>5</v>
      </c>
      <c r="B49" s="524" t="s">
        <v>378</v>
      </c>
      <c r="C49" s="601"/>
      <c r="D49" s="601"/>
    </row>
    <row r="50" spans="1:4" x14ac:dyDescent="0.35">
      <c r="A50" s="576">
        <v>8</v>
      </c>
      <c r="B50" s="524" t="s">
        <v>484</v>
      </c>
      <c r="C50" s="601"/>
      <c r="D50" s="601"/>
    </row>
    <row r="51" spans="1:4" x14ac:dyDescent="0.35">
      <c r="A51" s="576">
        <v>6</v>
      </c>
      <c r="B51" s="524" t="s">
        <v>381</v>
      </c>
      <c r="C51" s="601"/>
      <c r="D51" s="601"/>
    </row>
    <row r="52" spans="1:4" x14ac:dyDescent="0.35">
      <c r="A52" s="576">
        <v>7</v>
      </c>
      <c r="B52" s="524" t="s">
        <v>382</v>
      </c>
      <c r="C52" s="601"/>
      <c r="D52" s="601"/>
    </row>
    <row r="53" spans="1:4" x14ac:dyDescent="0.35">
      <c r="A53" s="576">
        <v>9</v>
      </c>
      <c r="B53" s="524" t="s">
        <v>384</v>
      </c>
      <c r="C53" s="601"/>
      <c r="D53" s="601"/>
    </row>
    <row r="54" spans="1:4" x14ac:dyDescent="0.35">
      <c r="A54" s="576">
        <v>10</v>
      </c>
      <c r="B54" s="550" t="s">
        <v>485</v>
      </c>
      <c r="C54" s="601"/>
      <c r="D54" s="601"/>
    </row>
    <row r="55" spans="1:4" x14ac:dyDescent="0.35">
      <c r="A55" s="576">
        <v>11</v>
      </c>
      <c r="B55" s="550" t="s">
        <v>486</v>
      </c>
      <c r="C55" s="601"/>
      <c r="D55" s="601"/>
    </row>
    <row r="56" spans="1:4" x14ac:dyDescent="0.35">
      <c r="A56" s="576">
        <v>12</v>
      </c>
      <c r="B56" s="524" t="s">
        <v>487</v>
      </c>
      <c r="C56" s="601"/>
      <c r="D56" s="601"/>
    </row>
    <row r="57" spans="1:4" x14ac:dyDescent="0.35">
      <c r="A57" s="576">
        <v>13</v>
      </c>
      <c r="B57" s="550" t="s">
        <v>523</v>
      </c>
      <c r="C57" s="601"/>
      <c r="D57" s="601"/>
    </row>
    <row r="58" spans="1:4" x14ac:dyDescent="0.35">
      <c r="A58" s="576">
        <v>14</v>
      </c>
      <c r="B58" s="550" t="s">
        <v>524</v>
      </c>
      <c r="C58" s="601"/>
      <c r="D58" s="601"/>
    </row>
    <row r="59" spans="1:4" x14ac:dyDescent="0.35">
      <c r="A59" s="576">
        <v>15</v>
      </c>
      <c r="B59" s="550" t="s">
        <v>490</v>
      </c>
      <c r="C59" s="601"/>
      <c r="D59" s="601"/>
    </row>
    <row r="60" spans="1:4" x14ac:dyDescent="0.35">
      <c r="A60" s="576">
        <v>16</v>
      </c>
      <c r="B60" s="524" t="s">
        <v>491</v>
      </c>
      <c r="C60" s="601"/>
      <c r="D60" s="601"/>
    </row>
    <row r="61" spans="1:4" x14ac:dyDescent="0.35">
      <c r="A61" s="576">
        <v>17</v>
      </c>
      <c r="B61" s="524" t="s">
        <v>492</v>
      </c>
      <c r="C61" s="601"/>
      <c r="D61" s="601"/>
    </row>
    <row r="62" spans="1:4" x14ac:dyDescent="0.35">
      <c r="A62" s="576">
        <v>18</v>
      </c>
      <c r="B62" s="524" t="s">
        <v>244</v>
      </c>
      <c r="C62" s="601"/>
      <c r="D62" s="601"/>
    </row>
    <row r="63" spans="1:4" x14ac:dyDescent="0.35">
      <c r="A63" s="576">
        <v>19</v>
      </c>
      <c r="B63" s="524" t="s">
        <v>397</v>
      </c>
      <c r="C63" s="601"/>
      <c r="D63" s="601"/>
    </row>
    <row r="64" spans="1:4" x14ac:dyDescent="0.35">
      <c r="A64" s="576">
        <v>20</v>
      </c>
      <c r="B64" s="524" t="s">
        <v>398</v>
      </c>
      <c r="C64" s="601"/>
      <c r="D64" s="601"/>
    </row>
    <row r="65" spans="1:4" x14ac:dyDescent="0.35">
      <c r="A65" s="576">
        <v>21</v>
      </c>
      <c r="B65" s="524" t="s">
        <v>399</v>
      </c>
      <c r="C65" s="601"/>
      <c r="D65" s="601"/>
    </row>
    <row r="66" spans="1:4" x14ac:dyDescent="0.35">
      <c r="A66" s="576">
        <v>22</v>
      </c>
      <c r="B66" s="524" t="s">
        <v>525</v>
      </c>
      <c r="C66" s="601"/>
      <c r="D66" s="601"/>
    </row>
    <row r="67" spans="1:4" x14ac:dyDescent="0.35">
      <c r="A67" s="576">
        <v>23</v>
      </c>
      <c r="B67" s="551" t="s">
        <v>526</v>
      </c>
      <c r="C67" s="601"/>
      <c r="D67" s="601"/>
    </row>
    <row r="68" spans="1:4" x14ac:dyDescent="0.35">
      <c r="A68" s="576">
        <v>24</v>
      </c>
      <c r="B68" s="551" t="s">
        <v>494</v>
      </c>
      <c r="C68" s="601"/>
      <c r="D68" s="601"/>
    </row>
    <row r="69" spans="1:4" s="560" customFormat="1" x14ac:dyDescent="0.35">
      <c r="A69" s="576">
        <v>25</v>
      </c>
      <c r="B69" s="551" t="s">
        <v>171</v>
      </c>
      <c r="C69" s="601"/>
      <c r="D69" s="601"/>
    </row>
    <row r="70" spans="1:4" x14ac:dyDescent="0.35">
      <c r="A70" s="576">
        <v>26</v>
      </c>
      <c r="B70" s="551" t="s">
        <v>314</v>
      </c>
      <c r="C70" s="601"/>
      <c r="D70" s="601"/>
    </row>
    <row r="71" spans="1:4" x14ac:dyDescent="0.35">
      <c r="A71" s="576">
        <v>27</v>
      </c>
      <c r="B71" s="524" t="s">
        <v>195</v>
      </c>
      <c r="C71" s="601"/>
      <c r="D71" s="601"/>
    </row>
    <row r="72" spans="1:4" x14ac:dyDescent="0.35">
      <c r="A72" s="576">
        <v>28</v>
      </c>
      <c r="B72" s="524" t="s">
        <v>495</v>
      </c>
      <c r="C72" s="601"/>
      <c r="D72" s="601"/>
    </row>
    <row r="73" spans="1:4" x14ac:dyDescent="0.35">
      <c r="A73" s="576">
        <v>29</v>
      </c>
      <c r="B73" s="524" t="s">
        <v>527</v>
      </c>
      <c r="C73" s="601"/>
      <c r="D73" s="601"/>
    </row>
    <row r="74" spans="1:4" x14ac:dyDescent="0.35">
      <c r="A74" s="576">
        <v>30</v>
      </c>
      <c r="B74" s="524" t="s">
        <v>505</v>
      </c>
      <c r="C74" s="601"/>
      <c r="D74" s="601"/>
    </row>
    <row r="75" spans="1:4" x14ac:dyDescent="0.35">
      <c r="A75" s="576">
        <v>31</v>
      </c>
      <c r="B75" s="524" t="s">
        <v>507</v>
      </c>
      <c r="C75" s="601"/>
      <c r="D75" s="601"/>
    </row>
    <row r="76" spans="1:4" x14ac:dyDescent="0.35">
      <c r="A76" s="576">
        <v>32</v>
      </c>
      <c r="B76" s="608" t="s">
        <v>511</v>
      </c>
      <c r="C76" s="601"/>
      <c r="D76" s="601"/>
    </row>
    <row r="77" spans="1:4" x14ac:dyDescent="0.35">
      <c r="A77" s="576">
        <v>33</v>
      </c>
      <c r="B77" s="608" t="s">
        <v>512</v>
      </c>
      <c r="C77" s="601"/>
      <c r="D77" s="601"/>
    </row>
    <row r="78" spans="1:4" x14ac:dyDescent="0.35">
      <c r="A78" s="576">
        <v>34</v>
      </c>
      <c r="B78" s="692" t="s">
        <v>480</v>
      </c>
      <c r="C78" s="601">
        <v>1700000</v>
      </c>
      <c r="D78" s="601">
        <v>1745596</v>
      </c>
    </row>
    <row r="79" spans="1:4" x14ac:dyDescent="0.35">
      <c r="A79" s="576">
        <v>35</v>
      </c>
      <c r="B79" s="524" t="s">
        <v>508</v>
      </c>
      <c r="C79" s="601"/>
      <c r="D79" s="601"/>
    </row>
    <row r="80" spans="1:4" x14ac:dyDescent="0.35">
      <c r="A80" s="576">
        <v>36</v>
      </c>
      <c r="B80" s="552" t="s">
        <v>528</v>
      </c>
      <c r="C80" s="601"/>
      <c r="D80" s="601"/>
    </row>
    <row r="81" spans="1:4" x14ac:dyDescent="0.35">
      <c r="A81" s="576">
        <v>37</v>
      </c>
      <c r="B81" s="524" t="s">
        <v>198</v>
      </c>
      <c r="C81" s="601"/>
      <c r="D81" s="601"/>
    </row>
    <row r="82" spans="1:4" x14ac:dyDescent="0.35">
      <c r="A82" s="576">
        <v>38</v>
      </c>
      <c r="B82" s="524" t="s">
        <v>316</v>
      </c>
      <c r="C82" s="601"/>
      <c r="D82" s="601"/>
    </row>
    <row r="83" spans="1:4" x14ac:dyDescent="0.35">
      <c r="A83" s="576">
        <v>39</v>
      </c>
      <c r="B83" s="610" t="s">
        <v>317</v>
      </c>
      <c r="C83" s="601"/>
      <c r="D83" s="601"/>
    </row>
    <row r="84" spans="1:4" x14ac:dyDescent="0.35">
      <c r="A84" s="576">
        <v>40</v>
      </c>
      <c r="B84" s="524" t="s">
        <v>404</v>
      </c>
      <c r="C84" s="601"/>
      <c r="D84" s="601"/>
    </row>
    <row r="85" spans="1:4" x14ac:dyDescent="0.35">
      <c r="A85" s="576">
        <v>41</v>
      </c>
      <c r="B85" s="524" t="s">
        <v>496</v>
      </c>
      <c r="C85" s="601"/>
      <c r="D85" s="601"/>
    </row>
    <row r="86" spans="1:4" x14ac:dyDescent="0.35">
      <c r="A86" s="576">
        <v>42</v>
      </c>
      <c r="B86" s="524" t="s">
        <v>497</v>
      </c>
      <c r="C86" s="601"/>
      <c r="D86" s="601"/>
    </row>
    <row r="87" spans="1:4" x14ac:dyDescent="0.35">
      <c r="A87" s="576">
        <v>43</v>
      </c>
      <c r="B87" s="524" t="s">
        <v>173</v>
      </c>
      <c r="C87" s="601"/>
      <c r="D87" s="601"/>
    </row>
    <row r="88" spans="1:4" x14ac:dyDescent="0.35">
      <c r="A88" s="576">
        <v>44</v>
      </c>
      <c r="B88" s="524" t="s">
        <v>179</v>
      </c>
      <c r="C88" s="601"/>
      <c r="D88" s="601"/>
    </row>
    <row r="89" spans="1:4" x14ac:dyDescent="0.35">
      <c r="A89" s="576">
        <v>45</v>
      </c>
      <c r="B89" s="603" t="s">
        <v>529</v>
      </c>
      <c r="C89" s="601"/>
      <c r="D89" s="601"/>
    </row>
    <row r="90" spans="1:4" x14ac:dyDescent="0.35">
      <c r="A90" s="576">
        <v>46</v>
      </c>
      <c r="B90" s="603" t="s">
        <v>174</v>
      </c>
      <c r="C90" s="601"/>
      <c r="D90" s="601"/>
    </row>
    <row r="91" spans="1:4" x14ac:dyDescent="0.35">
      <c r="A91" s="576">
        <v>47</v>
      </c>
      <c r="B91" s="524" t="s">
        <v>175</v>
      </c>
      <c r="C91" s="601"/>
      <c r="D91" s="601"/>
    </row>
    <row r="92" spans="1:4" x14ac:dyDescent="0.35">
      <c r="A92" s="576">
        <v>48</v>
      </c>
      <c r="B92" s="527" t="s">
        <v>406</v>
      </c>
      <c r="C92" s="601"/>
      <c r="D92" s="601"/>
    </row>
    <row r="93" spans="1:4" x14ac:dyDescent="0.35">
      <c r="A93" s="576">
        <v>49</v>
      </c>
      <c r="B93" s="524" t="s">
        <v>176</v>
      </c>
      <c r="C93" s="601"/>
      <c r="D93" s="601"/>
    </row>
    <row r="94" spans="1:4" x14ac:dyDescent="0.35">
      <c r="A94" s="576">
        <v>50</v>
      </c>
      <c r="B94" s="526" t="s">
        <v>407</v>
      </c>
      <c r="C94" s="601"/>
      <c r="D94" s="601"/>
    </row>
    <row r="95" spans="1:4" x14ac:dyDescent="0.35">
      <c r="A95" s="576">
        <v>51</v>
      </c>
      <c r="B95" s="524" t="s">
        <v>125</v>
      </c>
      <c r="C95" s="601"/>
      <c r="D95" s="601"/>
    </row>
    <row r="96" spans="1:4" x14ac:dyDescent="0.35">
      <c r="A96" s="576">
        <v>52</v>
      </c>
      <c r="B96" s="610" t="s">
        <v>498</v>
      </c>
      <c r="C96" s="601"/>
      <c r="D96" s="601"/>
    </row>
    <row r="97" spans="1:4" x14ac:dyDescent="0.35">
      <c r="A97" s="576">
        <v>53</v>
      </c>
      <c r="B97" s="610" t="s">
        <v>178</v>
      </c>
      <c r="C97" s="601"/>
      <c r="D97" s="601"/>
    </row>
    <row r="98" spans="1:4" x14ac:dyDescent="0.35">
      <c r="A98" s="576">
        <v>54</v>
      </c>
      <c r="B98" s="526" t="s">
        <v>410</v>
      </c>
      <c r="C98" s="601"/>
      <c r="D98" s="601"/>
    </row>
    <row r="99" spans="1:4" x14ac:dyDescent="0.35">
      <c r="A99" s="576">
        <v>55</v>
      </c>
      <c r="B99" s="526" t="s">
        <v>411</v>
      </c>
      <c r="C99" s="601"/>
      <c r="D99" s="601"/>
    </row>
    <row r="100" spans="1:4" x14ac:dyDescent="0.35">
      <c r="A100" s="576">
        <v>56</v>
      </c>
      <c r="B100" s="526" t="s">
        <v>412</v>
      </c>
      <c r="C100" s="601"/>
      <c r="D100" s="601"/>
    </row>
    <row r="101" spans="1:4" x14ac:dyDescent="0.35">
      <c r="A101" s="576">
        <v>57</v>
      </c>
      <c r="B101" s="524" t="s">
        <v>182</v>
      </c>
      <c r="C101" s="601"/>
      <c r="D101" s="601"/>
    </row>
    <row r="102" spans="1:4" x14ac:dyDescent="0.35">
      <c r="A102" s="576">
        <v>58</v>
      </c>
      <c r="B102" s="524" t="s">
        <v>183</v>
      </c>
      <c r="C102" s="601"/>
      <c r="D102" s="601"/>
    </row>
    <row r="103" spans="1:4" x14ac:dyDescent="0.35">
      <c r="A103" s="576">
        <v>59</v>
      </c>
      <c r="B103" s="528" t="s">
        <v>413</v>
      </c>
      <c r="C103" s="601"/>
      <c r="D103" s="601"/>
    </row>
    <row r="104" spans="1:4" x14ac:dyDescent="0.35">
      <c r="A104" s="576">
        <v>60</v>
      </c>
      <c r="B104" s="528" t="s">
        <v>499</v>
      </c>
      <c r="C104" s="601"/>
      <c r="D104" s="601"/>
    </row>
    <row r="105" spans="1:4" x14ac:dyDescent="0.35">
      <c r="A105" s="576">
        <v>61</v>
      </c>
      <c r="B105" s="524" t="s">
        <v>184</v>
      </c>
      <c r="C105" s="601"/>
      <c r="D105" s="601"/>
    </row>
    <row r="106" spans="1:4" x14ac:dyDescent="0.35">
      <c r="A106" s="576">
        <v>62</v>
      </c>
      <c r="B106" s="524" t="s">
        <v>185</v>
      </c>
      <c r="C106" s="601"/>
      <c r="D106" s="601"/>
    </row>
    <row r="107" spans="1:4" x14ac:dyDescent="0.35">
      <c r="A107" s="576">
        <v>63</v>
      </c>
      <c r="B107" s="528" t="s">
        <v>415</v>
      </c>
      <c r="C107" s="601"/>
      <c r="D107" s="601"/>
    </row>
    <row r="108" spans="1:4" x14ac:dyDescent="0.35">
      <c r="A108" s="576">
        <v>64</v>
      </c>
      <c r="B108" s="528" t="s">
        <v>503</v>
      </c>
      <c r="C108" s="601"/>
      <c r="D108" s="601"/>
    </row>
    <row r="109" spans="1:4" x14ac:dyDescent="0.35">
      <c r="A109" s="576">
        <v>65</v>
      </c>
      <c r="B109" s="524" t="s">
        <v>186</v>
      </c>
      <c r="C109" s="601"/>
      <c r="D109" s="601"/>
    </row>
    <row r="110" spans="1:4" x14ac:dyDescent="0.35">
      <c r="A110" s="576">
        <v>66</v>
      </c>
      <c r="B110" s="524" t="s">
        <v>187</v>
      </c>
      <c r="C110" s="601"/>
      <c r="D110" s="601"/>
    </row>
    <row r="111" spans="1:4" x14ac:dyDescent="0.35">
      <c r="A111" s="576">
        <v>67</v>
      </c>
      <c r="B111" s="524" t="s">
        <v>188</v>
      </c>
      <c r="C111" s="601"/>
      <c r="D111" s="601"/>
    </row>
    <row r="112" spans="1:4" x14ac:dyDescent="0.35">
      <c r="A112" s="576">
        <v>68</v>
      </c>
      <c r="B112" s="524" t="s">
        <v>194</v>
      </c>
      <c r="C112" s="601"/>
      <c r="D112" s="601"/>
    </row>
    <row r="113" spans="1:4" x14ac:dyDescent="0.35">
      <c r="A113" s="576">
        <v>69</v>
      </c>
      <c r="B113" s="524" t="s">
        <v>322</v>
      </c>
      <c r="C113" s="601"/>
      <c r="D113" s="601"/>
    </row>
    <row r="114" spans="1:4" x14ac:dyDescent="0.35">
      <c r="A114" s="576">
        <v>70</v>
      </c>
      <c r="B114" s="526" t="s">
        <v>417</v>
      </c>
      <c r="C114" s="601"/>
      <c r="D114" s="601"/>
    </row>
    <row r="115" spans="1:4" x14ac:dyDescent="0.35">
      <c r="A115" s="576">
        <v>71</v>
      </c>
      <c r="B115" s="524" t="s">
        <v>189</v>
      </c>
      <c r="C115" s="601"/>
      <c r="D115" s="601"/>
    </row>
    <row r="116" spans="1:4" x14ac:dyDescent="0.35">
      <c r="A116" s="576">
        <v>72</v>
      </c>
      <c r="B116" s="526" t="s">
        <v>419</v>
      </c>
      <c r="C116" s="601"/>
      <c r="D116" s="601"/>
    </row>
    <row r="117" spans="1:4" x14ac:dyDescent="0.35">
      <c r="A117" s="576">
        <v>73</v>
      </c>
      <c r="B117" s="602" t="s">
        <v>530</v>
      </c>
      <c r="C117" s="601"/>
      <c r="D117" s="601"/>
    </row>
    <row r="118" spans="1:4" x14ac:dyDescent="0.35">
      <c r="A118" s="576">
        <v>74</v>
      </c>
      <c r="B118" s="524" t="s">
        <v>191</v>
      </c>
      <c r="C118" s="601"/>
      <c r="D118" s="601"/>
    </row>
    <row r="119" spans="1:4" x14ac:dyDescent="0.35">
      <c r="A119" s="576">
        <v>75</v>
      </c>
      <c r="B119" s="524" t="s">
        <v>192</v>
      </c>
      <c r="C119" s="601"/>
      <c r="D119" s="601"/>
    </row>
    <row r="120" spans="1:4" x14ac:dyDescent="0.35">
      <c r="A120" s="576">
        <v>76</v>
      </c>
      <c r="B120" s="524" t="s">
        <v>193</v>
      </c>
      <c r="C120" s="601"/>
      <c r="D120" s="601"/>
    </row>
    <row r="121" spans="1:4" x14ac:dyDescent="0.35">
      <c r="A121" s="576">
        <v>77</v>
      </c>
      <c r="B121" s="524" t="s">
        <v>212</v>
      </c>
      <c r="C121" s="601"/>
      <c r="D121" s="601"/>
    </row>
    <row r="122" spans="1:4" x14ac:dyDescent="0.35">
      <c r="A122" s="576">
        <v>78</v>
      </c>
      <c r="B122" s="524" t="s">
        <v>204</v>
      </c>
      <c r="C122" s="601"/>
      <c r="D122" s="601"/>
    </row>
    <row r="123" spans="1:4" x14ac:dyDescent="0.35">
      <c r="A123" s="576">
        <v>79</v>
      </c>
      <c r="B123" s="524" t="s">
        <v>205</v>
      </c>
      <c r="C123" s="601"/>
      <c r="D123" s="601"/>
    </row>
    <row r="124" spans="1:4" x14ac:dyDescent="0.35">
      <c r="A124" s="576">
        <v>80</v>
      </c>
      <c r="B124" s="524" t="s">
        <v>206</v>
      </c>
      <c r="C124" s="601"/>
      <c r="D124" s="601"/>
    </row>
    <row r="125" spans="1:4" x14ac:dyDescent="0.35">
      <c r="A125" s="576">
        <v>81</v>
      </c>
      <c r="B125" s="526" t="s">
        <v>425</v>
      </c>
      <c r="C125" s="601"/>
      <c r="D125" s="601"/>
    </row>
    <row r="126" spans="1:4" x14ac:dyDescent="0.35">
      <c r="A126" s="576">
        <v>82</v>
      </c>
      <c r="B126" s="526" t="s">
        <v>509</v>
      </c>
      <c r="C126" s="601"/>
      <c r="D126" s="601"/>
    </row>
    <row r="127" spans="1:4" x14ac:dyDescent="0.35">
      <c r="A127" s="576">
        <v>83</v>
      </c>
      <c r="B127" s="526" t="s">
        <v>426</v>
      </c>
      <c r="C127" s="601"/>
      <c r="D127" s="601"/>
    </row>
    <row r="128" spans="1:4" x14ac:dyDescent="0.35">
      <c r="A128" s="576">
        <v>84</v>
      </c>
      <c r="B128" s="605" t="s">
        <v>531</v>
      </c>
      <c r="C128" s="601"/>
      <c r="D128" s="601"/>
    </row>
    <row r="129" spans="1:4" x14ac:dyDescent="0.35">
      <c r="A129" s="576">
        <v>85</v>
      </c>
      <c r="B129" s="524" t="s">
        <v>427</v>
      </c>
      <c r="C129" s="601"/>
      <c r="D129" s="601"/>
    </row>
    <row r="130" spans="1:4" x14ac:dyDescent="0.35">
      <c r="A130" s="576">
        <v>86</v>
      </c>
      <c r="B130" s="524" t="s">
        <v>428</v>
      </c>
      <c r="C130" s="601"/>
      <c r="D130" s="601"/>
    </row>
    <row r="131" spans="1:4" x14ac:dyDescent="0.35">
      <c r="A131" s="576">
        <v>87</v>
      </c>
      <c r="B131" s="524" t="s">
        <v>211</v>
      </c>
      <c r="C131" s="601"/>
      <c r="D131" s="601"/>
    </row>
    <row r="132" spans="1:4" x14ac:dyDescent="0.35">
      <c r="A132" s="576">
        <v>88</v>
      </c>
      <c r="B132" s="524" t="s">
        <v>85</v>
      </c>
      <c r="C132" s="601"/>
      <c r="D132" s="601"/>
    </row>
    <row r="133" spans="1:4" x14ac:dyDescent="0.35">
      <c r="A133" s="576">
        <v>89</v>
      </c>
      <c r="B133" s="602" t="s">
        <v>532</v>
      </c>
      <c r="C133" s="601"/>
      <c r="D133" s="601"/>
    </row>
    <row r="134" spans="1:4" x14ac:dyDescent="0.35">
      <c r="A134" s="576">
        <v>90</v>
      </c>
      <c r="B134" s="602" t="s">
        <v>214</v>
      </c>
      <c r="C134" s="601"/>
      <c r="D134" s="601"/>
    </row>
    <row r="135" spans="1:4" x14ac:dyDescent="0.35">
      <c r="A135" s="576">
        <v>91</v>
      </c>
      <c r="B135" s="524" t="s">
        <v>128</v>
      </c>
      <c r="C135" s="601"/>
      <c r="D135" s="601"/>
    </row>
    <row r="136" spans="1:4" x14ac:dyDescent="0.35">
      <c r="A136" s="576">
        <v>92</v>
      </c>
      <c r="B136" s="524" t="s">
        <v>129</v>
      </c>
      <c r="C136" s="601"/>
      <c r="D136" s="601"/>
    </row>
    <row r="137" spans="1:4" x14ac:dyDescent="0.35">
      <c r="A137" s="576">
        <v>93</v>
      </c>
      <c r="B137" s="524" t="s">
        <v>429</v>
      </c>
      <c r="C137" s="601"/>
      <c r="D137" s="601"/>
    </row>
    <row r="138" spans="1:4" x14ac:dyDescent="0.35">
      <c r="A138" s="576">
        <v>94</v>
      </c>
      <c r="B138" s="524" t="s">
        <v>510</v>
      </c>
      <c r="C138" s="601"/>
      <c r="D138" s="601"/>
    </row>
    <row r="139" spans="1:4" x14ac:dyDescent="0.35">
      <c r="A139" s="576">
        <v>95</v>
      </c>
      <c r="B139" s="524" t="s">
        <v>67</v>
      </c>
      <c r="C139" s="601"/>
      <c r="D139" s="601"/>
    </row>
    <row r="140" spans="1:4" x14ac:dyDescent="0.35">
      <c r="A140" s="576">
        <v>96</v>
      </c>
      <c r="B140" s="526" t="s">
        <v>431</v>
      </c>
      <c r="C140" s="601"/>
      <c r="D140" s="601"/>
    </row>
    <row r="141" spans="1:4" x14ac:dyDescent="0.35">
      <c r="A141" s="576">
        <v>97</v>
      </c>
      <c r="B141" s="524" t="s">
        <v>131</v>
      </c>
      <c r="C141" s="601"/>
      <c r="D141" s="601"/>
    </row>
    <row r="142" spans="1:4" x14ac:dyDescent="0.35">
      <c r="A142" s="576">
        <v>98</v>
      </c>
      <c r="B142" s="524" t="s">
        <v>132</v>
      </c>
      <c r="C142" s="601"/>
      <c r="D142" s="601"/>
    </row>
    <row r="143" spans="1:4" x14ac:dyDescent="0.35">
      <c r="A143" s="576">
        <v>99</v>
      </c>
      <c r="B143" s="524" t="s">
        <v>41</v>
      </c>
      <c r="C143" s="601"/>
      <c r="D143" s="601"/>
    </row>
    <row r="144" spans="1:4" x14ac:dyDescent="0.35">
      <c r="A144" s="576">
        <v>100</v>
      </c>
      <c r="B144" s="524" t="s">
        <v>134</v>
      </c>
      <c r="C144" s="601"/>
      <c r="D144" s="601"/>
    </row>
    <row r="145" spans="1:4" x14ac:dyDescent="0.35">
      <c r="A145" s="576">
        <v>101</v>
      </c>
      <c r="B145" s="524" t="s">
        <v>135</v>
      </c>
      <c r="C145" s="601"/>
      <c r="D145" s="601"/>
    </row>
    <row r="146" spans="1:4" x14ac:dyDescent="0.35">
      <c r="A146" s="576">
        <v>102</v>
      </c>
      <c r="B146" s="526" t="s">
        <v>432</v>
      </c>
      <c r="C146" s="601"/>
      <c r="D146" s="601"/>
    </row>
    <row r="147" spans="1:4" x14ac:dyDescent="0.35">
      <c r="A147" s="576">
        <v>103</v>
      </c>
      <c r="B147" s="524" t="s">
        <v>136</v>
      </c>
      <c r="C147" s="601"/>
      <c r="D147" s="601"/>
    </row>
    <row r="148" spans="1:4" x14ac:dyDescent="0.35">
      <c r="A148" s="576">
        <v>104</v>
      </c>
      <c r="B148" s="524" t="s">
        <v>124</v>
      </c>
      <c r="C148" s="601"/>
      <c r="D148" s="601"/>
    </row>
    <row r="149" spans="1:4" x14ac:dyDescent="0.35">
      <c r="A149" s="576">
        <v>105</v>
      </c>
      <c r="B149" s="526" t="s">
        <v>435</v>
      </c>
      <c r="C149" s="601"/>
      <c r="D149" s="601"/>
    </row>
    <row r="150" spans="1:4" x14ac:dyDescent="0.35">
      <c r="A150" s="576">
        <v>106</v>
      </c>
      <c r="B150" s="524" t="s">
        <v>133</v>
      </c>
      <c r="C150" s="601"/>
      <c r="D150" s="601"/>
    </row>
    <row r="151" spans="1:4" x14ac:dyDescent="0.35">
      <c r="A151" s="576">
        <v>107</v>
      </c>
      <c r="B151" s="524" t="s">
        <v>436</v>
      </c>
      <c r="C151" s="601"/>
      <c r="D151" s="601"/>
    </row>
    <row r="152" spans="1:4" x14ac:dyDescent="0.35">
      <c r="A152" s="576">
        <v>108</v>
      </c>
      <c r="B152" s="608" t="s">
        <v>513</v>
      </c>
      <c r="C152" s="601"/>
      <c r="D152" s="601"/>
    </row>
    <row r="153" spans="1:4" x14ac:dyDescent="0.35">
      <c r="A153" s="576">
        <v>109</v>
      </c>
      <c r="B153" s="524" t="s">
        <v>139</v>
      </c>
      <c r="C153" s="601"/>
      <c r="D153" s="601"/>
    </row>
    <row r="154" spans="1:4" x14ac:dyDescent="0.35">
      <c r="A154" s="576">
        <v>110</v>
      </c>
      <c r="B154" s="524" t="s">
        <v>143</v>
      </c>
      <c r="C154" s="601"/>
      <c r="D154" s="601"/>
    </row>
    <row r="155" spans="1:4" x14ac:dyDescent="0.35">
      <c r="A155" s="576">
        <v>111</v>
      </c>
      <c r="B155" s="524" t="s">
        <v>151</v>
      </c>
      <c r="C155" s="601"/>
      <c r="D155" s="601"/>
    </row>
    <row r="156" spans="1:4" x14ac:dyDescent="0.35">
      <c r="A156" s="576">
        <v>112</v>
      </c>
      <c r="B156" s="524" t="s">
        <v>144</v>
      </c>
      <c r="C156" s="601"/>
      <c r="D156" s="601"/>
    </row>
    <row r="157" spans="1:4" x14ac:dyDescent="0.35">
      <c r="A157" s="576">
        <v>113</v>
      </c>
      <c r="B157" s="524" t="s">
        <v>145</v>
      </c>
      <c r="C157" s="601"/>
      <c r="D157" s="601"/>
    </row>
    <row r="158" spans="1:4" x14ac:dyDescent="0.35">
      <c r="A158" s="576">
        <v>114</v>
      </c>
      <c r="B158" s="524" t="s">
        <v>152</v>
      </c>
      <c r="C158" s="601"/>
      <c r="D158" s="601"/>
    </row>
    <row r="159" spans="1:4" x14ac:dyDescent="0.35">
      <c r="A159" s="576">
        <v>115</v>
      </c>
      <c r="B159" s="524" t="s">
        <v>146</v>
      </c>
      <c r="C159" s="601"/>
      <c r="D159" s="601"/>
    </row>
    <row r="160" spans="1:4" x14ac:dyDescent="0.35">
      <c r="A160" s="576">
        <v>116</v>
      </c>
      <c r="B160" s="524" t="s">
        <v>147</v>
      </c>
      <c r="C160" s="601"/>
      <c r="D160" s="601"/>
    </row>
    <row r="161" spans="1:4" x14ac:dyDescent="0.35">
      <c r="A161" s="576">
        <v>117</v>
      </c>
      <c r="B161" s="524" t="s">
        <v>148</v>
      </c>
      <c r="C161" s="601"/>
      <c r="D161" s="601"/>
    </row>
    <row r="162" spans="1:4" x14ac:dyDescent="0.35">
      <c r="A162" s="576">
        <v>118</v>
      </c>
      <c r="B162" s="524" t="s">
        <v>506</v>
      </c>
      <c r="C162" s="601"/>
      <c r="D162" s="601"/>
    </row>
    <row r="163" spans="1:4" x14ac:dyDescent="0.35">
      <c r="A163" s="576">
        <v>119</v>
      </c>
      <c r="B163" s="524" t="s">
        <v>533</v>
      </c>
      <c r="C163" s="601"/>
      <c r="D163" s="601">
        <v>511484.71</v>
      </c>
    </row>
    <row r="164" spans="1:4" x14ac:dyDescent="0.35">
      <c r="A164" s="576">
        <v>121</v>
      </c>
      <c r="B164" s="524" t="s">
        <v>142</v>
      </c>
      <c r="C164" s="601"/>
      <c r="D164" s="601"/>
    </row>
    <row r="165" spans="1:4" s="568" customFormat="1" ht="15.5" x14ac:dyDescent="0.35">
      <c r="A165" s="582"/>
      <c r="B165" s="573" t="s">
        <v>444</v>
      </c>
      <c r="C165" s="562">
        <f>SUM(C45:C164)</f>
        <v>1700000</v>
      </c>
      <c r="D165" s="562">
        <f>SUM(D45:D164)</f>
        <v>2257080.71</v>
      </c>
    </row>
    <row r="166" spans="1:4" s="568" customFormat="1" ht="9.75" customHeight="1" x14ac:dyDescent="0.35">
      <c r="A166" s="581"/>
      <c r="B166" s="569"/>
      <c r="C166" s="570"/>
      <c r="D166" s="570"/>
    </row>
    <row r="167" spans="1:4" s="568" customFormat="1" ht="15.5" x14ac:dyDescent="0.35">
      <c r="A167" s="583"/>
      <c r="B167" s="561" t="s">
        <v>445</v>
      </c>
      <c r="C167" s="562">
        <f>C42-C165</f>
        <v>-1700000</v>
      </c>
      <c r="D167" s="562">
        <f>D42-D165</f>
        <v>-2257080.71</v>
      </c>
    </row>
  </sheetData>
  <protectedRanges>
    <protectedRange algorithmName="SHA-512" hashValue="sib5Nlt62x8Cjehj5QpvQOfZQRWFyVXdW4ymlOfnLMMNdxZw1XVdONARla6+9R164l5kN77+d8cnUihMlL+w0A==" saltValue="TiYlffcKhraV9z9Br0ykmA==" spinCount="100000" sqref="C166:D166 D5 C3:C5 C40:D40 C6:D38 C44 C42:D43" name="Range1_3"/>
  </protectedRanges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Sheet9</vt:lpstr>
      <vt:lpstr>TFS Line Items</vt:lpstr>
      <vt:lpstr>Master Budgets </vt:lpstr>
      <vt:lpstr>Summary of Finance DPE</vt:lpstr>
      <vt:lpstr>Master Budgets</vt:lpstr>
      <vt:lpstr>Network Budget</vt:lpstr>
      <vt:lpstr>Network FY23-FY27  Budget</vt:lpstr>
      <vt:lpstr>Captial Projects &amp; Expense Spl </vt:lpstr>
      <vt:lpstr>AAL Budget</vt:lpstr>
      <vt:lpstr>AAL FY23-FY27 Budget</vt:lpstr>
      <vt:lpstr>Network Fees</vt:lpstr>
      <vt:lpstr>23-24 AAL Staffing</vt:lpstr>
      <vt:lpstr>C2 Budget</vt:lpstr>
      <vt:lpstr>C2 FY23-FY27 Budget</vt:lpstr>
      <vt:lpstr>23-24 C2 staffing</vt:lpstr>
      <vt:lpstr>C3 Budget</vt:lpstr>
      <vt:lpstr>C3 FY23-FY27 Budget </vt:lpstr>
      <vt:lpstr>23-24 C3 staffing</vt:lpstr>
      <vt:lpstr>SHES Budget</vt:lpstr>
      <vt:lpstr>SHES FY23-FY27 Budget </vt:lpstr>
      <vt:lpstr>Ector Budget</vt:lpstr>
      <vt:lpstr>Ector FY23-FY27 Budget </vt:lpstr>
      <vt:lpstr>23-24 SHES staffing</vt:lpstr>
      <vt:lpstr>23-24 Lamar ES staffing</vt:lpstr>
      <vt:lpstr>Ector FY23 Staffing</vt:lpstr>
      <vt:lpstr>Mendez FY23-FY27 Budget</vt:lpstr>
      <vt:lpstr>Mendez Budget</vt:lpstr>
      <vt:lpstr>Leases &amp; Debt</vt:lpstr>
      <vt:lpstr>Notes</vt:lpstr>
      <vt:lpstr>Total Debt</vt:lpstr>
      <vt:lpstr>TX new school FY23-FY27 budget </vt:lpstr>
      <vt:lpstr>CO new school FY23-FY27 budget </vt:lpstr>
      <vt:lpstr>'23-24 Lamar ES staffing'!Print_Area</vt:lpstr>
      <vt:lpstr>'23-24 SHES staffing'!Print_Area</vt:lpstr>
      <vt:lpstr>'AAL FY23-FY27 Budget'!Print_Area</vt:lpstr>
      <vt:lpstr>'Ector FY23 Staffing'!Print_Area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Miles</dc:creator>
  <cp:keywords/>
  <dc:description/>
  <cp:lastModifiedBy>Jessica Lopez</cp:lastModifiedBy>
  <cp:revision/>
  <dcterms:created xsi:type="dcterms:W3CDTF">2022-03-18T21:48:19Z</dcterms:created>
  <dcterms:modified xsi:type="dcterms:W3CDTF">2023-06-09T01:35:28Z</dcterms:modified>
  <cp:category/>
  <cp:contentStatus/>
</cp:coreProperties>
</file>