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ike\OneDrive\Desktop\TFS network\Consolidated budget\Consolidated\22-23 budgets\Kerri's budget\Budgets for Mike\Jan 2023\"/>
    </mc:Choice>
  </mc:AlternateContent>
  <xr:revisionPtr revIDLastSave="0" documentId="8_{AC82159C-D116-44EB-A179-077E54A65415}" xr6:coauthVersionLast="47" xr6:coauthVersionMax="47" xr10:uidLastSave="{00000000-0000-0000-0000-000000000000}"/>
  <bookViews>
    <workbookView xWindow="-98" yWindow="-98" windowWidth="21795" windowHeight="13875" xr2:uid="{5E662317-C53A-4136-8434-4F168E45DB3F}"/>
  </bookViews>
  <sheets>
    <sheet name="Master Budgets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" hidden="1">#REF!</definedName>
    <definedName name="_bdm.17E144F561804739B0F2BCC26DA73708.edm" hidden="1">#REF!</definedName>
    <definedName name="_bdm.2D61E03D8651420480D11D8E8EBCA380.edm" hidden="1">'[2]Tiny Calendars 2007'!$1:$1048576</definedName>
    <definedName name="_bdm.6A897E6781904C8FB772B29C22D90C37.edm" hidden="1">#REF!</definedName>
    <definedName name="_bdm.71486A4CE2884B4187D0BC83436ED520.edm" hidden="1">'[2]Pie Chart-Currency'!$1:$1048576</definedName>
    <definedName name="_bdm.9B143323A3374AF491279A50135C30FA.edm" hidden="1">#REF!</definedName>
    <definedName name="_bdm.B098F9F87DB74CBEA0BB152934FA8FCF.edm" hidden="1">#REF!</definedName>
    <definedName name="_bdm.CE68A13289AB418298D6D2FFA2228F99.edm" hidden="1">#REF!</definedName>
    <definedName name="_bdm.DCB006E09F8D4BA99AD6A329E293CC92.edm" hidden="1">#REF!</definedName>
    <definedName name="_del1" hidden="1">{"Page1",#N/A,FALSE,"7979";"Page2",#N/A,FALSE,"7979";"Page3",#N/A,FALSE,"7979"}</definedName>
    <definedName name="_Fil1" hidden="1">'[3]Current 9-02'!$A$6:$A$166</definedName>
    <definedName name="_Fill" hidden="1">#REF!</definedName>
    <definedName name="_Fill2" hidden="1">#REF!</definedName>
    <definedName name="_xlnm._FilterDatabase" localSheetId="0" hidden="1">'Master Budgets '!$A$56:$AD$168</definedName>
    <definedName name="_xlnm._FilterDatabase" hidden="1">#REF!</definedName>
    <definedName name="_Key1" hidden="1">#REF!</definedName>
    <definedName name="_Key2" hidden="1">#REF!</definedName>
    <definedName name="_Key5" hidden="1">#REF!</definedName>
    <definedName name="_Key6" hidden="1">#REF!</definedName>
    <definedName name="_Key8" hidden="1">#REF!</definedName>
    <definedName name="_Key9" hidden="1">'[3]Current 9-02'!#REF!</definedName>
    <definedName name="_Order1" hidden="1">0</definedName>
    <definedName name="_Order2" hidden="1">255</definedName>
    <definedName name="_Sort" hidden="1">#REF!</definedName>
    <definedName name="_Tab2_In2" hidden="1">#REF!</definedName>
    <definedName name="_Table1_In1" hidden="1">[4]Assumptions!#REF!</definedName>
    <definedName name="_Table1_Out" hidden="1">#REF!</definedName>
    <definedName name="_Table2" hidden="1">#REF!</definedName>
    <definedName name="_Table2_In1" hidden="1">#REF!</definedName>
    <definedName name="_Table2_In2" hidden="1">#REF!</definedName>
    <definedName name="_Table2_Out" hidden="1">#REF!</definedName>
    <definedName name="adf" hidden="1">{#N/A,#N/A,FALSE,"SCHEDULE G"}</definedName>
    <definedName name="ae" hidden="1">{"CF",#N/A,FALSE,"Cash Flow";"RET",#N/A,FALSE,"Returns";"NPV",#N/A,FALSE,"Values";"ASMPT",#N/A,FALSE,"Assumptions"}</definedName>
    <definedName name="agf" hidden="1">{#N/A,#N/A,FALSE,"ExecSum";#N/A,#N/A,FALSE,"total summary";#N/A,#N/A,FALSE,"Budget";#N/A,#N/A,FALSE,"CashFlow"}</definedName>
    <definedName name="AllowFundHlook">#REF!</definedName>
    <definedName name="AllowProg">#REF!</definedName>
    <definedName name="asdfsdfsdf" hidden="1">{#N/A,#N/A,FALSE,"Expense Comparison"}</definedName>
    <definedName name="asfget" hidden="1">{"Page1",#N/A,FALSE,"7979";"Page2",#N/A,FALSE,"7979";"Page3",#N/A,FALSE,"7979"}</definedName>
    <definedName name="BadLink" hidden="1">#REF!</definedName>
    <definedName name="beattle" hidden="1">{"Full Sheet",#N/A,FALSE,"Expense Comparison"}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daf" hidden="1">{"Base Year Demand",#N/A,FALSE,"Demand-Base Year"}</definedName>
    <definedName name="data" hidden="1">#REF!</definedName>
    <definedName name="DATA_01" hidden="1">'[5]Bond Amortization'!#REF!</definedName>
    <definedName name="DATA_08" hidden="1">'[5]Bond Amortization'!#REF!</definedName>
    <definedName name="del" hidden="1">{"Page1",#N/A,FALSE,"7979";"Page2",#N/A,FALSE,"7979";"Page3",#N/A,FALSE,"7979"}</definedName>
    <definedName name="DISTRICT">#REF!</definedName>
    <definedName name="dsaf" hidden="1">{#N/A,#N/A,FALSE,"ExecSum";#N/A,#N/A,FALSE,"total summary";#N/A,#N/A,FALSE,"Budget";#N/A,#N/A,FALSE,"CashFlow"}</definedName>
    <definedName name="ERRORRPT">#REF!</definedName>
    <definedName name="ev.Calculation" hidden="1">-4135</definedName>
    <definedName name="ev.Initialized" hidden="1">FALSE</definedName>
    <definedName name="ExtraCredit">#REF!</definedName>
    <definedName name="fdf" hidden="1">{"Full Sheet",#N/A,FALSE,"Expense Comparison"}</definedName>
    <definedName name="fksajf" hidden="1">{#N/A,#N/A,FALSE,"SCHEDULE A";"MINIMUM RENT",#N/A,FALSE,"SCHEDULES B &amp; C";"PERCENTAGE RENT",#N/A,FALSE,"SCHEDULES B &amp; C"}</definedName>
    <definedName name="frequency">{"Annually";"Semi-Annually";"Quarterly";"Bi-Monthly";"Monthly"}</definedName>
    <definedName name="Fruit">#REF!</definedName>
    <definedName name="GMONEY">#REF!</definedName>
    <definedName name="Header_Row">ROW(#REF!)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otel" hidden="1">{#N/A,#N/A,FALSE,"ExecSum";#N/A,#N/A,FALSE,"total summary";#N/A,#N/A,FALSE,"Budget";#N/A,#N/A,FALSE,"CashFlow"}</definedName>
    <definedName name="HTML_CodePage" hidden="1">1252</definedName>
    <definedName name="HTML_Control" hidden="1">{"'Sheet1'!$A$1:$K$359"}</definedName>
    <definedName name="HTML_Description" hidden="1">""</definedName>
    <definedName name="HTML_Email" hidden="1">""</definedName>
    <definedName name="HTML_Header" hidden="1">"Master List of Resources"</definedName>
    <definedName name="HTML_LastUpdate" hidden="1">"7/12/99"</definedName>
    <definedName name="HTML_LineAfter" hidden="1">FALSE</definedName>
    <definedName name="HTML_LineBefore" hidden="1">FALSE</definedName>
    <definedName name="HTML_Name" hidden="1">"Mary Eve Peek"</definedName>
    <definedName name="HTML_OBDlg2" hidden="1">TRUE</definedName>
    <definedName name="HTML_OBDlg4" hidden="1">TRUE</definedName>
    <definedName name="HTML_OS" hidden="1">0</definedName>
    <definedName name="HTML_PathFile" hidden="1">"H:\ofsma\sacs\ResourceHistory.htm"</definedName>
    <definedName name="HTML_Title" hidden="1">"Master List of Resources"</definedName>
    <definedName name="Inflation" hidden="1">#REF!</definedName>
    <definedName name="IntroPrintArea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1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39965.7988425926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38849.5606597222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sColHidden" hidden="1">FALSE</definedName>
    <definedName name="IsLTMColHidden" hidden="1">FALSE</definedName>
    <definedName name="Items">#REF!</definedName>
    <definedName name="Lol" hidden="1">#REF!</definedName>
    <definedName name="Meat">#REF!</definedName>
    <definedName name="MILL">#REF!</definedName>
    <definedName name="MINRESERVE">#REF!</definedName>
    <definedName name="MoreFruit">#REF!</definedName>
    <definedName name="MoreItem">#REF!</definedName>
    <definedName name="MoreItems">#REF!</definedName>
    <definedName name="MOUNTAIN">#REF!</definedName>
    <definedName name="nper" localSheetId="0">term*periods_per_year</definedName>
    <definedName name="nper">term*periods_per_year</definedName>
    <definedName name="nper1" localSheetId="0">term*periods_per_year</definedName>
    <definedName name="nper1">term*periods_per_year</definedName>
    <definedName name="Number_of_Payments">#REF!</definedName>
    <definedName name="OUTLAY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Parent_Allocation_by_school">'[6]Parent Involvement'!$F$11:$F$43</definedName>
    <definedName name="Parent_School_Name">'[6]Parent Involvement'!$A$11:$A$43</definedName>
    <definedName name="Payment_Number">ROW()-[0]!Header_Row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RURAL">#REF!</definedName>
    <definedName name="sa" hidden="1">{#N/A,#N/A,FALSE,"Assumptions";#N/A,#N/A,FALSE,"Input";#N/A,#N/A,FALSE,"S &amp; U - Total";#N/A,#N/A,FALSE,"S &amp; U - LIHC";#N/A,#N/A,FALSE,"S &amp; U - Market";#N/A,#N/A,FALSE,"NOI - Total";#N/A,#N/A,FALSE,"NOI - LIHC";#N/A,#N/A,FALSE,"NOI - Market";#N/A,#N/A,FALSE,"TI - Total";#N/A,#N/A,FALSE,"TI - LIHC";#N/A,#N/A,FALSE,"TI - Market";#N/A,#N/A,FALSE,"Costs";#N/A,#N/A,FALSE,"Credit";#N/A,#N/A,FALSE,"LP Rtn";#N/A,#N/A,FALSE,"One Pay-in-LP";#N/A,#N/A,FALSE,"Sale Cash-LP";#N/A,#N/A,FALSE,"Sale Gain-LP";#N/A,#N/A,FALSE,"704(b)-LP";#N/A,#N/A,FALSE,"GP Rtn";#N/A,#N/A,FALSE,"One Pay-in-GP";#N/A,#N/A,FALSE,"Sale Cash-GP";#N/A,#N/A,FALSE,"Sale Gain-GP";#N/A,#N/A,FALSE,"704(b)-GP"}</definedName>
    <definedName name="SAPBEXdnldView" hidden="1">"4GKQGA68BTJSRT8MI528THIA3"</definedName>
    <definedName name="SAPBEXsysID" hidden="1">"PB1"</definedName>
    <definedName name="sensitivity" hidden="1">{#N/A,#N/A,FALSE,"Page 2";#N/A,#N/A,FALSE,"Page 1A";#N/A,#N/A,FALSE,"Page 1B";#N/A,#N/A,FALSE,"ExecSum";#N/A,#N/A,FALSE,"Budget";#N/A,#N/A,FALSE,"Lease Summary";#N/A,#N/A,FALSE,"Summary1";#N/A,#N/A,FALSE,"CashFlow";#N/A,#N/A,FALSE,"Page 3";#N/A,#N/A,FALSE,"Page 4";#N/A,#N/A,FALSE,"Carry"}</definedName>
    <definedName name="SES_Allocation_by_school">[6]SES!$F$21:$F$22</definedName>
    <definedName name="SES_School_Name">[6]SES!$A$21:$A$22</definedName>
    <definedName name="SPENDLIM">#REF!</definedName>
    <definedName name="SUMExtraCredit">#REF!</definedName>
    <definedName name="SUMIF">#REF!</definedName>
    <definedName name="SUMIFExtraCredit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SUMMARY">'[7]district disk'!#REF!</definedName>
    <definedName name="ta" hidden="1">{#N/A,#N/A,FALSE,"Assumptions";#N/A,#N/A,FALSE,"Input";#N/A,#N/A,FALSE,"S &amp; U - Total";#N/A,#N/A,FALSE,"S &amp; U - LIHC";#N/A,#N/A,FALSE,"S &amp; U - Market";#N/A,#N/A,FALSE,"NOI - Total";#N/A,#N/A,FALSE,"NOI - LIHC";#N/A,#N/A,FALSE,"NOI - Market";#N/A,#N/A,FALSE,"TI - Total";#N/A,#N/A,FALSE,"TI - LIHC";#N/A,#N/A,FALSE,"TI - Market";#N/A,#N/A,FALSE,"Costs";#N/A,#N/A,FALSE,"Credit";#N/A,#N/A,FALSE,"LP Rtn";#N/A,#N/A,FALSE,"One Pay-in-LP";#N/A,#N/A,FALSE,"Sale Cash-LP";#N/A,#N/A,FALSE,"Sale Gain-LP";#N/A,#N/A,FALSE,"704(b)-LP";#N/A,#N/A,FALSE,"GP Rtn";#N/A,#N/A,FALSE,"One Pay-in-GP";#N/A,#N/A,FALSE,"Sale Cash-GP";#N/A,#N/A,FALSE,"Sale Gain-GP";#N/A,#N/A,FALSE,"704(b)-GP"}</definedName>
    <definedName name="TAXLIM">#REF!</definedName>
    <definedName name="Title_I_School_Name">'[8]Title I School'!$A$11:$A$43</definedName>
    <definedName name="Title_III_SA_Allocation">'[8]Title III Set-Aside'!$C$8:$C$19</definedName>
    <definedName name="Title_III_SA_School">'[8]Title III Set-Aside'!$A$8:$A$19</definedName>
    <definedName name="Title_III_School_Name">'[8]Title III'!$A$23:$A$52</definedName>
    <definedName name="Total">#REF!</definedName>
    <definedName name="URBAN">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lues_Entered_9" localSheetId="0">IF(Loan_Amount_9*Interest_Rate_9*Loan_Years_9*Loan_Start_9&gt;0,1,0)</definedName>
    <definedName name="Values_Entered_9">IF(Loan_Amount_9*Interest_Rate_9*Loan_Years_9*Loan_Start_9&gt;0,1,0)</definedName>
    <definedName name="what" hidden="1">{"Page1",#N/A,FALSE,"7979";"Page2",#N/A,FALSE,"7979";"Page3",#N/A,FALSE,"7979"}</definedName>
    <definedName name="whatwhat" hidden="1">{"Page1",#N/A,FALSE,"7979";"Page2",#N/A,FALSE,"7979";"Page3",#N/A,FALSE,"7979"}</definedName>
    <definedName name="wrn.ALL." hidden="1">{#N/A,#N/A,FALSE,"SCHEDULE A";"MINIMUM RENT",#N/A,FALSE,"SCHEDULES B &amp; C";"PERCENTAGE RENT",#N/A,FALSE,"SCHEDULES B &amp; C";#N/A,#N/A,FALSE,"SCHEDULE D";"SUMMARY SCHEDULE",#N/A,FALSE,"SCHEDULE E";#N/A,#N/A,FALSE,"SCHEDULE F";#N/A,#N/A,FALSE,"SCHEDULE G";"SUMMARY SCHEDULE",#N/A,FALSE,"SCHEDULE H";"SUMMARY SCHEDULE",#N/A,FALSE,"SCHEDULE I";#N/A,#N/A,FALSE,"SCHEDULE J";#N/A,#N/A,FALSE,"SCHEDULE 2";#N/A,#N/A,FALSE,"SCHEDULE 3";#N/A,#N/A,FALSE,"MARKETING I";#N/A,#N/A,FALSE,"MARKETING II";#N/A,#N/A,FALSE,"MARKETING III"}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ll.2" hidden="1">{#N/A,#N/A,FALSE,"SCHEDULE A";"MINIMUM RENT",#N/A,FALSE,"SCHEDULES B &amp; C";"PERCENTAGE RENT",#N/A,FALSE,"SCHEDULES B &amp; C";#N/A,#N/A,FALSE,"SCHEDULE D";"SUMMARY SCHEDULE",#N/A,FALSE,"SCHEDULE E";#N/A,#N/A,FALSE,"SCHEDULE F";#N/A,#N/A,FALSE,"SCHEDULE G";"SUMMARY SCHEDULE",#N/A,FALSE,"SCHEDULE H";"SUMMARY SCHEDULE",#N/A,FALSE,"SCHEDULE I";#N/A,#N/A,FALSE,"SCHEDULE J";#N/A,#N/A,FALSE,"SCHEDULE 2";#N/A,#N/A,FALSE,"SCHEDULE 3";#N/A,#N/A,FALSE,"MARKETING I";#N/A,#N/A,FALSE,"MARKETING II";#N/A,#N/A,FALSE,"MARKETING III"}</definedName>
    <definedName name="wrn.Base._.Case._.Print." hidden="1">{#N/A,#N/A,FALSE,"Assumptions";#N/A,#N/A,FALSE,"Ground Rent";#N/A,#N/A,FALSE,"SQFT SUMMARY";#N/A,#N/A,FALSE,"PROJECT COSTS";#N/A,#N/A,FALSE,"Financing";#N/A,#N/A,FALSE,"RE Tax Analysis";#N/A,#N/A,FALSE,"Oper Pro Forma";#N/A,#N/A,FALSE,"Sale and IRR";#N/A,#N/A,FALSE,"Int BackUP"}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BaseYearDemand." hidden="1">{"Base Year Demand",#N/A,FALSE,"Demand-Base Year"}</definedName>
    <definedName name="wrn.Basic._.Forecast." hidden="1">{#N/A,#N/A,FALSE,"Assumptions";#N/A,#N/A,FALSE,"Input";#N/A,#N/A,FALSE,"S &amp; U - Total";#N/A,#N/A,FALSE,"S &amp; U - LIHC";#N/A,#N/A,FALSE,"S &amp; U - Market";#N/A,#N/A,FALSE,"NOI - Total";#N/A,#N/A,FALSE,"NOI - LIHC";#N/A,#N/A,FALSE,"NOI - Market";#N/A,#N/A,FALSE,"TI - Total";#N/A,#N/A,FALSE,"TI - LIHC";#N/A,#N/A,FALSE,"TI - Market";#N/A,#N/A,FALSE,"Costs";#N/A,#N/A,FALSE,"Credit";#N/A,#N/A,FALSE,"LP Rtn";#N/A,#N/A,FALSE,"One Pay-in-LP";#N/A,#N/A,FALSE,"Sale Cash-LP";#N/A,#N/A,FALSE,"Sale Gain-LP";#N/A,#N/A,FALSE,"704(b)-LP";#N/A,#N/A,FALSE,"GP Rtn";#N/A,#N/A,FALSE,"One Pay-in-GP";#N/A,#N/A,FALSE,"Sale Cash-GP";#N/A,#N/A,FALSE,"Sale Gain-GP";#N/A,#N/A,FALSE,"704(b)-GP"}</definedName>
    <definedName name="wrn.Both._.Outputs." hidden="1">{"LTV Output",#N/A,FALSE,"Output";"DCR Output",#N/A,FALSE,"Output"}</definedName>
    <definedName name="wrn.Cash._.Flow._.Analysis." hidden="1">{"CF",#N/A,FALSE,"Cash Flow";"RET",#N/A,FALSE,"Returns";"NPV",#N/A,FALSE,"Values";"ASMPT",#N/A,FALSE,"Assumptions"}</definedName>
    <definedName name="wrn.check." hidden="1">{#N/A,#N/A,FALSE,"Summary";#N/A,#N/A,FALSE,"Project Summary";#N/A,#N/A,FALSE,"Development Cost Summary";#N/A,#N/A,FALSE,"Development Cost Allocation";#N/A,#N/A,FALSE,"Pad Fees";#N/A,#N/A,FALSE,"Costs";#N/A,#N/A,FALSE,"Parking Budget";#N/A,#N/A,FALSE,"Retail Development Budget";#N/A,#N/A,FALSE,"Office Development Budget";#N/A,#N/A,FALSE,"Hotel Development Budget"}</definedName>
    <definedName name="wrn.check.2" hidden="1">{#N/A,#N/A,FALSE,"Summary";#N/A,#N/A,FALSE,"Project Summary";#N/A,#N/A,FALSE,"Development Cost Summary";#N/A,#N/A,FALSE,"Development Cost Allocation";#N/A,#N/A,FALSE,"Pad Fees";#N/A,#N/A,FALSE,"Costs";#N/A,#N/A,FALSE,"Parking Budget";#N/A,#N/A,FALSE,"Retail Development Budget";#N/A,#N/A,FALSE,"Office Development Budget";#N/A,#N/A,FALSE,"Hotel Development Budget"}</definedName>
    <definedName name="wrn.combined." hidden="1">{#N/A,#N/A,FALSE,"Page 2";#N/A,#N/A,FALSE,"Page 1A";#N/A,#N/A,FALSE,"Page 1B";#N/A,#N/A,FALSE,"ExecSum";#N/A,#N/A,FALSE,"Budget";#N/A,#N/A,FALSE,"Lease Summary";#N/A,#N/A,FALSE,"Summary1";#N/A,#N/A,FALSE,"CashFlow";#N/A,#N/A,FALSE,"Page 3";#N/A,#N/A,FALSE,"Page 4";#N/A,#N/A,FALSE,"Carry"}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ETAIL._.SCHEDULES." hidden="1">{"ACCOUNT DETAIL",#N/A,FALSE,"SCHEDULE E";"ACCOUNT DETAIL",#N/A,FALSE,"SCHEDULE G";"ACCOUNT DETAIL",#N/A,FALSE,"SCHEDULE H";"ACCOUNT DETAIL",#N/A,FALSE,"SCHEDULE I"}</definedName>
    <definedName name="wrn.dtl.schedules" hidden="1">{"ACCOUNT DETAIL",#N/A,FALSE,"SCHEDULE E";"ACCOUNT DETAIL",#N/A,FALSE,"SCHEDULE G";"ACCOUNT DETAIL",#N/A,FALSE,"SCHEDULE H";"ACCOUNT DETAIL",#N/A,FALSE,"SCHEDULE I"}</definedName>
    <definedName name="wrn.ExhibitD1." hidden="1">{"ExhibitD1",#N/A,FALSE,"ExhibitD1"}</definedName>
    <definedName name="wrn.ExhibitD2." hidden="1">{"ExhibitD2",#N/A,FALSE,"ExhibitD2"}</definedName>
    <definedName name="wrn.Fair._.Share._.Calcs." hidden="1">{#N/A,#N/A,FALSE,"Fair Share"}</definedName>
    <definedName name="wrn.Final._.Output." hidden="1">{#N/A,#N/A,FALSE,"Final Output"}</definedName>
    <definedName name="wrn.Financials1." hidden="1">{"Inc_5Yr",#N/A,FALSE,"Inc";"Bal_5Yr",#N/A,FALSE,"Inc";"SCF_5Yr",#N/A,FALSE,"Inc";"Inc_Yr1",#N/A,FALSE,"Inc";"Bal_Yr1",#N/A,FALSE,"Inc";"SCF_Yr1",#N/A,FALSE,"Inc";"Inc_Yr2",#N/A,FALSE,"Inc";"Bal_Yr2",#N/A,FALSE,"Inc";"SCF_Yr2",#N/A,FALSE,"Inc";"Inc_Yr3",#N/A,FALSE,"Inc";"Bal_Yr3",#N/A,FALSE,"Inc";"SCF_Yr3",#N/A,FALSE,"Inc";"Inc_Yr4",#N/A,FALSE,"Inc";"Bal_Yr4",#N/A,FALSE,"Inc";"SCF_Yr4",#N/A,FALSE,"Inc";"Inc_Yr5",#N/A,FALSE,"Inc";"Bal_Yr5",#N/A,FALSE,"Inc";"SCF_Yr5",#N/A,FALSE,"Inc"}</definedName>
    <definedName name="wrn.FULL._.COMPARISON." hidden="1">{"Full Sheet",#N/A,FALSE,"Expense Comparison"}</definedName>
    <definedName name="wrn.Full._.Report" hidden="1">{#N/A,#N/A,FALSE,"Summary";#N/A,#N/A,FALSE,"Project Summary";#N/A,#N/A,FALSE,"Master Developer Cash Flow";#N/A,#N/A,FALSE,"Development Cost Allocation";#N/A,#N/A,FALSE,"Costs";#N/A,#N/A,FALSE,"Pad Fees";#N/A,#N/A,FALSE,"Parking Budget";#N/A,#N/A,FALSE,"Podium Monthly Development #1";#N/A,#N/A,FALSE,"Podium Monthly Development #2";#N/A,#N/A,FALSE,"Podium Quarterly Development Bu";#N/A,#N/A,FALSE,"Parking Cash Flow";#N/A,#N/A,FALSE,"Parking Assumptions";#N/A,#N/A,FALSE,"Bond Debt Service";#N/A,#N/A,FALSE,"Bond Shortfall";#N/A,#N/A,FALSE,"Retail Development Budget";#N/A,#N/A,FALSE,"Retail Monthly Development Budg";#N/A,#N/A,FALSE,"Retail Quarterly Development Bu";#N/A,#N/A,FALSE,"Retail Cash Flow";#N/A,#N/A,FALSE,"Retail Cash Flow";#N/A,#N/A,FALSE,"Retail Assumptions";#N/A,#N/A,FALSE,"Retail Debt Service";#N/A,#N/A,FALSE,"Office Development Budget";#N/A,#N/A,FALSE,"Office Monthly Development Budg";#N/A,#N/A,FALSE,"Office Quarterly Development Bu";#N/A,#N/A,FALSE,"Office Cash Flow";#N/A,#N/A,FALSE,"Office Assumptions";#N/A,#N/A,FALSE,"Office Debt Service";#N/A,#N/A,FALSE,"Hotel Development Budget";#N/A,#N/A,FALSE,"Hotel Monthly Development Budge";#N/A,#N/A,FALSE,"Hotel Quarterly Development Bud";#N/A,#N/A,FALSE,"Hotel Cash Flow";#N/A,#N/A,FALSE,"Hotel Assumptions";#N/A,#N/A,FALSE,"Hotel Debt Service";#N/A,#N/A,FALSE,"Demographics-Hotel";#N/A,#N/A,FALSE,"Land Lease NPV"}</definedName>
    <definedName name="wrn.Full._.Report." hidden="1">{#N/A,#N/A,FALSE,"Summary";#N/A,#N/A,FALSE,"Project Summary";#N/A,#N/A,FALSE,"Master Developer Cash Flow";#N/A,#N/A,FALSE,"Development Cost Allocation";#N/A,#N/A,FALSE,"Costs";#N/A,#N/A,FALSE,"Pad Fees";#N/A,#N/A,FALSE,"Parking Budget";#N/A,#N/A,FALSE,"Podium Monthly Development #1";#N/A,#N/A,FALSE,"Podium Monthly Development #2";#N/A,#N/A,FALSE,"Podium Quarterly Development Bu";#N/A,#N/A,FALSE,"Parking Cash Flow";#N/A,#N/A,FALSE,"Parking Assumptions";#N/A,#N/A,FALSE,"Bond Debt Service";#N/A,#N/A,FALSE,"Bond Shortfall";#N/A,#N/A,FALSE,"Retail Development Budget";#N/A,#N/A,FALSE,"Retail Monthly Development Budg";#N/A,#N/A,FALSE,"Retail Quarterly Development Bu";#N/A,#N/A,FALSE,"Retail Cash Flow";#N/A,#N/A,FALSE,"Retail Cash Flow";#N/A,#N/A,FALSE,"Retail Assumptions";#N/A,#N/A,FALSE,"Retail Debt Service";#N/A,#N/A,FALSE,"Office Development Budget";#N/A,#N/A,FALSE,"Office Monthly Development Budg";#N/A,#N/A,FALSE,"Office Quarterly Development Bu";#N/A,#N/A,FALSE,"Office Cash Flow";#N/A,#N/A,FALSE,"Office Assumptions";#N/A,#N/A,FALSE,"Office Debt Service";#N/A,#N/A,FALSE,"Hotel Development Budget";#N/A,#N/A,FALSE,"Hotel Monthly Development Budge";#N/A,#N/A,FALSE,"Hotel Quarterly Development Bud";#N/A,#N/A,FALSE,"Hotel Cash Flow";#N/A,#N/A,FALSE,"Hotel Assumptions";#N/A,#N/A,FALSE,"Hotel Debt Service";#N/A,#N/A,FALSE,"Demographics-Hotel";#N/A,#N/A,FALSE,"Land Lease NPV"}</definedName>
    <definedName name="wrn.Inputs." hidden="1">{"Inflation-BaseYear",#N/A,FALSE,"Inputs"}</definedName>
    <definedName name="wrn.Las._.Palomas._.Hotel." hidden="1">{"Utilization",#N/A,FALSE,"Utilization";"Sources",#N/A,FALSE,"Sources"}</definedName>
    <definedName name="wrn.Latent._.Demand._.Inputs." hidden="1">{#N/A,#N/A,FALSE,"Latent"}</definedName>
    <definedName name="wrn.LETTERED.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nsum" hidden="1">{"Loan Summary",#N/A,FALSE,"Phase 1 loan &amp; data"}</definedName>
    <definedName name="wrn.Loan._.Summary." hidden="1">{"Loan Summary",#N/A,FALSE,"Phase 1 loan &amp; data"}</definedName>
    <definedName name="wrn.Lower._.Tier._.Model." hidden="1">{#N/A,#N/A,FALSE,"Summary";#N/A,#N/A,FALSE,"Sources and Uses";"TCA",#N/A,FALSE,"Proforma Operations";"Stabilized Operations",#N/A,FALSE,"Proforma Operations";"15 Year Proforma",#N/A,FALSE,"Proforma Operations";#N/A,#N/A,FALSE,"Qualified Basis";#N/A,#N/A,FALSE,"Lease-Up";#N/A,#N/A,FALSE,"Tax Credit Analysis";#N/A,#N/A,FALSE,"Buyer's IRR";#N/A,#N/A,FALSE,"EP&amp;TCS"}</definedName>
    <definedName name="wrn.ltrd.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TV._.Output." hidden="1">{"LTV Output",#N/A,FALSE,"Output"}</definedName>
    <definedName name="wrn.MARKETING." hidden="1">{#N/A,#N/A,FALSE,"MARKETING I";#N/A,#N/A,FALSE,"MARKETING II";#N/A,#N/A,FALSE,"MARKETING III"}</definedName>
    <definedName name="wrn.MINRENT." hidden="1">{"MINRENT2",#N/A,FALSE,"SCHEDULE B"}</definedName>
    <definedName name="wrn.minrent.2" hidden="1">{"MINRENT2",#N/A,FALSE,"SCHEDULE B"}</definedName>
    <definedName name="wrn.mkting" hidden="1">{#N/A,#N/A,FALSE,"MARKETING I";#N/A,#N/A,FALSE,"MARKETING II";#N/A,#N/A,FALSE,"MARKETING III"}</definedName>
    <definedName name="wrn.Occupancy._.Calcs." hidden="1">{#N/A,#N/A,FALSE,"Occ. Calcs"}</definedName>
    <definedName name="wrn.office." hidden="1">{#N/A,#N/A,FALSE,"Pad Fees";#N/A,#N/A,FALSE,"Parking Budget";#N/A,#N/A,FALSE,"Parking Cash Flow";#N/A,#N/A,FALSE,"Parking Assumptions Summary";#N/A,#N/A,FALSE,"Assumptions-M";#N/A,#N/A,FALSE,"Assumptions-T";#N/A,#N/A,FALSE,"Assumptions-W";#N/A,#N/A,FALSE,"Assumptions-R";#N/A,#N/A,FALSE,"Assumptions-F";#N/A,#N/A,FALSE,"Assumptions-Sa";#N/A,#N/A,FALSE,"Assumptions-Su";#N/A,#N/A,FALSE,"Bond Debt Service";#N/A,#N/A,FALSE,"Bond Shortfall"}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CENTAGE._.RENT." hidden="1">{"PERCENTAGE RENT",#N/A,TRUE,"SCHEDULE B"}</definedName>
    <definedName name="wrn.prcntrent" hidden="1">{"PERCENTAGE RENT",#N/A,TRUE,"SCHEDULE B"}</definedName>
    <definedName name="wrn.Primary._.Competition." hidden="1">{#N/A,#N/A,FALSE,"Primary"}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oforma." hidden="1">{#N/A,#N/A,FALSE,"ExecSum";#N/A,#N/A,FALSE,"Budget";#N/A,#N/A,FALSE,"total summary";#N/A,#N/A,FALSE,"CashFlow"}</definedName>
    <definedName name="wrn.rate." hidden="1">{"RATES",#N/A,FALSE,"RECOVERY RATES";"CONTRIBUTIONS",#N/A,FALSE,"RECOVERY RATES";"GLA CATEGORY SUMMARY",#N/A,FALSE,"RECOVERY RATES"}</definedName>
    <definedName name="wrn.RATES." hidden="1">{"RATES",#N/A,FALSE,"RECOVERY RATES";"CONTRIBUTIONS",#N/A,FALSE,"RECOVERY RATES";"GLA CATEGORY SUMMARY",#N/A,FALSE,"RECOVERY RATES"}</definedName>
    <definedName name="wrn.SCHAs." hidden="1">{"ACCOUNTING COPY",#N/A,FALSE,"SCHEDULE A";"FINANCE COPY",#N/A,FALSE,"SCHEDULE A";"P.L. COPY",#N/A,FALSE,"SCHEDULE A"}</definedName>
    <definedName name="wrn.schas2" hidden="1">{"ACCOUNTING COPY",#N/A,FALSE,"SCHEDULE A";"FINANCE COPY",#N/A,FALSE,"SCHEDULE A";"P.L. COPY",#N/A,FALSE,"SCHEDULE A"}</definedName>
    <definedName name="wrn.SCHEDULES._.ABC." hidden="1">{#N/A,#N/A,FALSE,"SCHEDULE A";"MINIMUM RENT",#N/A,FALSE,"SCHEDULES B &amp; C";"PERCENTAGE RENT",#N/A,FALSE,"SCHEDULES B &amp; C"}</definedName>
    <definedName name="wrn.seafirst." hidden="1">{#N/A,#N/A,FALSE,"Project Summary";#N/A,#N/A,FALSE,"Master Developer Cash Flow";#N/A,#N/A,FALSE,"Parking Budget";#N/A,#N/A,FALSE,"Parking Cash Flow2";#N/A,#N/A,FALSE,"Parking Assumptions";#N/A,#N/A,FALSE,"Bond Structure - Lease";#N/A,#N/A,FALSE,"Retail Development Budget";#N/A,#N/A,FALSE,"Retail Cash Flow";#N/A,#N/A,FALSE,"Retail Assumptions Summary";#N/A,#N/A,FALSE,"Retail Income Assumptions";#N/A,#N/A,FALSE,"Retail % Rent";#N/A,#N/A,FALSE,"Retail Debt Service";#N/A,#N/A,FALSE,"Office Development Budget";#N/A,#N/A,FALSE,"Office Cash Flow";#N/A,#N/A,FALSE,"Office Assumptions";#N/A,#N/A,FALSE,"Office Debt Service";#N/A,#N/A,FALSE,"Hotel Development Budget";#N/A,#N/A,FALSE,"Hotel Cash Flow";#N/A,#N/A,FALSE,"Hotel Assumptions";#N/A,#N/A,FALSE,"Hotel Debt Service"}</definedName>
    <definedName name="wrn.Secondary._.Competition." hidden="1">{#N/A,#N/A,FALSE,"Secondary"}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rn.Supply._.Additions." hidden="1">{#N/A,#N/A,FALSE,"Supply Addn"}</definedName>
    <definedName name="wrn.TANASBOURNE._.ONLY." hidden="1">{#N/A,#N/A,FALSE,"Expense Comparison"}</definedName>
    <definedName name="wrn.TEST." hidden="1">{#N/A,#N/A,FALSE,"SCHEDULE G"}</definedName>
    <definedName name="wrn.TOCHTERMAN." hidden="1">{#N/A,#N/A,FALSE,"Project Summary";#N/A,#N/A,FALSE,"Parking Budget";#N/A,#N/A,FALSE,"Parking Cash Flow";#N/A,#N/A,FALSE,"Parking Assumptions";#N/A,#N/A,FALSE,"Bond Debt Service";#N/A,#N/A,FALSE,"Pad Fees";#N/A,#N/A,FALSE,"Bond Shortfall";#N/A,#N/A,FALSE,"Retail Development Budget";#N/A,#N/A,FALSE,"Retail Cash Flow";#N/A,#N/A,FALSE,"Retail Assumptions Summary";#N/A,#N/A,FALSE,"Office Development Budget";#N/A,#N/A,FALSE,"Office Cash Flow";#N/A,#N/A,FALSE,"Office Assumptions";#N/A,#N/A,FALSE,"Hotel Development Budget";#N/A,#N/A,FALSE,"Hotel Cash Flow";#N/A,#N/A,FALSE,"Land Lease NPV"}</definedName>
    <definedName name="wrn.valuation." hidden="1">{"Page1",#N/A,FALSE,"7979";"Page2",#N/A,FALSE,"7979";"Page3",#N/A,FALSE,"7979"}</definedName>
    <definedName name="x" hidden="1">{"'AssumptionsHTML'!$B$9:$E$357","'SummationHTML'!$A$4:$J$93","'Difference'!$A$11:$K$101","'DifferenceFTE'!$A$11:$K$101","'Detail1'!$A$11:$I$97","'Detail2'!$A$11:$J$97","'Detail3'!$A$11:$J$97","'Categorical1'!$A$11:$L$97"}</definedName>
    <definedName name="xx" hidden="1">{#N/A,#N/A,FALSE,"Summation";#N/A,#N/A,FALSE,"BSA";#N/A,#N/A,FALSE,"Detail1";#N/A,#N/A,FALSE,"Detail2";#N/A,#N/A,FALSE,"Detail3";#N/A,#N/A,FALSE,"WFTE_Summary";#N/A,#N/A,FALSE,"Funded_WFTE";#N/A,#N/A,FALSE,"PYADJ96"}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5" i="1" l="1"/>
  <c r="J175" i="1"/>
  <c r="AD171" i="1"/>
  <c r="AC171" i="1"/>
  <c r="O168" i="1"/>
  <c r="AE167" i="1"/>
  <c r="AD167" i="1"/>
  <c r="AC167" i="1"/>
  <c r="AA167" i="1"/>
  <c r="Z167" i="1"/>
  <c r="Y167" i="1"/>
  <c r="Y168" i="1" s="1"/>
  <c r="W167" i="1"/>
  <c r="V167" i="1"/>
  <c r="U167" i="1"/>
  <c r="Q167" i="1"/>
  <c r="O167" i="1"/>
  <c r="M167" i="1"/>
  <c r="L167" i="1"/>
  <c r="K167" i="1"/>
  <c r="F167" i="1"/>
  <c r="E167" i="1"/>
  <c r="D167" i="1"/>
  <c r="D168" i="1" s="1"/>
  <c r="C167" i="1"/>
  <c r="C168" i="1" s="1"/>
  <c r="E166" i="1"/>
  <c r="D166" i="1"/>
  <c r="Q165" i="1"/>
  <c r="P165" i="1"/>
  <c r="I165" i="1"/>
  <c r="G165" i="1"/>
  <c r="G167" i="1" s="1"/>
  <c r="G168" i="1" s="1"/>
  <c r="P164" i="1"/>
  <c r="P167" i="1" s="1"/>
  <c r="I164" i="1"/>
  <c r="H164" i="1"/>
  <c r="G164" i="1"/>
  <c r="Q163" i="1"/>
  <c r="M163" i="1"/>
  <c r="L163" i="1"/>
  <c r="I163" i="1"/>
  <c r="I167" i="1" s="1"/>
  <c r="L162" i="1"/>
  <c r="H161" i="1"/>
  <c r="H167" i="1" s="1"/>
  <c r="L159" i="1"/>
  <c r="Q158" i="1"/>
  <c r="Z156" i="1"/>
  <c r="AD155" i="1"/>
  <c r="AC155" i="1"/>
  <c r="AA155" i="1"/>
  <c r="Z155" i="1"/>
  <c r="Y155" i="1"/>
  <c r="V155" i="1"/>
  <c r="U155" i="1"/>
  <c r="O155" i="1"/>
  <c r="M155" i="1"/>
  <c r="K155" i="1"/>
  <c r="K168" i="1" s="1"/>
  <c r="G155" i="1"/>
  <c r="F155" i="1"/>
  <c r="E155" i="1"/>
  <c r="D155" i="1"/>
  <c r="C155" i="1"/>
  <c r="Q154" i="1"/>
  <c r="L154" i="1"/>
  <c r="AE152" i="1"/>
  <c r="AA152" i="1"/>
  <c r="P152" i="1"/>
  <c r="I152" i="1"/>
  <c r="P151" i="1"/>
  <c r="L151" i="1"/>
  <c r="E151" i="1"/>
  <c r="Q149" i="1"/>
  <c r="M149" i="1"/>
  <c r="L149" i="1"/>
  <c r="E149" i="1"/>
  <c r="Z148" i="1"/>
  <c r="H146" i="1"/>
  <c r="P145" i="1"/>
  <c r="Q143" i="1"/>
  <c r="P143" i="1"/>
  <c r="M143" i="1"/>
  <c r="I143" i="1"/>
  <c r="H143" i="1"/>
  <c r="AE142" i="1"/>
  <c r="AE155" i="1" s="1"/>
  <c r="W141" i="1"/>
  <c r="W155" i="1" s="1"/>
  <c r="W168" i="1" s="1"/>
  <c r="Q141" i="1"/>
  <c r="M141" i="1"/>
  <c r="L141" i="1"/>
  <c r="I141" i="1"/>
  <c r="H141" i="1"/>
  <c r="I137" i="1"/>
  <c r="Q136" i="1"/>
  <c r="Q155" i="1" s="1"/>
  <c r="P136" i="1"/>
  <c r="P155" i="1" s="1"/>
  <c r="M136" i="1"/>
  <c r="L136" i="1"/>
  <c r="L155" i="1" s="1"/>
  <c r="I136" i="1"/>
  <c r="I155" i="1" s="1"/>
  <c r="H136" i="1"/>
  <c r="H155" i="1" s="1"/>
  <c r="H135" i="1"/>
  <c r="E133" i="1"/>
  <c r="D133" i="1"/>
  <c r="AE129" i="1"/>
  <c r="AD129" i="1"/>
  <c r="AC129" i="1"/>
  <c r="Z129" i="1"/>
  <c r="Y129" i="1"/>
  <c r="V129" i="1"/>
  <c r="U129" i="1"/>
  <c r="O129" i="1"/>
  <c r="K129" i="1"/>
  <c r="H129" i="1"/>
  <c r="G129" i="1"/>
  <c r="F129" i="1"/>
  <c r="D129" i="1"/>
  <c r="C129" i="1"/>
  <c r="AE128" i="1"/>
  <c r="AA128" i="1"/>
  <c r="W128" i="1"/>
  <c r="Q128" i="1"/>
  <c r="P128" i="1"/>
  <c r="I128" i="1"/>
  <c r="E128" i="1"/>
  <c r="D128" i="1"/>
  <c r="P124" i="1"/>
  <c r="AE123" i="1"/>
  <c r="I123" i="1"/>
  <c r="H123" i="1"/>
  <c r="AE122" i="1"/>
  <c r="AA122" i="1"/>
  <c r="E122" i="1"/>
  <c r="Q121" i="1"/>
  <c r="M121" i="1"/>
  <c r="L121" i="1"/>
  <c r="I121" i="1"/>
  <c r="E121" i="1"/>
  <c r="Q117" i="1"/>
  <c r="AE112" i="1"/>
  <c r="AA112" i="1"/>
  <c r="W112" i="1"/>
  <c r="Q112" i="1"/>
  <c r="P112" i="1"/>
  <c r="M112" i="1"/>
  <c r="I112" i="1"/>
  <c r="P111" i="1"/>
  <c r="P129" i="1" s="1"/>
  <c r="M111" i="1"/>
  <c r="L111" i="1"/>
  <c r="AE110" i="1"/>
  <c r="AA110" i="1"/>
  <c r="W110" i="1"/>
  <c r="W129" i="1" s="1"/>
  <c r="E110" i="1"/>
  <c r="E129" i="1" s="1"/>
  <c r="AE109" i="1"/>
  <c r="AA109" i="1"/>
  <c r="AA129" i="1" s="1"/>
  <c r="W109" i="1"/>
  <c r="M109" i="1"/>
  <c r="Q108" i="1"/>
  <c r="Q129" i="1" s="1"/>
  <c r="M108" i="1"/>
  <c r="M129" i="1" s="1"/>
  <c r="L108" i="1"/>
  <c r="I108" i="1"/>
  <c r="E108" i="1"/>
  <c r="W106" i="1"/>
  <c r="AE104" i="1"/>
  <c r="L102" i="1"/>
  <c r="E100" i="1"/>
  <c r="H99" i="1"/>
  <c r="L97" i="1"/>
  <c r="I97" i="1"/>
  <c r="I129" i="1" s="1"/>
  <c r="L95" i="1"/>
  <c r="L129" i="1" s="1"/>
  <c r="I95" i="1"/>
  <c r="AE89" i="1"/>
  <c r="AD89" i="1"/>
  <c r="AC89" i="1"/>
  <c r="AA89" i="1"/>
  <c r="Z89" i="1"/>
  <c r="Y89" i="1"/>
  <c r="V89" i="1"/>
  <c r="U89" i="1"/>
  <c r="O89" i="1"/>
  <c r="M89" i="1"/>
  <c r="K89" i="1"/>
  <c r="G89" i="1"/>
  <c r="F89" i="1"/>
  <c r="E89" i="1"/>
  <c r="D89" i="1"/>
  <c r="C89" i="1"/>
  <c r="AD88" i="1"/>
  <c r="Z88" i="1"/>
  <c r="V88" i="1"/>
  <c r="P88" i="1"/>
  <c r="P89" i="1" s="1"/>
  <c r="L88" i="1"/>
  <c r="H88" i="1"/>
  <c r="H89" i="1" s="1"/>
  <c r="Y86" i="1"/>
  <c r="Q84" i="1"/>
  <c r="M84" i="1"/>
  <c r="M82" i="1"/>
  <c r="E82" i="1"/>
  <c r="D82" i="1"/>
  <c r="W81" i="1"/>
  <c r="W89" i="1" s="1"/>
  <c r="Q81" i="1"/>
  <c r="Q89" i="1" s="1"/>
  <c r="I81" i="1"/>
  <c r="I89" i="1" s="1"/>
  <c r="L78" i="1"/>
  <c r="L89" i="1" s="1"/>
  <c r="Y76" i="1"/>
  <c r="W76" i="1"/>
  <c r="O76" i="1"/>
  <c r="K76" i="1"/>
  <c r="I76" i="1"/>
  <c r="C76" i="1"/>
  <c r="AE75" i="1"/>
  <c r="AE76" i="1" s="1"/>
  <c r="AD75" i="1"/>
  <c r="AD76" i="1" s="1"/>
  <c r="AC75" i="1"/>
  <c r="AC76" i="1" s="1"/>
  <c r="AC168" i="1" s="1"/>
  <c r="Y75" i="1"/>
  <c r="W75" i="1"/>
  <c r="V75" i="1"/>
  <c r="U75" i="1"/>
  <c r="U76" i="1" s="1"/>
  <c r="Q75" i="1"/>
  <c r="Q76" i="1" s="1"/>
  <c r="O75" i="1"/>
  <c r="K75" i="1"/>
  <c r="I75" i="1"/>
  <c r="H75" i="1"/>
  <c r="H76" i="1" s="1"/>
  <c r="G75" i="1"/>
  <c r="G76" i="1" s="1"/>
  <c r="F75" i="1"/>
  <c r="F76" i="1" s="1"/>
  <c r="F168" i="1" s="1"/>
  <c r="C75" i="1"/>
  <c r="D74" i="1"/>
  <c r="D72" i="1"/>
  <c r="E71" i="1"/>
  <c r="D71" i="1"/>
  <c r="AD69" i="1"/>
  <c r="Z69" i="1"/>
  <c r="V69" i="1"/>
  <c r="P69" i="1"/>
  <c r="L69" i="1"/>
  <c r="E69" i="1"/>
  <c r="D69" i="1"/>
  <c r="D67" i="1"/>
  <c r="D75" i="1" s="1"/>
  <c r="D76" i="1" s="1"/>
  <c r="AD66" i="1"/>
  <c r="AA66" i="1"/>
  <c r="AA75" i="1" s="1"/>
  <c r="Z66" i="1"/>
  <c r="Z75" i="1" s="1"/>
  <c r="V66" i="1"/>
  <c r="Q66" i="1"/>
  <c r="P66" i="1"/>
  <c r="P75" i="1" s="1"/>
  <c r="P76" i="1" s="1"/>
  <c r="M66" i="1"/>
  <c r="M75" i="1" s="1"/>
  <c r="M76" i="1" s="1"/>
  <c r="L66" i="1"/>
  <c r="L75" i="1" s="1"/>
  <c r="I66" i="1"/>
  <c r="E66" i="1"/>
  <c r="E75" i="1" s="1"/>
  <c r="AE65" i="1"/>
  <c r="AC65" i="1"/>
  <c r="AB65" i="1"/>
  <c r="AA65" i="1"/>
  <c r="Z65" i="1"/>
  <c r="Y65" i="1"/>
  <c r="X65" i="1"/>
  <c r="W65" i="1"/>
  <c r="U65" i="1"/>
  <c r="T65" i="1"/>
  <c r="S65" i="1"/>
  <c r="R65" i="1"/>
  <c r="Q65" i="1"/>
  <c r="P65" i="1"/>
  <c r="O65" i="1"/>
  <c r="M65" i="1"/>
  <c r="L65" i="1"/>
  <c r="K65" i="1"/>
  <c r="I65" i="1"/>
  <c r="H65" i="1"/>
  <c r="G65" i="1"/>
  <c r="F65" i="1"/>
  <c r="E65" i="1"/>
  <c r="D65" i="1"/>
  <c r="C65" i="1"/>
  <c r="AD64" i="1"/>
  <c r="AD63" i="1"/>
  <c r="AD62" i="1"/>
  <c r="Z62" i="1"/>
  <c r="V62" i="1"/>
  <c r="P62" i="1"/>
  <c r="I62" i="1"/>
  <c r="H62" i="1"/>
  <c r="AD61" i="1"/>
  <c r="AD65" i="1" s="1"/>
  <c r="Z61" i="1"/>
  <c r="V61" i="1"/>
  <c r="V65" i="1" s="1"/>
  <c r="V76" i="1" s="1"/>
  <c r="P61" i="1"/>
  <c r="H61" i="1"/>
  <c r="AE60" i="1"/>
  <c r="AC60" i="1"/>
  <c r="AB60" i="1"/>
  <c r="Y60" i="1"/>
  <c r="X60" i="1"/>
  <c r="W60" i="1"/>
  <c r="U60" i="1"/>
  <c r="T60" i="1"/>
  <c r="S60" i="1"/>
  <c r="R60" i="1"/>
  <c r="O60" i="1"/>
  <c r="K60" i="1"/>
  <c r="I60" i="1"/>
  <c r="H60" i="1"/>
  <c r="G60" i="1"/>
  <c r="F60" i="1"/>
  <c r="D60" i="1"/>
  <c r="C60" i="1"/>
  <c r="AD59" i="1"/>
  <c r="AD60" i="1" s="1"/>
  <c r="AA59" i="1"/>
  <c r="AA60" i="1" s="1"/>
  <c r="Z59" i="1"/>
  <c r="V59" i="1"/>
  <c r="Q59" i="1"/>
  <c r="P59" i="1"/>
  <c r="M59" i="1"/>
  <c r="L59" i="1"/>
  <c r="I59" i="1"/>
  <c r="E59" i="1"/>
  <c r="E60" i="1" s="1"/>
  <c r="Z58" i="1"/>
  <c r="Z60" i="1" s="1"/>
  <c r="H58" i="1"/>
  <c r="AD56" i="1"/>
  <c r="Z56" i="1"/>
  <c r="V56" i="1"/>
  <c r="V58" i="1" s="1"/>
  <c r="V60" i="1" s="1"/>
  <c r="Q56" i="1"/>
  <c r="Q60" i="1" s="1"/>
  <c r="P56" i="1"/>
  <c r="P60" i="1" s="1"/>
  <c r="M56" i="1"/>
  <c r="M60" i="1" s="1"/>
  <c r="L56" i="1"/>
  <c r="L60" i="1" s="1"/>
  <c r="I56" i="1"/>
  <c r="R54" i="1"/>
  <c r="N54" i="1"/>
  <c r="J54" i="1"/>
  <c r="F54" i="1"/>
  <c r="AE53" i="1"/>
  <c r="AE54" i="1" s="1"/>
  <c r="AD53" i="1"/>
  <c r="AC53" i="1"/>
  <c r="AB53" i="1"/>
  <c r="AA53" i="1"/>
  <c r="Z53" i="1"/>
  <c r="Y53" i="1"/>
  <c r="X53" i="1"/>
  <c r="X54" i="1" s="1"/>
  <c r="W53" i="1"/>
  <c r="V53" i="1"/>
  <c r="U53" i="1"/>
  <c r="T53" i="1"/>
  <c r="S53" i="1"/>
  <c r="R53" i="1"/>
  <c r="Q53" i="1"/>
  <c r="P53" i="1"/>
  <c r="O53" i="1"/>
  <c r="N53" i="1"/>
  <c r="L53" i="1"/>
  <c r="K53" i="1"/>
  <c r="J53" i="1"/>
  <c r="I53" i="1"/>
  <c r="H53" i="1"/>
  <c r="G53" i="1"/>
  <c r="F53" i="1"/>
  <c r="E53" i="1"/>
  <c r="P52" i="1"/>
  <c r="D52" i="1"/>
  <c r="D51" i="1"/>
  <c r="D53" i="1" s="1"/>
  <c r="C51" i="1"/>
  <c r="C53" i="1" s="1"/>
  <c r="Q49" i="1"/>
  <c r="M49" i="1"/>
  <c r="M53" i="1" s="1"/>
  <c r="E49" i="1"/>
  <c r="AE44" i="1"/>
  <c r="AD44" i="1"/>
  <c r="AC44" i="1"/>
  <c r="AB44" i="1"/>
  <c r="AB54" i="1" s="1"/>
  <c r="AA44" i="1"/>
  <c r="Z44" i="1"/>
  <c r="Y44" i="1"/>
  <c r="X44" i="1"/>
  <c r="W44" i="1"/>
  <c r="V44" i="1"/>
  <c r="U44" i="1"/>
  <c r="T44" i="1"/>
  <c r="T54" i="1" s="1"/>
  <c r="S44" i="1"/>
  <c r="S54" i="1" s="1"/>
  <c r="R44" i="1"/>
  <c r="Q44" i="1"/>
  <c r="P44" i="1"/>
  <c r="O44" i="1"/>
  <c r="N44" i="1"/>
  <c r="M44" i="1"/>
  <c r="L44" i="1"/>
  <c r="K44" i="1"/>
  <c r="K54" i="1" s="1"/>
  <c r="J44" i="1"/>
  <c r="I44" i="1"/>
  <c r="H44" i="1"/>
  <c r="G44" i="1"/>
  <c r="F44" i="1"/>
  <c r="E44" i="1"/>
  <c r="D44" i="1"/>
  <c r="C44" i="1"/>
  <c r="C54" i="1" s="1"/>
  <c r="E41" i="1"/>
  <c r="U30" i="1"/>
  <c r="D15" i="1"/>
  <c r="AE14" i="1"/>
  <c r="AC14" i="1"/>
  <c r="AC54" i="1" s="1"/>
  <c r="AC170" i="1" s="1"/>
  <c r="AC172" i="1" s="1"/>
  <c r="AA14" i="1"/>
  <c r="AA54" i="1" s="1"/>
  <c r="W14" i="1"/>
  <c r="W54" i="1" s="1"/>
  <c r="W170" i="1" s="1"/>
  <c r="U14" i="1"/>
  <c r="U54" i="1" s="1"/>
  <c r="T14" i="1"/>
  <c r="S14" i="1"/>
  <c r="Q14" i="1"/>
  <c r="Q54" i="1" s="1"/>
  <c r="P14" i="1"/>
  <c r="P54" i="1" s="1"/>
  <c r="O14" i="1"/>
  <c r="O54" i="1" s="1"/>
  <c r="M14" i="1"/>
  <c r="M54" i="1" s="1"/>
  <c r="K14" i="1"/>
  <c r="J14" i="1"/>
  <c r="I14" i="1"/>
  <c r="I54" i="1" s="1"/>
  <c r="G14" i="1"/>
  <c r="G54" i="1" s="1"/>
  <c r="E14" i="1"/>
  <c r="E54" i="1" s="1"/>
  <c r="D14" i="1"/>
  <c r="C14" i="1"/>
  <c r="P13" i="1"/>
  <c r="L13" i="1"/>
  <c r="H13" i="1"/>
  <c r="Y12" i="1"/>
  <c r="Y14" i="1" s="1"/>
  <c r="Y54" i="1" s="1"/>
  <c r="Y170" i="1" s="1"/>
  <c r="P12" i="1"/>
  <c r="L12" i="1"/>
  <c r="L14" i="1" s="1"/>
  <c r="L54" i="1" s="1"/>
  <c r="H12" i="1"/>
  <c r="H14" i="1" s="1"/>
  <c r="H54" i="1" s="1"/>
  <c r="H8" i="1"/>
  <c r="G8" i="1"/>
  <c r="AC7" i="1"/>
  <c r="AD7" i="1" s="1"/>
  <c r="Y7" i="1"/>
  <c r="Z7" i="1" s="1"/>
  <c r="U7" i="1"/>
  <c r="V7" i="1" s="1"/>
  <c r="AD6" i="1"/>
  <c r="AD12" i="1" s="1"/>
  <c r="AC6" i="1"/>
  <c r="AC8" i="1" s="1"/>
  <c r="Z6" i="1"/>
  <c r="Z8" i="1" s="1"/>
  <c r="Y6" i="1"/>
  <c r="Y8" i="1" s="1"/>
  <c r="U6" i="1"/>
  <c r="U8" i="1" s="1"/>
  <c r="AD5" i="1"/>
  <c r="Z5" i="1"/>
  <c r="Z12" i="1" s="1"/>
  <c r="Z14" i="1" s="1"/>
  <c r="Z54" i="1" s="1"/>
  <c r="V5" i="1"/>
  <c r="D5" i="1" s="1"/>
  <c r="D4" i="1"/>
  <c r="M168" i="1" l="1"/>
  <c r="M170" i="1" s="1"/>
  <c r="M175" i="1" s="1"/>
  <c r="O174" i="1"/>
  <c r="O170" i="1"/>
  <c r="O173" i="1"/>
  <c r="H173" i="1"/>
  <c r="H174" i="1"/>
  <c r="H170" i="1"/>
  <c r="H175" i="1" s="1"/>
  <c r="D54" i="1"/>
  <c r="D170" i="1" s="1"/>
  <c r="E168" i="1"/>
  <c r="E170" i="1" s="1"/>
  <c r="P174" i="1"/>
  <c r="P173" i="1"/>
  <c r="H168" i="1"/>
  <c r="AE170" i="1"/>
  <c r="Z76" i="1"/>
  <c r="AD13" i="1"/>
  <c r="AD14" i="1" s="1"/>
  <c r="AD54" i="1" s="1"/>
  <c r="AD170" i="1" s="1"/>
  <c r="AD172" i="1" s="1"/>
  <c r="Q168" i="1"/>
  <c r="Q170" i="1" s="1"/>
  <c r="Q175" i="1" s="1"/>
  <c r="U168" i="1"/>
  <c r="E76" i="1"/>
  <c r="V168" i="1"/>
  <c r="I168" i="1"/>
  <c r="I170" i="1" s="1"/>
  <c r="I175" i="1" s="1"/>
  <c r="V8" i="1"/>
  <c r="D8" i="1" s="1"/>
  <c r="D7" i="1"/>
  <c r="V13" i="1"/>
  <c r="Y175" i="1"/>
  <c r="Y172" i="1"/>
  <c r="AD168" i="1"/>
  <c r="L174" i="1"/>
  <c r="L173" i="1"/>
  <c r="P168" i="1"/>
  <c r="P170" i="1" s="1"/>
  <c r="P175" i="1" s="1"/>
  <c r="AE168" i="1"/>
  <c r="G170" i="1"/>
  <c r="G173" i="1"/>
  <c r="G174" i="1"/>
  <c r="AA76" i="1"/>
  <c r="AA168" i="1" s="1"/>
  <c r="AA170" i="1" s="1"/>
  <c r="U170" i="1"/>
  <c r="C170" i="1"/>
  <c r="C172" i="1" s="1"/>
  <c r="C175" i="1" s="1"/>
  <c r="K173" i="1"/>
  <c r="K174" i="1"/>
  <c r="K170" i="1"/>
  <c r="L76" i="1"/>
  <c r="L168" i="1" s="1"/>
  <c r="L170" i="1" s="1"/>
  <c r="L175" i="1" s="1"/>
  <c r="Z168" i="1"/>
  <c r="Z170" i="1" s="1"/>
  <c r="Z172" i="1" s="1"/>
  <c r="Z175" i="1" s="1"/>
  <c r="AD8" i="1"/>
  <c r="D6" i="1"/>
  <c r="V12" i="1"/>
  <c r="V14" i="1" s="1"/>
  <c r="V54" i="1" s="1"/>
  <c r="V170" i="1" l="1"/>
  <c r="V172" i="1" s="1"/>
  <c r="V175" i="1" s="1"/>
  <c r="U172" i="1"/>
  <c r="U175" i="1"/>
  <c r="K175" i="1"/>
  <c r="K172" i="1"/>
  <c r="G172" i="1"/>
  <c r="G175" i="1"/>
  <c r="O172" i="1"/>
  <c r="O1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tc={1E1A87DF-5DC2-4DE4-B6AE-104CD5DA9423}</author>
    <author>Heather</author>
    <author>tc={079CF230-4AB1-464E-B9F1-6BD484EF6B49}</author>
  </authors>
  <commentList>
    <comment ref="AC49" authorId="0" shapeId="0" xr:uid="{1E1A87DF-5DC2-4DE4-B6AE-104CD5DA9423}">
      <text>
        <t>[Threaded comment]
Your version of Excel allows you to read this threaded comment; however, any edits to it will get removed if the file is opened in a newer version of Excel. Learn more: https://go.microsoft.com/fwlink/?linkid=870924
Comment:
    TOSA</t>
      </text>
    </comment>
    <comment ref="A59" authorId="1" shapeId="0" xr:uid="{D351DC85-7E65-4F49-8DFE-AD115DEAE089}">
      <text>
        <r>
          <rPr>
            <b/>
            <sz val="9"/>
            <color indexed="81"/>
            <rFont val="Tahoma"/>
            <family val="2"/>
          </rPr>
          <t>Heather:</t>
        </r>
        <r>
          <rPr>
            <sz val="9"/>
            <color indexed="81"/>
            <rFont val="Tahoma"/>
            <family val="2"/>
          </rPr>
          <t xml:space="preserve">
Includes Unemployment + Workers Comp</t>
        </r>
      </text>
    </comment>
    <comment ref="Q61" authorId="2" shapeId="0" xr:uid="{079CF230-4AB1-464E-B9F1-6BD484EF6B49}">
      <text>
        <t>[Threaded comment]
Your version of Excel allows you to read this threaded comment; however, any edits to it will get removed if the file is opened in a newer version of Excel. Learn more: https://go.microsoft.com/fwlink/?linkid=870924
Comment:
    Look at moving instruction expense (divide by 12)</t>
      </text>
    </comment>
    <comment ref="W69" authorId="1" shapeId="0" xr:uid="{7B6CD360-9BB6-4E8E-8E86-B50AED5AD9CF}">
      <text>
        <r>
          <rPr>
            <b/>
            <sz val="9"/>
            <color indexed="81"/>
            <rFont val="Tahoma"/>
            <charset val="1"/>
          </rPr>
          <t>Heather:</t>
        </r>
        <r>
          <rPr>
            <sz val="9"/>
            <color indexed="81"/>
            <rFont val="Tahoma"/>
            <charset val="1"/>
          </rPr>
          <t xml:space="preserve">
Unemployment reimbusement offsetting expenses
</t>
        </r>
      </text>
    </comment>
    <comment ref="Z98" authorId="1" shapeId="0" xr:uid="{7C499202-4BCB-4AE9-A3E6-744005ABB4DC}">
      <text>
        <r>
          <rPr>
            <b/>
            <sz val="9"/>
            <color indexed="81"/>
            <rFont val="Tahoma"/>
            <charset val="1"/>
          </rPr>
          <t>Heather:</t>
        </r>
        <r>
          <rPr>
            <sz val="9"/>
            <color indexed="81"/>
            <rFont val="Tahoma"/>
            <charset val="1"/>
          </rPr>
          <t xml:space="preserve">
Put Eval System Here</t>
        </r>
      </text>
    </comment>
    <comment ref="W110" authorId="1" shapeId="0" xr:uid="{4E80B33B-717D-4878-941D-A6C1B5C7253A}">
      <text>
        <r>
          <rPr>
            <b/>
            <sz val="9"/>
            <color indexed="81"/>
            <rFont val="Tahoma"/>
            <charset val="1"/>
          </rPr>
          <t>Heather:</t>
        </r>
        <r>
          <rPr>
            <sz val="9"/>
            <color indexed="81"/>
            <rFont val="Tahoma"/>
            <charset val="1"/>
          </rPr>
          <t xml:space="preserve">
Spread out over TX schools</t>
        </r>
      </text>
    </comment>
    <comment ref="A135" authorId="1" shapeId="0" xr:uid="{24AA6FD8-56C9-4F17-B1C4-DC2979539BB6}">
      <text>
        <r>
          <rPr>
            <b/>
            <sz val="9"/>
            <color indexed="81"/>
            <rFont val="Tahoma"/>
            <charset val="1"/>
          </rPr>
          <t>Heather:</t>
        </r>
        <r>
          <rPr>
            <sz val="9"/>
            <color indexed="81"/>
            <rFont val="Tahoma"/>
            <charset val="1"/>
          </rPr>
          <t xml:space="preserve">
Need to keep original budgets</t>
        </r>
      </text>
    </comment>
    <comment ref="H141" authorId="1" shapeId="0" xr:uid="{F5547CC7-7665-4FBF-9929-9975E61870D6}">
      <text>
        <r>
          <rPr>
            <b/>
            <sz val="9"/>
            <color indexed="81"/>
            <rFont val="Tahoma"/>
            <charset val="1"/>
          </rPr>
          <t>Heather:</t>
        </r>
        <r>
          <rPr>
            <sz val="9"/>
            <color indexed="81"/>
            <rFont val="Tahoma"/>
            <charset val="1"/>
          </rPr>
          <t xml:space="preserve">
On track to spend $135K</t>
        </r>
      </text>
    </comment>
    <comment ref="I141" authorId="1" shapeId="0" xr:uid="{13C72CCF-6B92-406A-987D-0967BCF2F57A}">
      <text>
        <r>
          <rPr>
            <b/>
            <sz val="9"/>
            <color indexed="81"/>
            <rFont val="Tahoma"/>
            <family val="2"/>
          </rPr>
          <t>Heather:</t>
        </r>
        <r>
          <rPr>
            <sz val="9"/>
            <color indexed="81"/>
            <rFont val="Tahoma"/>
            <family val="2"/>
          </rPr>
          <t xml:space="preserve">
Gillem
</t>
        </r>
      </text>
    </comment>
    <comment ref="M141" authorId="1" shapeId="0" xr:uid="{6006EF7D-97E2-44B1-859B-D0376F381ED5}">
      <text>
        <r>
          <rPr>
            <b/>
            <sz val="9"/>
            <color indexed="81"/>
            <rFont val="Tahoma"/>
            <family val="2"/>
          </rPr>
          <t>Heather:</t>
        </r>
        <r>
          <rPr>
            <sz val="9"/>
            <color indexed="81"/>
            <rFont val="Tahoma"/>
            <family val="2"/>
          </rPr>
          <t xml:space="preserve">
Gillem</t>
        </r>
      </text>
    </comment>
    <comment ref="Q141" authorId="1" shapeId="0" xr:uid="{0D5B6686-56CC-458E-AF58-457C3AEEFC92}">
      <text>
        <r>
          <rPr>
            <b/>
            <sz val="9"/>
            <color indexed="81"/>
            <rFont val="Tahoma"/>
            <charset val="1"/>
          </rPr>
          <t>Heather:</t>
        </r>
        <r>
          <rPr>
            <sz val="9"/>
            <color indexed="81"/>
            <rFont val="Tahoma"/>
            <charset val="1"/>
          </rPr>
          <t xml:space="preserve">
Gillem</t>
        </r>
      </text>
    </comment>
    <comment ref="W143" authorId="1" shapeId="0" xr:uid="{9557D4BB-D0CE-484B-9D23-136251FD6B24}">
      <text>
        <r>
          <rPr>
            <b/>
            <sz val="9"/>
            <color indexed="81"/>
            <rFont val="Tahoma"/>
            <charset val="1"/>
          </rPr>
          <t>Heather:</t>
        </r>
        <r>
          <rPr>
            <sz val="9"/>
            <color indexed="81"/>
            <rFont val="Tahoma"/>
            <charset val="1"/>
          </rPr>
          <t xml:space="preserve">
Spread Out </t>
        </r>
      </text>
    </comment>
    <comment ref="Q163" authorId="1" shapeId="0" xr:uid="{71352A0C-C52C-4672-880E-4CA6F83AEA88}">
      <text>
        <r>
          <rPr>
            <b/>
            <sz val="9"/>
            <color indexed="81"/>
            <rFont val="Tahoma"/>
            <charset val="1"/>
          </rPr>
          <t>Heather:</t>
        </r>
        <r>
          <rPr>
            <sz val="9"/>
            <color indexed="81"/>
            <rFont val="Tahoma"/>
            <charset val="1"/>
          </rPr>
          <t xml:space="preserve">
MTECH and Johnson Controls</t>
        </r>
      </text>
    </comment>
    <comment ref="AD170" authorId="1" shapeId="0" xr:uid="{6392E0A6-89C8-44A3-929B-77611369658B}">
      <text>
        <r>
          <rPr>
            <b/>
            <sz val="9"/>
            <color indexed="81"/>
            <rFont val="Tahoma"/>
            <charset val="1"/>
          </rPr>
          <t>Heather:</t>
        </r>
        <r>
          <rPr>
            <sz val="9"/>
            <color indexed="81"/>
            <rFont val="Tahoma"/>
            <charset val="1"/>
          </rPr>
          <t xml:space="preserve">
Leave net as $50,000
</t>
        </r>
      </text>
    </comment>
  </commentList>
</comments>
</file>

<file path=xl/sharedStrings.xml><?xml version="1.0" encoding="utf-8"?>
<sst xmlns="http://schemas.openxmlformats.org/spreadsheetml/2006/main" count="236" uniqueCount="193">
  <si>
    <t>Third Future Schools FY23 BUDGETS</t>
  </si>
  <si>
    <t>CO Account Numbers (Hide Column)</t>
  </si>
  <si>
    <t>NETWORK</t>
  </si>
  <si>
    <t>AAL</t>
  </si>
  <si>
    <t>C2</t>
  </si>
  <si>
    <t>C3</t>
  </si>
  <si>
    <t>SHES</t>
  </si>
  <si>
    <t>Ector</t>
  </si>
  <si>
    <t>Mendez</t>
  </si>
  <si>
    <t>Approved Budget FY23</t>
  </si>
  <si>
    <t>Current Budget</t>
  </si>
  <si>
    <t>Approved Budget</t>
  </si>
  <si>
    <t>Average daily Attendance</t>
  </si>
  <si>
    <t>Physical Count</t>
  </si>
  <si>
    <t>Total</t>
  </si>
  <si>
    <t>Funded Pupil Count</t>
  </si>
  <si>
    <t>Per Pupil Revenue</t>
  </si>
  <si>
    <t>Avg</t>
  </si>
  <si>
    <t>Per Pupil Mill/1882</t>
  </si>
  <si>
    <t>Account Description</t>
  </si>
  <si>
    <t>Proposed Amended Budget</t>
  </si>
  <si>
    <t>YTD AS OF 11/30</t>
  </si>
  <si>
    <t>REVENUE</t>
  </si>
  <si>
    <t>Pupil Activity Fund Raisers</t>
  </si>
  <si>
    <t>Foundation School Program Texas/ Colorado PPR (Per Pupil Revenue)</t>
  </si>
  <si>
    <t>1882 Partnership Texas/ Colorado Mill Levy Equalization Funding</t>
  </si>
  <si>
    <t>State Revenue</t>
  </si>
  <si>
    <t>Charter School Growth Fund</t>
  </si>
  <si>
    <t>Other Funding / Undesignated Grants</t>
  </si>
  <si>
    <t>Capital Construction</t>
  </si>
  <si>
    <t>Replication Grant</t>
  </si>
  <si>
    <t>TEA Start-Up Grant (CSP)</t>
  </si>
  <si>
    <t>TEA School Action Fund Grant (SAF)</t>
  </si>
  <si>
    <t>Title IA</t>
  </si>
  <si>
    <t>Title IA - Homeless</t>
  </si>
  <si>
    <t>Title IA - Parent Activities/Home Improvement</t>
  </si>
  <si>
    <t>Title IIA</t>
  </si>
  <si>
    <t>Title IIIA  ELLA</t>
  </si>
  <si>
    <t>Title IV</t>
  </si>
  <si>
    <t>IDEA Part B - SPED</t>
  </si>
  <si>
    <t>IDEA (ARP)</t>
  </si>
  <si>
    <t>ESSER II</t>
  </si>
  <si>
    <t xml:space="preserve"> ESSER III</t>
  </si>
  <si>
    <t>RISE Grant Roll-Over Ending 30 Sept 22</t>
  </si>
  <si>
    <t>Read Act - FY21</t>
  </si>
  <si>
    <t>IMTA (Instructional Material Technology Allotment)</t>
  </si>
  <si>
    <t>Teacher Incentive Allotment</t>
  </si>
  <si>
    <t>ECEA</t>
  </si>
  <si>
    <t>ECEA - Gifted &amp; Talented</t>
  </si>
  <si>
    <t>ELPA PD Revenue</t>
  </si>
  <si>
    <t>ELPA Revenue</t>
  </si>
  <si>
    <t>Universal Screening Grant</t>
  </si>
  <si>
    <t>At-Risk Per Pupil</t>
  </si>
  <si>
    <t>On Behalf PERA / TRS</t>
  </si>
  <si>
    <t>Erate Revenue</t>
  </si>
  <si>
    <t>21St Century Comm Learning Center</t>
  </si>
  <si>
    <t>Federal Funds and Grants</t>
  </si>
  <si>
    <t>Sale of Land</t>
  </si>
  <si>
    <t xml:space="preserve">Ernest Money </t>
  </si>
  <si>
    <t>TFS Network Share</t>
  </si>
  <si>
    <t xml:space="preserve"> Other Funding/Undesignated</t>
  </si>
  <si>
    <t>MISC Revenue</t>
  </si>
  <si>
    <t>Center Based Support</t>
  </si>
  <si>
    <t xml:space="preserve">Network Fees From the Campus </t>
  </si>
  <si>
    <t>Network Support to Campus</t>
  </si>
  <si>
    <t>Local Funds</t>
  </si>
  <si>
    <t>TOTAL REVENUES</t>
  </si>
  <si>
    <t>EXPENSES</t>
  </si>
  <si>
    <t xml:space="preserve">Instructional - Salaries  </t>
  </si>
  <si>
    <t>Instructional - Stipends</t>
  </si>
  <si>
    <t>Instructional - Incentive Pay</t>
  </si>
  <si>
    <t>Instructional - Benefits (See Staffing Sheet for Details)</t>
  </si>
  <si>
    <t>Instructional - Salaries &amp; Benefits</t>
  </si>
  <si>
    <t>SPED - Salaries</t>
  </si>
  <si>
    <t>SPED - Benefits (See Staffing Sheet for Details)</t>
  </si>
  <si>
    <t>SPED Center Support Salaries</t>
  </si>
  <si>
    <t>SPED Center Support - Benefits  (See Staffing Sheet for Details)</t>
  </si>
  <si>
    <t>SPED - Salaries &amp; Benefits</t>
  </si>
  <si>
    <t>Admin - Salaries</t>
  </si>
  <si>
    <t>Admin - Bonuses</t>
  </si>
  <si>
    <t>Admin - Stipends</t>
  </si>
  <si>
    <t>ADMIN- Benefits  (See Staffing Sheet for Details)</t>
  </si>
  <si>
    <t>SRT evaluation team (2 - 1099 contracted consultants)</t>
  </si>
  <si>
    <t>LSAE Curriculum Developers (LCD)</t>
  </si>
  <si>
    <t>LSAE Curriculum Developers - Benefits</t>
  </si>
  <si>
    <t>Network TOSAs (4)</t>
  </si>
  <si>
    <t>Network TOSAs - Benefits  (See Staffing Sheet for Details)</t>
  </si>
  <si>
    <t>Admin - Salaries &amp; Benefits</t>
  </si>
  <si>
    <t>Payroll Expenses</t>
  </si>
  <si>
    <t>Copy Clerks (1099)</t>
  </si>
  <si>
    <t xml:space="preserve">Dyad Consultants </t>
  </si>
  <si>
    <t>Dyad Consultants Electives</t>
  </si>
  <si>
    <t>On Behalf PERA/TRS</t>
  </si>
  <si>
    <t>5th Quarter Summer School</t>
  </si>
  <si>
    <t>Admin Dues &amp; Fees</t>
  </si>
  <si>
    <t>Facilities Dues &amp; Fees</t>
  </si>
  <si>
    <t>Food Service Fees (authorizer)</t>
  </si>
  <si>
    <t>SPED Fee (authorizer)Fee Liason Fee</t>
  </si>
  <si>
    <r>
      <t>Liason Fee /</t>
    </r>
    <r>
      <rPr>
        <b/>
        <sz val="11"/>
        <rFont val="Calibri"/>
        <family val="2"/>
      </rPr>
      <t>District Support Fee</t>
    </r>
    <r>
      <rPr>
        <sz val="11"/>
        <rFont val="Calibri"/>
        <family val="2"/>
      </rPr>
      <t>/ 1882 Purchased Services</t>
    </r>
  </si>
  <si>
    <t>Business Services Fee (authorizer)/1882 Purchased Services OPT</t>
  </si>
  <si>
    <t>Network Support (Calculated from Tab Network Fees)</t>
  </si>
  <si>
    <t xml:space="preserve">Support </t>
  </si>
  <si>
    <t>Services from Others (authorizer)</t>
  </si>
  <si>
    <t>CDE Admin Fee</t>
  </si>
  <si>
    <t>Network capital improvements</t>
  </si>
  <si>
    <t>Furniture and equipment for East office</t>
  </si>
  <si>
    <t>Furniture and equipment</t>
  </si>
  <si>
    <t>Non-Capital Equipment (Instruc 0010)</t>
  </si>
  <si>
    <t>Admin Non Capital Equipment</t>
  </si>
  <si>
    <t>Instruction Based Technology Equipment</t>
  </si>
  <si>
    <t xml:space="preserve">  Instruction - Technology</t>
  </si>
  <si>
    <t>Chromebooks</t>
  </si>
  <si>
    <t xml:space="preserve">  IT / Software Fees</t>
  </si>
  <si>
    <t>Technical Services</t>
  </si>
  <si>
    <t>11xx.xxx.00.2840.0300.000.0000</t>
  </si>
  <si>
    <t>Dyad equipment and materials/ Supplies</t>
  </si>
  <si>
    <t>After-school activities</t>
  </si>
  <si>
    <t xml:space="preserve">  Supplies and equip. -- Athletics</t>
  </si>
  <si>
    <t xml:space="preserve">  Supplies and equip. -- Choir/Band</t>
  </si>
  <si>
    <t xml:space="preserve">  Supplies and equip. -- Other extracurricular</t>
  </si>
  <si>
    <t>Textbooks</t>
  </si>
  <si>
    <t xml:space="preserve">Electronic Media (Instruc 0010) </t>
  </si>
  <si>
    <t>11xx.xxx.00.0010.0650.000.0000</t>
  </si>
  <si>
    <t xml:space="preserve">  Instruction Electronic Media - Testing Material</t>
  </si>
  <si>
    <t xml:space="preserve">  Instruction Curriculum (instructional maps and LCD lesson plans)</t>
  </si>
  <si>
    <t>Uniforms</t>
  </si>
  <si>
    <t>Instructional Supplies</t>
  </si>
  <si>
    <t xml:space="preserve">  Instruction Teacher Supplies - Teacher Discretionary</t>
  </si>
  <si>
    <t xml:space="preserve">  Instruction Supplies - HOS</t>
  </si>
  <si>
    <t>Teacher Discretionary Supplies</t>
  </si>
  <si>
    <t>Student Incentive Supplies (Habits of Success)</t>
  </si>
  <si>
    <t>SPED Supplies (Nursing)</t>
  </si>
  <si>
    <t>Central Support Supplies (Tech Supplies)</t>
  </si>
  <si>
    <t>Network staff supplies</t>
  </si>
  <si>
    <t xml:space="preserve">  Board supplies</t>
  </si>
  <si>
    <t>Admin Supplies</t>
  </si>
  <si>
    <t xml:space="preserve">  School Leadership- Other Supplies</t>
  </si>
  <si>
    <t>Principal Discretionary Supplies</t>
  </si>
  <si>
    <t>Custodial Supplies</t>
  </si>
  <si>
    <t>Gas &amp; Electric /Utilities</t>
  </si>
  <si>
    <t>Transportation - Fuel</t>
  </si>
  <si>
    <t>Transportation Purchased Services</t>
  </si>
  <si>
    <t>School Admin Advertising/ Communications</t>
  </si>
  <si>
    <t>Supplies and Materials</t>
  </si>
  <si>
    <t>Student travel</t>
  </si>
  <si>
    <t>Student field trips</t>
  </si>
  <si>
    <t xml:space="preserve">  Board PD and Travel</t>
  </si>
  <si>
    <t xml:space="preserve">  Admin Travel</t>
  </si>
  <si>
    <t>School Admin Student Data Base - APS</t>
  </si>
  <si>
    <t>Admin CLDE Professional Development - APS</t>
  </si>
  <si>
    <t>Internet Service</t>
  </si>
  <si>
    <t>11XX.XXX.00.2600.0534.000.0000</t>
  </si>
  <si>
    <t>Telephone</t>
  </si>
  <si>
    <t>Central Support Services Internet</t>
  </si>
  <si>
    <t>Central Support Services Telephone</t>
  </si>
  <si>
    <t>Contracted Substitutes (0010)</t>
  </si>
  <si>
    <t>SPED Professional Services</t>
  </si>
  <si>
    <t>11XX.XXX.00.1700.0300.000.0000</t>
  </si>
  <si>
    <t>Instruction Purchased service-PD ($40,000 for Teacher PD)</t>
  </si>
  <si>
    <t>Property &amp; Liability Insurance</t>
  </si>
  <si>
    <t xml:space="preserve">  Core Team DNO insurance</t>
  </si>
  <si>
    <t>Instruction Technology Purchased Services</t>
  </si>
  <si>
    <t>Legal Services</t>
  </si>
  <si>
    <t>Audit Services</t>
  </si>
  <si>
    <t>Business Services Fees</t>
  </si>
  <si>
    <t>Business Services Banking</t>
  </si>
  <si>
    <t xml:space="preserve">  Network Technical Services</t>
  </si>
  <si>
    <t>Accounting Services</t>
  </si>
  <si>
    <t>Purchased Professional Services / Background Checks</t>
  </si>
  <si>
    <t xml:space="preserve">  Misc purchased services</t>
  </si>
  <si>
    <t>Rental of Equipment (Printers)</t>
  </si>
  <si>
    <t>Professional Services</t>
  </si>
  <si>
    <t xml:space="preserve">  Copiers</t>
  </si>
  <si>
    <t>School Admin Vehicle Lease</t>
  </si>
  <si>
    <t>Custodial Services</t>
  </si>
  <si>
    <t>Waste Removal / Trash Services</t>
  </si>
  <si>
    <t>Water &amp; Sewer</t>
  </si>
  <si>
    <t>Security Services</t>
  </si>
  <si>
    <t>Grounds Maintenance and CAM</t>
  </si>
  <si>
    <t>Repair &amp; Maintenance (Equipment)</t>
  </si>
  <si>
    <t>11XX.XXX.00.2600.0430.000.0000</t>
  </si>
  <si>
    <t>Building Lease/Mortgage</t>
  </si>
  <si>
    <t>Debt Service/Bond Intercept</t>
  </si>
  <si>
    <t>Capital Lease Improvements</t>
  </si>
  <si>
    <t>Other Operating Expenses</t>
  </si>
  <si>
    <t>Total Expenses</t>
  </si>
  <si>
    <t>Net (Revenue - Expenses)</t>
  </si>
  <si>
    <t>Beginning Balance (unaudited projected balance)</t>
  </si>
  <si>
    <t>Ending Fund Balance (unaudited projected balance)</t>
  </si>
  <si>
    <t>Tabor</t>
  </si>
  <si>
    <t>N/A</t>
  </si>
  <si>
    <t>SPED</t>
  </si>
  <si>
    <t>UnRestricted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</si>
</sst>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8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rgb="FF0000FF"/>
      <name val="Calibri"/>
      <family val="2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6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27">
    <xf numFmtId="0" fontId="0" fillId="0" borderId="0" xfId="0"/>
    <xf numFmtId="42" fontId="3" fillId="2" borderId="1" xfId="2" applyNumberFormat="1" applyFont="1" applyFill="1" applyBorder="1"/>
    <xf numFmtId="42" fontId="3" fillId="2" borderId="2" xfId="2" applyNumberFormat="1" applyFont="1" applyFill="1" applyBorder="1"/>
    <xf numFmtId="42" fontId="4" fillId="3" borderId="2" xfId="2" applyNumberFormat="1" applyFont="1" applyFill="1" applyBorder="1" applyAlignment="1">
      <alignment horizontal="center"/>
    </xf>
    <xf numFmtId="42" fontId="4" fillId="3" borderId="3" xfId="2" applyNumberFormat="1" applyFont="1" applyFill="1" applyBorder="1" applyAlignment="1">
      <alignment horizontal="center"/>
    </xf>
    <xf numFmtId="42" fontId="4" fillId="3" borderId="4" xfId="2" applyNumberFormat="1" applyFont="1" applyFill="1" applyBorder="1" applyAlignment="1">
      <alignment horizontal="center"/>
    </xf>
    <xf numFmtId="42" fontId="4" fillId="4" borderId="3" xfId="2" applyNumberFormat="1" applyFont="1" applyFill="1" applyBorder="1" applyAlignment="1">
      <alignment horizontal="center"/>
    </xf>
    <xf numFmtId="42" fontId="4" fillId="5" borderId="2" xfId="2" applyNumberFormat="1" applyFont="1" applyFill="1" applyBorder="1" applyAlignment="1">
      <alignment horizontal="center"/>
    </xf>
    <xf numFmtId="42" fontId="4" fillId="5" borderId="3" xfId="2" applyNumberFormat="1" applyFont="1" applyFill="1" applyBorder="1" applyAlignment="1">
      <alignment horizontal="center"/>
    </xf>
    <xf numFmtId="42" fontId="4" fillId="4" borderId="5" xfId="2" applyNumberFormat="1" applyFont="1" applyFill="1" applyBorder="1" applyAlignment="1">
      <alignment horizontal="center"/>
    </xf>
    <xf numFmtId="42" fontId="4" fillId="6" borderId="3" xfId="2" applyNumberFormat="1" applyFont="1" applyFill="1" applyBorder="1" applyAlignment="1">
      <alignment horizontal="center"/>
    </xf>
    <xf numFmtId="42" fontId="4" fillId="7" borderId="3" xfId="2" applyNumberFormat="1" applyFont="1" applyFill="1" applyBorder="1" applyAlignment="1">
      <alignment horizontal="center"/>
    </xf>
    <xf numFmtId="42" fontId="4" fillId="7" borderId="4" xfId="2" applyNumberFormat="1" applyFont="1" applyFill="1" applyBorder="1" applyAlignment="1">
      <alignment horizontal="center"/>
    </xf>
    <xf numFmtId="42" fontId="4" fillId="4" borderId="4" xfId="2" applyNumberFormat="1" applyFont="1" applyFill="1" applyBorder="1" applyAlignment="1">
      <alignment horizontal="center"/>
    </xf>
    <xf numFmtId="42" fontId="4" fillId="8" borderId="6" xfId="2" applyNumberFormat="1" applyFont="1" applyFill="1" applyBorder="1" applyAlignment="1">
      <alignment horizontal="center"/>
    </xf>
    <xf numFmtId="42" fontId="4" fillId="9" borderId="7" xfId="2" applyNumberFormat="1" applyFont="1" applyFill="1" applyBorder="1" applyAlignment="1">
      <alignment horizontal="center"/>
    </xf>
    <xf numFmtId="42" fontId="3" fillId="10" borderId="2" xfId="2" applyNumberFormat="1" applyFont="1" applyFill="1" applyBorder="1" applyAlignment="1">
      <alignment horizontal="center"/>
    </xf>
    <xf numFmtId="42" fontId="3" fillId="10" borderId="3" xfId="2" applyNumberFormat="1" applyFont="1" applyFill="1" applyBorder="1" applyAlignment="1">
      <alignment horizontal="center"/>
    </xf>
    <xf numFmtId="42" fontId="3" fillId="10" borderId="4" xfId="2" applyNumberFormat="1" applyFont="1" applyFill="1" applyBorder="1" applyAlignment="1">
      <alignment horizontal="center"/>
    </xf>
    <xf numFmtId="42" fontId="3" fillId="4" borderId="3" xfId="2" applyNumberFormat="1" applyFont="1" applyFill="1" applyBorder="1" applyAlignment="1">
      <alignment horizontal="center"/>
    </xf>
    <xf numFmtId="42" fontId="3" fillId="11" borderId="2" xfId="2" applyNumberFormat="1" applyFont="1" applyFill="1" applyBorder="1" applyAlignment="1">
      <alignment horizontal="center"/>
    </xf>
    <xf numFmtId="42" fontId="3" fillId="11" borderId="3" xfId="2" applyNumberFormat="1" applyFont="1" applyFill="1" applyBorder="1" applyAlignment="1">
      <alignment horizontal="center"/>
    </xf>
    <xf numFmtId="42" fontId="3" fillId="11" borderId="4" xfId="2" applyNumberFormat="1" applyFont="1" applyFill="1" applyBorder="1" applyAlignment="1">
      <alignment horizontal="center"/>
    </xf>
    <xf numFmtId="42" fontId="3" fillId="12" borderId="2" xfId="2" applyNumberFormat="1" applyFont="1" applyFill="1" applyBorder="1" applyAlignment="1">
      <alignment horizontal="center"/>
    </xf>
    <xf numFmtId="42" fontId="3" fillId="12" borderId="3" xfId="2" applyNumberFormat="1" applyFont="1" applyFill="1" applyBorder="1" applyAlignment="1">
      <alignment horizontal="center"/>
    </xf>
    <xf numFmtId="42" fontId="3" fillId="12" borderId="4" xfId="2" applyNumberFormat="1" applyFont="1" applyFill="1" applyBorder="1" applyAlignment="1">
      <alignment horizontal="center"/>
    </xf>
    <xf numFmtId="42" fontId="5" fillId="0" borderId="0" xfId="2" applyNumberFormat="1" applyFont="1" applyBorder="1"/>
    <xf numFmtId="42" fontId="5" fillId="0" borderId="0" xfId="2" applyNumberFormat="1" applyFont="1" applyFill="1" applyBorder="1"/>
    <xf numFmtId="42" fontId="6" fillId="2" borderId="1" xfId="2" applyNumberFormat="1" applyFont="1" applyFill="1" applyBorder="1"/>
    <xf numFmtId="42" fontId="6" fillId="2" borderId="2" xfId="2" applyNumberFormat="1" applyFont="1" applyFill="1" applyBorder="1"/>
    <xf numFmtId="42" fontId="6" fillId="3" borderId="8" xfId="2" applyNumberFormat="1" applyFont="1" applyFill="1" applyBorder="1" applyAlignment="1">
      <alignment horizontal="center" wrapText="1"/>
    </xf>
    <xf numFmtId="42" fontId="6" fillId="3" borderId="6" xfId="2" applyNumberFormat="1" applyFont="1" applyFill="1" applyBorder="1" applyAlignment="1">
      <alignment horizontal="center"/>
    </xf>
    <xf numFmtId="42" fontId="6" fillId="3" borderId="4" xfId="2" applyNumberFormat="1" applyFont="1" applyFill="1" applyBorder="1" applyAlignment="1">
      <alignment horizontal="center"/>
    </xf>
    <xf numFmtId="42" fontId="6" fillId="4" borderId="3" xfId="2" applyNumberFormat="1" applyFont="1" applyFill="1" applyBorder="1" applyAlignment="1">
      <alignment horizontal="center"/>
    </xf>
    <xf numFmtId="42" fontId="6" fillId="5" borderId="8" xfId="2" applyNumberFormat="1" applyFont="1" applyFill="1" applyBorder="1" applyAlignment="1">
      <alignment horizontal="center" wrapText="1"/>
    </xf>
    <xf numFmtId="42" fontId="6" fillId="5" borderId="6" xfId="2" applyNumberFormat="1" applyFont="1" applyFill="1" applyBorder="1" applyAlignment="1">
      <alignment horizontal="center"/>
    </xf>
    <xf numFmtId="42" fontId="6" fillId="5" borderId="3" xfId="2" applyNumberFormat="1" applyFont="1" applyFill="1" applyBorder="1" applyAlignment="1">
      <alignment horizontal="center"/>
    </xf>
    <xf numFmtId="42" fontId="6" fillId="4" borderId="9" xfId="2" applyNumberFormat="1" applyFont="1" applyFill="1" applyBorder="1" applyAlignment="1">
      <alignment horizontal="center"/>
    </xf>
    <xf numFmtId="42" fontId="6" fillId="6" borderId="10" xfId="2" applyNumberFormat="1" applyFont="1" applyFill="1" applyBorder="1" applyAlignment="1">
      <alignment horizontal="center" wrapText="1"/>
    </xf>
    <xf numFmtId="42" fontId="6" fillId="6" borderId="6" xfId="2" applyNumberFormat="1" applyFont="1" applyFill="1" applyBorder="1" applyAlignment="1">
      <alignment horizontal="center"/>
    </xf>
    <xf numFmtId="42" fontId="6" fillId="6" borderId="3" xfId="2" applyNumberFormat="1" applyFont="1" applyFill="1" applyBorder="1" applyAlignment="1">
      <alignment horizontal="center"/>
    </xf>
    <xf numFmtId="42" fontId="6" fillId="7" borderId="10" xfId="2" applyNumberFormat="1" applyFont="1" applyFill="1" applyBorder="1" applyAlignment="1">
      <alignment horizontal="center" wrapText="1"/>
    </xf>
    <xf numFmtId="42" fontId="6" fillId="7" borderId="6" xfId="2" applyNumberFormat="1" applyFont="1" applyFill="1" applyBorder="1" applyAlignment="1">
      <alignment horizontal="center"/>
    </xf>
    <xf numFmtId="42" fontId="6" fillId="7" borderId="4" xfId="2" applyNumberFormat="1" applyFont="1" applyFill="1" applyBorder="1" applyAlignment="1">
      <alignment horizontal="center"/>
    </xf>
    <xf numFmtId="42" fontId="6" fillId="4" borderId="4" xfId="2" applyNumberFormat="1" applyFont="1" applyFill="1" applyBorder="1" applyAlignment="1">
      <alignment horizontal="center"/>
    </xf>
    <xf numFmtId="42" fontId="6" fillId="9" borderId="7" xfId="2" applyNumberFormat="1" applyFont="1" applyFill="1" applyBorder="1" applyAlignment="1">
      <alignment horizontal="center"/>
    </xf>
    <xf numFmtId="42" fontId="6" fillId="10" borderId="8" xfId="2" applyNumberFormat="1" applyFont="1" applyFill="1" applyBorder="1" applyAlignment="1">
      <alignment horizontal="center" wrapText="1"/>
    </xf>
    <xf numFmtId="42" fontId="6" fillId="10" borderId="6" xfId="2" applyNumberFormat="1" applyFont="1" applyFill="1" applyBorder="1" applyAlignment="1">
      <alignment horizontal="center"/>
    </xf>
    <xf numFmtId="42" fontId="6" fillId="10" borderId="4" xfId="2" applyNumberFormat="1" applyFont="1" applyFill="1" applyBorder="1" applyAlignment="1">
      <alignment horizontal="center"/>
    </xf>
    <xf numFmtId="42" fontId="6" fillId="11" borderId="8" xfId="2" applyNumberFormat="1" applyFont="1" applyFill="1" applyBorder="1" applyAlignment="1">
      <alignment horizontal="center"/>
    </xf>
    <xf numFmtId="42" fontId="6" fillId="11" borderId="6" xfId="2" applyNumberFormat="1" applyFont="1" applyFill="1" applyBorder="1" applyAlignment="1">
      <alignment horizontal="center"/>
    </xf>
    <xf numFmtId="42" fontId="6" fillId="11" borderId="4" xfId="2" applyNumberFormat="1" applyFont="1" applyFill="1" applyBorder="1" applyAlignment="1">
      <alignment horizontal="center"/>
    </xf>
    <xf numFmtId="42" fontId="6" fillId="12" borderId="8" xfId="2" applyNumberFormat="1" applyFont="1" applyFill="1" applyBorder="1" applyAlignment="1">
      <alignment horizontal="center"/>
    </xf>
    <xf numFmtId="42" fontId="6" fillId="12" borderId="6" xfId="2" applyNumberFormat="1" applyFont="1" applyFill="1" applyBorder="1" applyAlignment="1">
      <alignment horizontal="center"/>
    </xf>
    <xf numFmtId="42" fontId="6" fillId="12" borderId="11" xfId="2" applyNumberFormat="1" applyFont="1" applyFill="1" applyBorder="1" applyAlignment="1">
      <alignment horizontal="center"/>
    </xf>
    <xf numFmtId="42" fontId="6" fillId="0" borderId="0" xfId="2" applyNumberFormat="1" applyFont="1" applyBorder="1"/>
    <xf numFmtId="42" fontId="6" fillId="0" borderId="0" xfId="2" applyNumberFormat="1" applyFont="1" applyFill="1" applyBorder="1"/>
    <xf numFmtId="42" fontId="6" fillId="2" borderId="12" xfId="2" applyNumberFormat="1" applyFont="1" applyFill="1" applyBorder="1" applyAlignment="1">
      <alignment horizontal="right"/>
    </xf>
    <xf numFmtId="42" fontId="6" fillId="2" borderId="13" xfId="2" applyNumberFormat="1" applyFont="1" applyFill="1" applyBorder="1" applyAlignment="1">
      <alignment horizontal="right"/>
    </xf>
    <xf numFmtId="42" fontId="6" fillId="3" borderId="14" xfId="2" applyNumberFormat="1" applyFont="1" applyFill="1" applyBorder="1" applyAlignment="1">
      <alignment horizontal="center"/>
    </xf>
    <xf numFmtId="42" fontId="6" fillId="3" borderId="15" xfId="2" applyNumberFormat="1" applyFont="1" applyFill="1" applyBorder="1" applyAlignment="1">
      <alignment horizontal="center"/>
    </xf>
    <xf numFmtId="42" fontId="6" fillId="3" borderId="16" xfId="2" applyNumberFormat="1" applyFont="1" applyFill="1" applyBorder="1" applyAlignment="1">
      <alignment horizontal="center"/>
    </xf>
    <xf numFmtId="42" fontId="6" fillId="4" borderId="17" xfId="2" applyNumberFormat="1" applyFont="1" applyFill="1" applyBorder="1" applyAlignment="1">
      <alignment horizontal="center"/>
    </xf>
    <xf numFmtId="9" fontId="6" fillId="5" borderId="14" xfId="3" applyFont="1" applyFill="1" applyBorder="1" applyAlignment="1">
      <alignment horizontal="center"/>
    </xf>
    <xf numFmtId="9" fontId="6" fillId="5" borderId="15" xfId="3" applyFont="1" applyFill="1" applyBorder="1" applyAlignment="1">
      <alignment horizontal="center"/>
    </xf>
    <xf numFmtId="9" fontId="6" fillId="5" borderId="17" xfId="3" applyFont="1" applyFill="1" applyBorder="1" applyAlignment="1">
      <alignment horizontal="center"/>
    </xf>
    <xf numFmtId="9" fontId="6" fillId="4" borderId="9" xfId="3" applyFont="1" applyFill="1" applyBorder="1" applyAlignment="1">
      <alignment horizontal="center"/>
    </xf>
    <xf numFmtId="9" fontId="6" fillId="6" borderId="18" xfId="3" applyFont="1" applyFill="1" applyBorder="1" applyAlignment="1">
      <alignment horizontal="center"/>
    </xf>
    <xf numFmtId="9" fontId="6" fillId="6" borderId="15" xfId="3" applyFont="1" applyFill="1" applyBorder="1" applyAlignment="1">
      <alignment horizontal="center"/>
    </xf>
    <xf numFmtId="9" fontId="6" fillId="6" borderId="17" xfId="3" applyFont="1" applyFill="1" applyBorder="1" applyAlignment="1">
      <alignment horizontal="center"/>
    </xf>
    <xf numFmtId="9" fontId="6" fillId="7" borderId="18" xfId="3" applyFont="1" applyFill="1" applyBorder="1" applyAlignment="1">
      <alignment horizontal="center"/>
    </xf>
    <xf numFmtId="9" fontId="6" fillId="7" borderId="15" xfId="3" applyFont="1" applyFill="1" applyBorder="1" applyAlignment="1">
      <alignment horizontal="center"/>
    </xf>
    <xf numFmtId="9" fontId="6" fillId="7" borderId="16" xfId="3" applyFont="1" applyFill="1" applyBorder="1" applyAlignment="1">
      <alignment horizontal="center"/>
    </xf>
    <xf numFmtId="42" fontId="7" fillId="4" borderId="16" xfId="2" applyNumberFormat="1" applyFont="1" applyFill="1" applyBorder="1"/>
    <xf numFmtId="42" fontId="7" fillId="8" borderId="15" xfId="2" applyNumberFormat="1" applyFont="1" applyFill="1" applyBorder="1"/>
    <xf numFmtId="42" fontId="7" fillId="9" borderId="19" xfId="2" applyNumberFormat="1" applyFont="1" applyFill="1" applyBorder="1"/>
    <xf numFmtId="9" fontId="6" fillId="10" borderId="14" xfId="3" applyFont="1" applyFill="1" applyBorder="1" applyAlignment="1">
      <alignment horizontal="center"/>
    </xf>
    <xf numFmtId="9" fontId="6" fillId="10" borderId="15" xfId="3" applyFont="1" applyFill="1" applyBorder="1" applyAlignment="1">
      <alignment horizontal="center"/>
    </xf>
    <xf numFmtId="9" fontId="6" fillId="10" borderId="16" xfId="3" applyFont="1" applyFill="1" applyBorder="1" applyAlignment="1">
      <alignment horizontal="center"/>
    </xf>
    <xf numFmtId="9" fontId="6" fillId="4" borderId="17" xfId="3" applyFont="1" applyFill="1" applyBorder="1" applyAlignment="1">
      <alignment horizontal="center"/>
    </xf>
    <xf numFmtId="9" fontId="6" fillId="11" borderId="14" xfId="3" applyFont="1" applyFill="1" applyBorder="1" applyAlignment="1">
      <alignment horizontal="center"/>
    </xf>
    <xf numFmtId="9" fontId="6" fillId="11" borderId="15" xfId="3" applyFont="1" applyFill="1" applyBorder="1" applyAlignment="1">
      <alignment horizontal="center"/>
    </xf>
    <xf numFmtId="9" fontId="6" fillId="11" borderId="16" xfId="3" applyFont="1" applyFill="1" applyBorder="1" applyAlignment="1">
      <alignment horizontal="center"/>
    </xf>
    <xf numFmtId="9" fontId="6" fillId="12" borderId="14" xfId="3" applyFont="1" applyFill="1" applyBorder="1" applyAlignment="1">
      <alignment horizontal="center"/>
    </xf>
    <xf numFmtId="9" fontId="8" fillId="12" borderId="15" xfId="3" applyFont="1" applyFill="1" applyBorder="1" applyAlignment="1">
      <alignment horizontal="center"/>
    </xf>
    <xf numFmtId="9" fontId="6" fillId="12" borderId="16" xfId="3" applyFont="1" applyFill="1" applyBorder="1" applyAlignment="1">
      <alignment horizontal="center"/>
    </xf>
    <xf numFmtId="42" fontId="6" fillId="2" borderId="20" xfId="2" applyNumberFormat="1" applyFont="1" applyFill="1" applyBorder="1" applyAlignment="1">
      <alignment horizontal="right"/>
    </xf>
    <xf numFmtId="42" fontId="6" fillId="2" borderId="21" xfId="2" applyNumberFormat="1" applyFont="1" applyFill="1" applyBorder="1" applyAlignment="1">
      <alignment horizontal="right"/>
    </xf>
    <xf numFmtId="42" fontId="6" fillId="3" borderId="22" xfId="2" applyNumberFormat="1" applyFont="1" applyFill="1" applyBorder="1" applyAlignment="1">
      <alignment horizontal="right"/>
    </xf>
    <xf numFmtId="1" fontId="6" fillId="3" borderId="23" xfId="2" applyNumberFormat="1" applyFont="1" applyFill="1" applyBorder="1" applyAlignment="1">
      <alignment horizontal="center"/>
    </xf>
    <xf numFmtId="42" fontId="6" fillId="3" borderId="24" xfId="2" applyNumberFormat="1" applyFont="1" applyFill="1" applyBorder="1" applyAlignment="1">
      <alignment horizontal="center"/>
    </xf>
    <xf numFmtId="42" fontId="6" fillId="4" borderId="25" xfId="2" applyNumberFormat="1" applyFont="1" applyFill="1" applyBorder="1" applyAlignment="1">
      <alignment horizontal="center"/>
    </xf>
    <xf numFmtId="1" fontId="6" fillId="5" borderId="22" xfId="2" applyNumberFormat="1" applyFont="1" applyFill="1" applyBorder="1" applyAlignment="1">
      <alignment horizontal="center"/>
    </xf>
    <xf numFmtId="1" fontId="6" fillId="5" borderId="23" xfId="2" applyNumberFormat="1" applyFont="1" applyFill="1" applyBorder="1" applyAlignment="1">
      <alignment horizontal="center"/>
    </xf>
    <xf numFmtId="1" fontId="6" fillId="5" borderId="25" xfId="2" applyNumberFormat="1" applyFont="1" applyFill="1" applyBorder="1" applyAlignment="1">
      <alignment horizontal="center"/>
    </xf>
    <xf numFmtId="1" fontId="6" fillId="4" borderId="9" xfId="2" applyNumberFormat="1" applyFont="1" applyFill="1" applyBorder="1" applyAlignment="1">
      <alignment horizontal="center"/>
    </xf>
    <xf numFmtId="1" fontId="6" fillId="6" borderId="26" xfId="2" applyNumberFormat="1" applyFont="1" applyFill="1" applyBorder="1" applyAlignment="1">
      <alignment horizontal="center"/>
    </xf>
    <xf numFmtId="1" fontId="6" fillId="6" borderId="23" xfId="2" applyNumberFormat="1" applyFont="1" applyFill="1" applyBorder="1" applyAlignment="1">
      <alignment horizontal="center"/>
    </xf>
    <xf numFmtId="1" fontId="6" fillId="6" borderId="25" xfId="2" applyNumberFormat="1" applyFont="1" applyFill="1" applyBorder="1" applyAlignment="1">
      <alignment horizontal="center"/>
    </xf>
    <xf numFmtId="1" fontId="6" fillId="7" borderId="26" xfId="2" applyNumberFormat="1" applyFont="1" applyFill="1" applyBorder="1" applyAlignment="1">
      <alignment horizontal="center"/>
    </xf>
    <xf numFmtId="1" fontId="6" fillId="7" borderId="23" xfId="2" applyNumberFormat="1" applyFont="1" applyFill="1" applyBorder="1" applyAlignment="1">
      <alignment horizontal="center"/>
    </xf>
    <xf numFmtId="1" fontId="6" fillId="7" borderId="24" xfId="2" applyNumberFormat="1" applyFont="1" applyFill="1" applyBorder="1" applyAlignment="1">
      <alignment horizontal="center"/>
    </xf>
    <xf numFmtId="164" fontId="7" fillId="4" borderId="24" xfId="1" applyNumberFormat="1" applyFont="1" applyFill="1" applyBorder="1" applyAlignment="1">
      <alignment horizontal="left" indent="2"/>
    </xf>
    <xf numFmtId="164" fontId="7" fillId="8" borderId="23" xfId="1" applyNumberFormat="1" applyFont="1" applyFill="1" applyBorder="1" applyAlignment="1">
      <alignment horizontal="left" indent="2"/>
    </xf>
    <xf numFmtId="164" fontId="7" fillId="9" borderId="27" xfId="1" applyNumberFormat="1" applyFont="1" applyFill="1" applyBorder="1" applyAlignment="1">
      <alignment horizontal="left" indent="2"/>
    </xf>
    <xf numFmtId="1" fontId="6" fillId="10" borderId="22" xfId="2" applyNumberFormat="1" applyFont="1" applyFill="1" applyBorder="1" applyAlignment="1">
      <alignment horizontal="center"/>
    </xf>
    <xf numFmtId="1" fontId="6" fillId="10" borderId="23" xfId="2" applyNumberFormat="1" applyFont="1" applyFill="1" applyBorder="1" applyAlignment="1">
      <alignment horizontal="center"/>
    </xf>
    <xf numFmtId="1" fontId="6" fillId="10" borderId="24" xfId="2" applyNumberFormat="1" applyFont="1" applyFill="1" applyBorder="1" applyAlignment="1">
      <alignment horizontal="center"/>
    </xf>
    <xf numFmtId="1" fontId="6" fillId="4" borderId="25" xfId="2" applyNumberFormat="1" applyFont="1" applyFill="1" applyBorder="1" applyAlignment="1">
      <alignment horizontal="center"/>
    </xf>
    <xf numFmtId="1" fontId="6" fillId="11" borderId="22" xfId="2" applyNumberFormat="1" applyFont="1" applyFill="1" applyBorder="1" applyAlignment="1">
      <alignment horizontal="center"/>
    </xf>
    <xf numFmtId="1" fontId="6" fillId="11" borderId="23" xfId="2" applyNumberFormat="1" applyFont="1" applyFill="1" applyBorder="1" applyAlignment="1">
      <alignment horizontal="center"/>
    </xf>
    <xf numFmtId="1" fontId="6" fillId="11" borderId="24" xfId="2" applyNumberFormat="1" applyFont="1" applyFill="1" applyBorder="1" applyAlignment="1">
      <alignment horizontal="center"/>
    </xf>
    <xf numFmtId="1" fontId="6" fillId="12" borderId="22" xfId="2" applyNumberFormat="1" applyFont="1" applyFill="1" applyBorder="1" applyAlignment="1">
      <alignment horizontal="center"/>
    </xf>
    <xf numFmtId="1" fontId="6" fillId="12" borderId="23" xfId="2" applyNumberFormat="1" applyFont="1" applyFill="1" applyBorder="1" applyAlignment="1">
      <alignment horizontal="center"/>
    </xf>
    <xf numFmtId="1" fontId="6" fillId="12" borderId="24" xfId="2" applyNumberFormat="1" applyFont="1" applyFill="1" applyBorder="1" applyAlignment="1">
      <alignment horizontal="center"/>
    </xf>
    <xf numFmtId="1" fontId="8" fillId="12" borderId="23" xfId="2" applyNumberFormat="1" applyFont="1" applyFill="1" applyBorder="1" applyAlignment="1">
      <alignment horizontal="center"/>
    </xf>
    <xf numFmtId="42" fontId="6" fillId="0" borderId="0" xfId="2" applyNumberFormat="1" applyFont="1" applyBorder="1" applyAlignment="1"/>
    <xf numFmtId="42" fontId="6" fillId="0" borderId="0" xfId="2" applyNumberFormat="1" applyFont="1" applyFill="1" applyBorder="1" applyAlignment="1"/>
    <xf numFmtId="42" fontId="7" fillId="3" borderId="22" xfId="2" applyNumberFormat="1" applyFont="1" applyFill="1" applyBorder="1" applyAlignment="1">
      <alignment horizontal="right"/>
    </xf>
    <xf numFmtId="42" fontId="7" fillId="3" borderId="23" xfId="2" applyNumberFormat="1" applyFont="1" applyFill="1" applyBorder="1" applyAlignment="1">
      <alignment horizontal="center"/>
    </xf>
    <xf numFmtId="165" fontId="6" fillId="5" borderId="22" xfId="2" applyNumberFormat="1" applyFont="1" applyFill="1" applyBorder="1" applyAlignment="1">
      <alignment horizontal="center"/>
    </xf>
    <xf numFmtId="165" fontId="6" fillId="5" borderId="23" xfId="2" applyNumberFormat="1" applyFont="1" applyFill="1" applyBorder="1" applyAlignment="1">
      <alignment horizontal="center"/>
    </xf>
    <xf numFmtId="165" fontId="6" fillId="5" borderId="25" xfId="2" applyNumberFormat="1" applyFont="1" applyFill="1" applyBorder="1" applyAlignment="1">
      <alignment horizontal="center"/>
    </xf>
    <xf numFmtId="165" fontId="6" fillId="4" borderId="9" xfId="2" applyNumberFormat="1" applyFont="1" applyFill="1" applyBorder="1" applyAlignment="1">
      <alignment horizontal="center"/>
    </xf>
    <xf numFmtId="165" fontId="6" fillId="6" borderId="26" xfId="2" applyNumberFormat="1" applyFont="1" applyFill="1" applyBorder="1" applyAlignment="1">
      <alignment horizontal="center"/>
    </xf>
    <xf numFmtId="165" fontId="6" fillId="6" borderId="23" xfId="2" applyNumberFormat="1" applyFont="1" applyFill="1" applyBorder="1" applyAlignment="1">
      <alignment horizontal="center"/>
    </xf>
    <xf numFmtId="165" fontId="6" fillId="6" borderId="25" xfId="2" applyNumberFormat="1" applyFont="1" applyFill="1" applyBorder="1" applyAlignment="1">
      <alignment horizontal="center"/>
    </xf>
    <xf numFmtId="165" fontId="6" fillId="7" borderId="26" xfId="2" applyNumberFormat="1" applyFont="1" applyFill="1" applyBorder="1" applyAlignment="1">
      <alignment horizontal="center"/>
    </xf>
    <xf numFmtId="165" fontId="6" fillId="7" borderId="23" xfId="2" applyNumberFormat="1" applyFont="1" applyFill="1" applyBorder="1" applyAlignment="1">
      <alignment horizontal="center"/>
    </xf>
    <xf numFmtId="165" fontId="6" fillId="7" borderId="24" xfId="2" applyNumberFormat="1" applyFont="1" applyFill="1" applyBorder="1" applyAlignment="1">
      <alignment horizontal="center"/>
    </xf>
    <xf numFmtId="165" fontId="6" fillId="4" borderId="24" xfId="2" applyNumberFormat="1" applyFont="1" applyFill="1" applyBorder="1" applyAlignment="1">
      <alignment horizontal="center"/>
    </xf>
    <xf numFmtId="165" fontId="6" fillId="8" borderId="23" xfId="2" applyNumberFormat="1" applyFont="1" applyFill="1" applyBorder="1" applyAlignment="1">
      <alignment horizontal="center"/>
    </xf>
    <xf numFmtId="165" fontId="6" fillId="9" borderId="27" xfId="2" applyNumberFormat="1" applyFont="1" applyFill="1" applyBorder="1" applyAlignment="1">
      <alignment horizontal="center"/>
    </xf>
    <xf numFmtId="165" fontId="6" fillId="10" borderId="22" xfId="2" applyNumberFormat="1" applyFont="1" applyFill="1" applyBorder="1" applyAlignment="1">
      <alignment horizontal="center"/>
    </xf>
    <xf numFmtId="165" fontId="6" fillId="10" borderId="23" xfId="2" applyNumberFormat="1" applyFont="1" applyFill="1" applyBorder="1" applyAlignment="1">
      <alignment horizontal="center"/>
    </xf>
    <xf numFmtId="165" fontId="6" fillId="10" borderId="24" xfId="2" applyNumberFormat="1" applyFont="1" applyFill="1" applyBorder="1" applyAlignment="1">
      <alignment horizontal="center"/>
    </xf>
    <xf numFmtId="165" fontId="6" fillId="4" borderId="25" xfId="2" applyNumberFormat="1" applyFont="1" applyFill="1" applyBorder="1" applyAlignment="1">
      <alignment horizontal="center"/>
    </xf>
    <xf numFmtId="165" fontId="6" fillId="11" borderId="22" xfId="2" applyNumberFormat="1" applyFont="1" applyFill="1" applyBorder="1" applyAlignment="1">
      <alignment horizontal="center"/>
    </xf>
    <xf numFmtId="165" fontId="6" fillId="11" borderId="23" xfId="2" applyNumberFormat="1" applyFont="1" applyFill="1" applyBorder="1" applyAlignment="1">
      <alignment horizontal="center"/>
    </xf>
    <xf numFmtId="165" fontId="6" fillId="11" borderId="24" xfId="2" applyNumberFormat="1" applyFont="1" applyFill="1" applyBorder="1" applyAlignment="1">
      <alignment horizontal="center"/>
    </xf>
    <xf numFmtId="165" fontId="6" fillId="12" borderId="22" xfId="2" applyNumberFormat="1" applyFont="1" applyFill="1" applyBorder="1" applyAlignment="1">
      <alignment horizontal="center"/>
    </xf>
    <xf numFmtId="165" fontId="6" fillId="12" borderId="23" xfId="2" applyNumberFormat="1" applyFont="1" applyFill="1" applyBorder="1" applyAlignment="1">
      <alignment horizontal="center"/>
    </xf>
    <xf numFmtId="165" fontId="6" fillId="12" borderId="24" xfId="2" applyNumberFormat="1" applyFont="1" applyFill="1" applyBorder="1" applyAlignment="1">
      <alignment horizontal="center"/>
    </xf>
    <xf numFmtId="42" fontId="6" fillId="2" borderId="28" xfId="2" applyNumberFormat="1" applyFont="1" applyFill="1" applyBorder="1" applyAlignment="1">
      <alignment horizontal="right"/>
    </xf>
    <xf numFmtId="42" fontId="6" fillId="2" borderId="29" xfId="2" applyNumberFormat="1" applyFont="1" applyFill="1" applyBorder="1" applyAlignment="1">
      <alignment horizontal="right"/>
    </xf>
    <xf numFmtId="42" fontId="6" fillId="3" borderId="23" xfId="2" applyNumberFormat="1" applyFont="1" applyFill="1" applyBorder="1" applyAlignment="1">
      <alignment horizontal="center"/>
    </xf>
    <xf numFmtId="42" fontId="6" fillId="3" borderId="30" xfId="2" applyNumberFormat="1" applyFont="1" applyFill="1" applyBorder="1" applyAlignment="1">
      <alignment horizontal="center"/>
    </xf>
    <xf numFmtId="42" fontId="6" fillId="4" borderId="31" xfId="2" applyNumberFormat="1" applyFont="1" applyFill="1" applyBorder="1" applyAlignment="1">
      <alignment horizontal="center"/>
    </xf>
    <xf numFmtId="165" fontId="6" fillId="5" borderId="32" xfId="2" applyNumberFormat="1" applyFont="1" applyFill="1" applyBorder="1" applyAlignment="1">
      <alignment horizontal="center"/>
    </xf>
    <xf numFmtId="165" fontId="6" fillId="5" borderId="31" xfId="2" applyNumberFormat="1" applyFont="1" applyFill="1" applyBorder="1" applyAlignment="1">
      <alignment horizontal="center"/>
    </xf>
    <xf numFmtId="165" fontId="6" fillId="6" borderId="33" xfId="2" applyNumberFormat="1" applyFont="1" applyFill="1" applyBorder="1" applyAlignment="1">
      <alignment horizontal="center"/>
    </xf>
    <xf numFmtId="165" fontId="6" fillId="6" borderId="34" xfId="2" applyNumberFormat="1" applyFont="1" applyFill="1" applyBorder="1" applyAlignment="1">
      <alignment horizontal="center"/>
    </xf>
    <xf numFmtId="165" fontId="6" fillId="6" borderId="31" xfId="2" applyNumberFormat="1" applyFont="1" applyFill="1" applyBorder="1" applyAlignment="1">
      <alignment horizontal="center"/>
    </xf>
    <xf numFmtId="165" fontId="6" fillId="7" borderId="33" xfId="2" applyNumberFormat="1" applyFont="1" applyFill="1" applyBorder="1" applyAlignment="1">
      <alignment horizontal="center"/>
    </xf>
    <xf numFmtId="165" fontId="6" fillId="7" borderId="34" xfId="2" applyNumberFormat="1" applyFont="1" applyFill="1" applyBorder="1" applyAlignment="1">
      <alignment horizontal="center"/>
    </xf>
    <xf numFmtId="165" fontId="6" fillId="7" borderId="30" xfId="2" applyNumberFormat="1" applyFont="1" applyFill="1" applyBorder="1" applyAlignment="1">
      <alignment horizontal="center"/>
    </xf>
    <xf numFmtId="165" fontId="6" fillId="4" borderId="30" xfId="2" applyNumberFormat="1" applyFont="1" applyFill="1" applyBorder="1" applyAlignment="1">
      <alignment horizontal="center"/>
    </xf>
    <xf numFmtId="165" fontId="6" fillId="8" borderId="34" xfId="2" applyNumberFormat="1" applyFont="1" applyFill="1" applyBorder="1" applyAlignment="1">
      <alignment horizontal="center"/>
    </xf>
    <xf numFmtId="165" fontId="6" fillId="9" borderId="35" xfId="2" applyNumberFormat="1" applyFont="1" applyFill="1" applyBorder="1" applyAlignment="1">
      <alignment horizontal="center"/>
    </xf>
    <xf numFmtId="165" fontId="6" fillId="10" borderId="32" xfId="2" applyNumberFormat="1" applyFont="1" applyFill="1" applyBorder="1" applyAlignment="1">
      <alignment horizontal="center"/>
    </xf>
    <xf numFmtId="165" fontId="6" fillId="10" borderId="34" xfId="2" applyNumberFormat="1" applyFont="1" applyFill="1" applyBorder="1" applyAlignment="1">
      <alignment horizontal="center"/>
    </xf>
    <xf numFmtId="165" fontId="6" fillId="10" borderId="30" xfId="2" applyNumberFormat="1" applyFont="1" applyFill="1" applyBorder="1" applyAlignment="1">
      <alignment horizontal="center"/>
    </xf>
    <xf numFmtId="164" fontId="6" fillId="4" borderId="31" xfId="1" applyNumberFormat="1" applyFont="1" applyFill="1" applyBorder="1" applyAlignment="1">
      <alignment horizontal="center"/>
    </xf>
    <xf numFmtId="165" fontId="6" fillId="11" borderId="32" xfId="2" applyNumberFormat="1" applyFont="1" applyFill="1" applyBorder="1" applyAlignment="1">
      <alignment horizontal="center"/>
    </xf>
    <xf numFmtId="165" fontId="6" fillId="11" borderId="34" xfId="2" applyNumberFormat="1" applyFont="1" applyFill="1" applyBorder="1" applyAlignment="1">
      <alignment horizontal="center"/>
    </xf>
    <xf numFmtId="165" fontId="6" fillId="11" borderId="30" xfId="2" applyNumberFormat="1" applyFont="1" applyFill="1" applyBorder="1" applyAlignment="1">
      <alignment horizontal="center"/>
    </xf>
    <xf numFmtId="165" fontId="6" fillId="12" borderId="32" xfId="2" applyNumberFormat="1" applyFont="1" applyFill="1" applyBorder="1" applyAlignment="1">
      <alignment horizontal="center"/>
    </xf>
    <xf numFmtId="165" fontId="6" fillId="12" borderId="34" xfId="2" applyNumberFormat="1" applyFont="1" applyFill="1" applyBorder="1" applyAlignment="1">
      <alignment horizontal="center"/>
    </xf>
    <xf numFmtId="165" fontId="6" fillId="12" borderId="30" xfId="2" applyNumberFormat="1" applyFont="1" applyFill="1" applyBorder="1" applyAlignment="1">
      <alignment horizontal="center"/>
    </xf>
    <xf numFmtId="42" fontId="9" fillId="13" borderId="5" xfId="2" applyNumberFormat="1" applyFont="1" applyFill="1" applyBorder="1" applyAlignment="1">
      <alignment horizontal="left" wrapText="1"/>
    </xf>
    <xf numFmtId="42" fontId="9" fillId="13" borderId="36" xfId="2" applyNumberFormat="1" applyFont="1" applyFill="1" applyBorder="1" applyAlignment="1">
      <alignment horizontal="left" wrapText="1"/>
    </xf>
    <xf numFmtId="42" fontId="9" fillId="13" borderId="37" xfId="2" applyNumberFormat="1" applyFont="1" applyFill="1" applyBorder="1" applyAlignment="1">
      <alignment horizontal="center" wrapText="1"/>
    </xf>
    <xf numFmtId="42" fontId="9" fillId="13" borderId="38" xfId="2" applyNumberFormat="1" applyFont="1" applyFill="1" applyBorder="1" applyAlignment="1">
      <alignment horizontal="center" wrapText="1"/>
    </xf>
    <xf numFmtId="42" fontId="9" fillId="13" borderId="39" xfId="2" applyNumberFormat="1" applyFont="1" applyFill="1" applyBorder="1" applyAlignment="1">
      <alignment horizontal="center" wrapText="1"/>
    </xf>
    <xf numFmtId="42" fontId="9" fillId="4" borderId="40" xfId="2" applyNumberFormat="1" applyFont="1" applyFill="1" applyBorder="1" applyAlignment="1">
      <alignment horizontal="center" wrapText="1"/>
    </xf>
    <xf numFmtId="42" fontId="9" fillId="13" borderId="40" xfId="2" applyNumberFormat="1" applyFont="1" applyFill="1" applyBorder="1" applyAlignment="1">
      <alignment horizontal="center"/>
    </xf>
    <xf numFmtId="42" fontId="9" fillId="4" borderId="41" xfId="2" applyNumberFormat="1" applyFont="1" applyFill="1" applyBorder="1" applyAlignment="1">
      <alignment horizontal="center" wrapText="1"/>
    </xf>
    <xf numFmtId="42" fontId="9" fillId="13" borderId="42" xfId="2" applyNumberFormat="1" applyFont="1" applyFill="1" applyBorder="1" applyAlignment="1">
      <alignment horizontal="center" wrapText="1"/>
    </xf>
    <xf numFmtId="42" fontId="9" fillId="13" borderId="39" xfId="2" applyNumberFormat="1" applyFont="1" applyFill="1" applyBorder="1" applyAlignment="1">
      <alignment horizontal="center"/>
    </xf>
    <xf numFmtId="42" fontId="9" fillId="4" borderId="39" xfId="2" applyNumberFormat="1" applyFont="1" applyFill="1" applyBorder="1" applyAlignment="1">
      <alignment horizontal="center" wrapText="1"/>
    </xf>
    <xf numFmtId="42" fontId="9" fillId="13" borderId="43" xfId="2" applyNumberFormat="1" applyFont="1" applyFill="1" applyBorder="1" applyAlignment="1">
      <alignment horizontal="center" wrapText="1"/>
    </xf>
    <xf numFmtId="42" fontId="9" fillId="13" borderId="38" xfId="2" applyNumberFormat="1" applyFont="1" applyFill="1" applyBorder="1" applyAlignment="1">
      <alignment horizontal="center"/>
    </xf>
    <xf numFmtId="42" fontId="9" fillId="13" borderId="0" xfId="2" applyNumberFormat="1" applyFont="1" applyFill="1" applyBorder="1"/>
    <xf numFmtId="42" fontId="9" fillId="0" borderId="0" xfId="2" applyNumberFormat="1" applyFont="1" applyFill="1" applyBorder="1"/>
    <xf numFmtId="42" fontId="3" fillId="4" borderId="2" xfId="2" applyNumberFormat="1" applyFont="1" applyFill="1" applyBorder="1"/>
    <xf numFmtId="42" fontId="3" fillId="4" borderId="3" xfId="2" applyNumberFormat="1" applyFont="1" applyFill="1" applyBorder="1"/>
    <xf numFmtId="42" fontId="3" fillId="4" borderId="3" xfId="2" applyNumberFormat="1" applyFont="1" applyFill="1" applyBorder="1" applyAlignment="1">
      <alignment horizontal="right" indent="1"/>
    </xf>
    <xf numFmtId="42" fontId="3" fillId="4" borderId="44" xfId="2" applyNumberFormat="1" applyFont="1" applyFill="1" applyBorder="1" applyAlignment="1">
      <alignment horizontal="right" indent="1"/>
    </xf>
    <xf numFmtId="42" fontId="3" fillId="4" borderId="44" xfId="2" applyNumberFormat="1" applyFont="1" applyFill="1" applyBorder="1"/>
    <xf numFmtId="42" fontId="3" fillId="4" borderId="4" xfId="2" applyNumberFormat="1" applyFont="1" applyFill="1" applyBorder="1"/>
    <xf numFmtId="42" fontId="2" fillId="4" borderId="0" xfId="2" applyNumberFormat="1" applyFont="1" applyFill="1" applyBorder="1"/>
    <xf numFmtId="42" fontId="2" fillId="0" borderId="0" xfId="2" applyNumberFormat="1" applyFont="1" applyFill="1" applyBorder="1"/>
    <xf numFmtId="42" fontId="2" fillId="0" borderId="9" xfId="2" applyNumberFormat="1" applyFont="1" applyFill="1" applyBorder="1"/>
    <xf numFmtId="42" fontId="2" fillId="0" borderId="45" xfId="2" applyNumberFormat="1" applyFont="1" applyFill="1" applyBorder="1"/>
    <xf numFmtId="165" fontId="2" fillId="3" borderId="46" xfId="2" applyNumberFormat="1" applyFont="1" applyFill="1" applyBorder="1" applyAlignment="1">
      <alignment horizontal="right" indent="1"/>
    </xf>
    <xf numFmtId="165" fontId="2" fillId="3" borderId="47" xfId="2" applyNumberFormat="1" applyFont="1" applyFill="1" applyBorder="1" applyAlignment="1">
      <alignment horizontal="right" indent="1"/>
    </xf>
    <xf numFmtId="165" fontId="2" fillId="3" borderId="11" xfId="2" applyNumberFormat="1" applyFont="1" applyFill="1" applyBorder="1" applyAlignment="1">
      <alignment horizontal="right" indent="1"/>
    </xf>
    <xf numFmtId="42" fontId="2" fillId="4" borderId="0" xfId="2" applyNumberFormat="1" applyFont="1" applyFill="1" applyBorder="1" applyAlignment="1">
      <alignment horizontal="right" indent="1"/>
    </xf>
    <xf numFmtId="42" fontId="2" fillId="5" borderId="46" xfId="2" applyNumberFormat="1" applyFont="1" applyFill="1" applyBorder="1" applyAlignment="1">
      <alignment horizontal="right" indent="1"/>
    </xf>
    <xf numFmtId="42" fontId="2" fillId="5" borderId="47" xfId="2" applyNumberFormat="1" applyFont="1" applyFill="1" applyBorder="1" applyAlignment="1">
      <alignment horizontal="right" indent="1"/>
    </xf>
    <xf numFmtId="42" fontId="2" fillId="5" borderId="11" xfId="2" applyNumberFormat="1" applyFont="1" applyFill="1" applyBorder="1" applyAlignment="1">
      <alignment horizontal="right" indent="1"/>
    </xf>
    <xf numFmtId="9" fontId="2" fillId="4" borderId="0" xfId="3" applyFont="1" applyFill="1" applyBorder="1" applyAlignment="1">
      <alignment horizontal="right" indent="1"/>
    </xf>
    <xf numFmtId="42" fontId="2" fillId="6" borderId="46" xfId="2" applyNumberFormat="1" applyFont="1" applyFill="1" applyBorder="1"/>
    <xf numFmtId="42" fontId="2" fillId="6" borderId="47" xfId="2" applyNumberFormat="1" applyFont="1" applyFill="1" applyBorder="1"/>
    <xf numFmtId="42" fontId="2" fillId="6" borderId="11" xfId="2" applyNumberFormat="1" applyFont="1" applyFill="1" applyBorder="1"/>
    <xf numFmtId="42" fontId="2" fillId="7" borderId="46" xfId="2" applyNumberFormat="1" applyFont="1" applyFill="1" applyBorder="1"/>
    <xf numFmtId="42" fontId="2" fillId="7" borderId="47" xfId="2" applyNumberFormat="1" applyFont="1" applyFill="1" applyBorder="1"/>
    <xf numFmtId="42" fontId="2" fillId="7" borderId="11" xfId="2" applyNumberFormat="1" applyFont="1" applyFill="1" applyBorder="1"/>
    <xf numFmtId="42" fontId="2" fillId="4" borderId="11" xfId="2" applyNumberFormat="1" applyFont="1" applyFill="1" applyBorder="1"/>
    <xf numFmtId="42" fontId="2" fillId="8" borderId="47" xfId="2" applyNumberFormat="1" applyFont="1" applyFill="1" applyBorder="1"/>
    <xf numFmtId="42" fontId="2" fillId="9" borderId="48" xfId="2" applyNumberFormat="1" applyFont="1" applyFill="1" applyBorder="1"/>
    <xf numFmtId="42" fontId="2" fillId="10" borderId="46" xfId="2" applyNumberFormat="1" applyFont="1" applyFill="1" applyBorder="1"/>
    <xf numFmtId="42" fontId="2" fillId="10" borderId="47" xfId="2" applyNumberFormat="1" applyFont="1" applyFill="1" applyBorder="1"/>
    <xf numFmtId="42" fontId="2" fillId="10" borderId="11" xfId="2" applyNumberFormat="1" applyFont="1" applyFill="1" applyBorder="1"/>
    <xf numFmtId="42" fontId="2" fillId="11" borderId="46" xfId="2" applyNumberFormat="1" applyFont="1" applyFill="1" applyBorder="1"/>
    <xf numFmtId="42" fontId="2" fillId="11" borderId="47" xfId="2" applyNumberFormat="1" applyFont="1" applyFill="1" applyBorder="1"/>
    <xf numFmtId="42" fontId="2" fillId="11" borderId="11" xfId="2" applyNumberFormat="1" applyFont="1" applyFill="1" applyBorder="1"/>
    <xf numFmtId="42" fontId="2" fillId="12" borderId="46" xfId="2" applyNumberFormat="1" applyFont="1" applyFill="1" applyBorder="1"/>
    <xf numFmtId="42" fontId="2" fillId="12" borderId="47" xfId="2" applyNumberFormat="1" applyFont="1" applyFill="1" applyBorder="1"/>
    <xf numFmtId="42" fontId="2" fillId="12" borderId="49" xfId="2" applyNumberFormat="1" applyFont="1" applyFill="1" applyBorder="1"/>
    <xf numFmtId="42" fontId="5" fillId="0" borderId="50" xfId="2" applyNumberFormat="1" applyFont="1" applyFill="1" applyBorder="1" applyAlignment="1">
      <alignment horizontal="left"/>
    </xf>
    <xf numFmtId="42" fontId="5" fillId="0" borderId="51" xfId="2" applyNumberFormat="1" applyFont="1" applyFill="1" applyBorder="1" applyAlignment="1">
      <alignment horizontal="left"/>
    </xf>
    <xf numFmtId="165" fontId="2" fillId="3" borderId="52" xfId="2" applyNumberFormat="1" applyFont="1" applyFill="1" applyBorder="1" applyAlignment="1">
      <alignment horizontal="right" indent="1"/>
    </xf>
    <xf numFmtId="165" fontId="2" fillId="3" borderId="53" xfId="2" applyNumberFormat="1" applyFont="1" applyFill="1" applyBorder="1" applyAlignment="1">
      <alignment horizontal="right" indent="1"/>
    </xf>
    <xf numFmtId="165" fontId="2" fillId="3" borderId="54" xfId="2" applyNumberFormat="1" applyFont="1" applyFill="1" applyBorder="1" applyAlignment="1">
      <alignment horizontal="right" indent="1"/>
    </xf>
    <xf numFmtId="42" fontId="2" fillId="4" borderId="55" xfId="2" applyNumberFormat="1" applyFont="1" applyFill="1" applyBorder="1" applyAlignment="1">
      <alignment horizontal="right" indent="1"/>
    </xf>
    <xf numFmtId="42" fontId="5" fillId="5" borderId="52" xfId="2" applyNumberFormat="1" applyFont="1" applyFill="1" applyBorder="1" applyAlignment="1">
      <alignment horizontal="right" indent="1"/>
    </xf>
    <xf numFmtId="42" fontId="5" fillId="5" borderId="53" xfId="2" applyNumberFormat="1" applyFont="1" applyFill="1" applyBorder="1" applyAlignment="1">
      <alignment horizontal="right" indent="1"/>
    </xf>
    <xf numFmtId="42" fontId="10" fillId="5" borderId="54" xfId="2" applyNumberFormat="1" applyFont="1" applyFill="1" applyBorder="1" applyAlignment="1">
      <alignment horizontal="right" indent="1"/>
    </xf>
    <xf numFmtId="9" fontId="2" fillId="4" borderId="55" xfId="3" applyFont="1" applyFill="1" applyBorder="1" applyAlignment="1">
      <alignment horizontal="right" indent="1"/>
    </xf>
    <xf numFmtId="42" fontId="5" fillId="6" borderId="52" xfId="2" applyNumberFormat="1" applyFont="1" applyFill="1" applyBorder="1"/>
    <xf numFmtId="42" fontId="5" fillId="6" borderId="53" xfId="2" applyNumberFormat="1" applyFont="1" applyFill="1" applyBorder="1"/>
    <xf numFmtId="42" fontId="10" fillId="6" borderId="54" xfId="2" applyNumberFormat="1" applyFont="1" applyFill="1" applyBorder="1"/>
    <xf numFmtId="9" fontId="5" fillId="4" borderId="55" xfId="3" applyFont="1" applyFill="1" applyBorder="1"/>
    <xf numFmtId="42" fontId="5" fillId="7" borderId="52" xfId="2" applyNumberFormat="1" applyFont="1" applyFill="1" applyBorder="1"/>
    <xf numFmtId="42" fontId="5" fillId="7" borderId="53" xfId="2" applyNumberFormat="1" applyFont="1" applyFill="1" applyBorder="1"/>
    <xf numFmtId="42" fontId="10" fillId="7" borderId="54" xfId="2" applyNumberFormat="1" applyFont="1" applyFill="1" applyBorder="1"/>
    <xf numFmtId="42" fontId="2" fillId="4" borderId="54" xfId="2" applyNumberFormat="1" applyFont="1" applyFill="1" applyBorder="1"/>
    <xf numFmtId="42" fontId="2" fillId="8" borderId="53" xfId="2" applyNumberFormat="1" applyFont="1" applyFill="1" applyBorder="1"/>
    <xf numFmtId="42" fontId="2" fillId="9" borderId="56" xfId="2" applyNumberFormat="1" applyFont="1" applyFill="1" applyBorder="1"/>
    <xf numFmtId="42" fontId="5" fillId="10" borderId="52" xfId="2" applyNumberFormat="1" applyFont="1" applyFill="1" applyBorder="1"/>
    <xf numFmtId="42" fontId="5" fillId="10" borderId="53" xfId="2" applyNumberFormat="1" applyFont="1" applyFill="1" applyBorder="1"/>
    <xf numFmtId="42" fontId="10" fillId="10" borderId="54" xfId="2" applyNumberFormat="1" applyFont="1" applyFill="1" applyBorder="1"/>
    <xf numFmtId="42" fontId="5" fillId="11" borderId="52" xfId="2" applyNumberFormat="1" applyFont="1" applyFill="1" applyBorder="1"/>
    <xf numFmtId="42" fontId="5" fillId="11" borderId="53" xfId="2" applyNumberFormat="1" applyFont="1" applyFill="1" applyBorder="1"/>
    <xf numFmtId="42" fontId="5" fillId="11" borderId="54" xfId="2" applyNumberFormat="1" applyFont="1" applyFill="1" applyBorder="1"/>
    <xf numFmtId="42" fontId="5" fillId="12" borderId="52" xfId="2" applyNumberFormat="1" applyFont="1" applyFill="1" applyBorder="1"/>
    <xf numFmtId="42" fontId="10" fillId="12" borderId="53" xfId="2" applyNumberFormat="1" applyFont="1" applyFill="1" applyBorder="1"/>
    <xf numFmtId="42" fontId="10" fillId="12" borderId="57" xfId="2" applyNumberFormat="1" applyFont="1" applyFill="1" applyBorder="1"/>
    <xf numFmtId="42" fontId="5" fillId="0" borderId="58" xfId="2" applyNumberFormat="1" applyFont="1" applyFill="1" applyBorder="1" applyAlignment="1">
      <alignment horizontal="left"/>
    </xf>
    <xf numFmtId="42" fontId="5" fillId="0" borderId="59" xfId="2" applyNumberFormat="1" applyFont="1" applyFill="1" applyBorder="1" applyAlignment="1">
      <alignment horizontal="left"/>
    </xf>
    <xf numFmtId="165" fontId="2" fillId="3" borderId="60" xfId="2" applyNumberFormat="1" applyFont="1" applyFill="1" applyBorder="1" applyAlignment="1">
      <alignment horizontal="right" indent="1"/>
    </xf>
    <xf numFmtId="165" fontId="2" fillId="3" borderId="61" xfId="2" applyNumberFormat="1" applyFont="1" applyFill="1" applyBorder="1" applyAlignment="1">
      <alignment horizontal="right" indent="1"/>
    </xf>
    <xf numFmtId="165" fontId="2" fillId="3" borderId="62" xfId="2" applyNumberFormat="1" applyFont="1" applyFill="1" applyBorder="1" applyAlignment="1">
      <alignment horizontal="right" indent="1"/>
    </xf>
    <xf numFmtId="42" fontId="2" fillId="4" borderId="63" xfId="2" applyNumberFormat="1" applyFont="1" applyFill="1" applyBorder="1" applyAlignment="1">
      <alignment horizontal="right" indent="1"/>
    </xf>
    <xf numFmtId="42" fontId="5" fillId="5" borderId="60" xfId="2" applyNumberFormat="1" applyFont="1" applyFill="1" applyBorder="1" applyAlignment="1">
      <alignment horizontal="right" indent="1"/>
    </xf>
    <xf numFmtId="42" fontId="5" fillId="5" borderId="61" xfId="2" applyNumberFormat="1" applyFont="1" applyFill="1" applyBorder="1" applyAlignment="1">
      <alignment horizontal="right" indent="1"/>
    </xf>
    <xf numFmtId="42" fontId="10" fillId="5" borderId="62" xfId="2" applyNumberFormat="1" applyFont="1" applyFill="1" applyBorder="1" applyAlignment="1">
      <alignment horizontal="right" indent="1"/>
    </xf>
    <xf numFmtId="9" fontId="2" fillId="4" borderId="63" xfId="3" applyFont="1" applyFill="1" applyBorder="1" applyAlignment="1">
      <alignment horizontal="right" indent="1"/>
    </xf>
    <xf numFmtId="42" fontId="5" fillId="6" borderId="60" xfId="2" applyNumberFormat="1" applyFont="1" applyFill="1" applyBorder="1"/>
    <xf numFmtId="42" fontId="5" fillId="6" borderId="61" xfId="2" applyNumberFormat="1" applyFont="1" applyFill="1" applyBorder="1"/>
    <xf numFmtId="42" fontId="10" fillId="6" borderId="62" xfId="2" applyNumberFormat="1" applyFont="1" applyFill="1" applyBorder="1"/>
    <xf numFmtId="9" fontId="5" fillId="4" borderId="63" xfId="3" applyFont="1" applyFill="1" applyBorder="1"/>
    <xf numFmtId="42" fontId="5" fillId="7" borderId="60" xfId="2" applyNumberFormat="1" applyFont="1" applyFill="1" applyBorder="1"/>
    <xf numFmtId="42" fontId="5" fillId="7" borderId="61" xfId="2" applyNumberFormat="1" applyFont="1" applyFill="1" applyBorder="1"/>
    <xf numFmtId="42" fontId="10" fillId="7" borderId="62" xfId="2" applyNumberFormat="1" applyFont="1" applyFill="1" applyBorder="1"/>
    <xf numFmtId="9" fontId="5" fillId="4" borderId="62" xfId="3" applyFont="1" applyFill="1" applyBorder="1"/>
    <xf numFmtId="42" fontId="2" fillId="8" borderId="61" xfId="2" applyNumberFormat="1" applyFont="1" applyFill="1" applyBorder="1"/>
    <xf numFmtId="9" fontId="5" fillId="9" borderId="64" xfId="3" applyFont="1" applyFill="1" applyBorder="1"/>
    <xf numFmtId="42" fontId="5" fillId="10" borderId="60" xfId="2" applyNumberFormat="1" applyFont="1" applyFill="1" applyBorder="1"/>
    <xf numFmtId="42" fontId="5" fillId="10" borderId="61" xfId="2" applyNumberFormat="1" applyFont="1" applyFill="1" applyBorder="1"/>
    <xf numFmtId="42" fontId="10" fillId="10" borderId="62" xfId="2" applyNumberFormat="1" applyFont="1" applyFill="1" applyBorder="1"/>
    <xf numFmtId="42" fontId="5" fillId="11" borderId="60" xfId="2" applyNumberFormat="1" applyFont="1" applyFill="1" applyBorder="1"/>
    <xf numFmtId="42" fontId="5" fillId="11" borderId="61" xfId="2" applyNumberFormat="1" applyFont="1" applyFill="1" applyBorder="1"/>
    <xf numFmtId="42" fontId="10" fillId="11" borderId="62" xfId="2" applyNumberFormat="1" applyFont="1" applyFill="1" applyBorder="1"/>
    <xf numFmtId="42" fontId="5" fillId="12" borderId="60" xfId="2" applyNumberFormat="1" applyFont="1" applyFill="1" applyBorder="1"/>
    <xf numFmtId="42" fontId="10" fillId="12" borderId="61" xfId="2" applyNumberFormat="1" applyFont="1" applyFill="1" applyBorder="1"/>
    <xf numFmtId="42" fontId="10" fillId="12" borderId="65" xfId="2" applyNumberFormat="1" applyFont="1" applyFill="1" applyBorder="1"/>
    <xf numFmtId="42" fontId="5" fillId="8" borderId="1" xfId="2" applyNumberFormat="1" applyFont="1" applyFill="1" applyBorder="1" applyAlignment="1">
      <alignment horizontal="right"/>
    </xf>
    <xf numFmtId="42" fontId="5" fillId="8" borderId="2" xfId="2" applyNumberFormat="1" applyFont="1" applyFill="1" applyBorder="1" applyAlignment="1">
      <alignment horizontal="right"/>
    </xf>
    <xf numFmtId="165" fontId="5" fillId="8" borderId="2" xfId="2" applyNumberFormat="1" applyFont="1" applyFill="1" applyBorder="1"/>
    <xf numFmtId="165" fontId="5" fillId="8" borderId="3" xfId="2" applyNumberFormat="1" applyFont="1" applyFill="1" applyBorder="1"/>
    <xf numFmtId="165" fontId="5" fillId="8" borderId="4" xfId="2" applyNumberFormat="1" applyFont="1" applyFill="1" applyBorder="1"/>
    <xf numFmtId="42" fontId="5" fillId="4" borderId="3" xfId="2" applyNumberFormat="1" applyFont="1" applyFill="1" applyBorder="1"/>
    <xf numFmtId="42" fontId="5" fillId="8" borderId="2" xfId="2" applyNumberFormat="1" applyFont="1" applyFill="1" applyBorder="1"/>
    <xf numFmtId="42" fontId="5" fillId="8" borderId="3" xfId="2" applyNumberFormat="1" applyFont="1" applyFill="1" applyBorder="1"/>
    <xf numFmtId="42" fontId="5" fillId="8" borderId="4" xfId="2" applyNumberFormat="1" applyFont="1" applyFill="1" applyBorder="1"/>
    <xf numFmtId="9" fontId="5" fillId="4" borderId="3" xfId="3" applyFont="1" applyFill="1" applyBorder="1"/>
    <xf numFmtId="9" fontId="5" fillId="8" borderId="3" xfId="3" applyFont="1" applyFill="1" applyBorder="1"/>
    <xf numFmtId="42" fontId="5" fillId="8" borderId="0" xfId="2" applyNumberFormat="1" applyFont="1" applyFill="1" applyBorder="1"/>
    <xf numFmtId="42" fontId="2" fillId="14" borderId="12" xfId="2" applyNumberFormat="1" applyFont="1" applyFill="1" applyBorder="1"/>
    <xf numFmtId="42" fontId="2" fillId="14" borderId="13" xfId="2" applyNumberFormat="1" applyFont="1" applyFill="1" applyBorder="1"/>
    <xf numFmtId="165" fontId="2" fillId="3" borderId="14" xfId="2" applyNumberFormat="1" applyFont="1" applyFill="1" applyBorder="1"/>
    <xf numFmtId="165" fontId="2" fillId="3" borderId="15" xfId="2" applyNumberFormat="1" applyFont="1" applyFill="1" applyBorder="1"/>
    <xf numFmtId="165" fontId="2" fillId="3" borderId="16" xfId="2" applyNumberFormat="1" applyFont="1" applyFill="1" applyBorder="1"/>
    <xf numFmtId="42" fontId="2" fillId="4" borderId="17" xfId="2" applyNumberFormat="1" applyFont="1" applyFill="1" applyBorder="1"/>
    <xf numFmtId="42" fontId="2" fillId="5" borderId="14" xfId="2" applyNumberFormat="1" applyFont="1" applyFill="1" applyBorder="1" applyAlignment="1">
      <alignment horizontal="right" indent="1"/>
    </xf>
    <xf numFmtId="42" fontId="2" fillId="5" borderId="15" xfId="2" applyNumberFormat="1" applyFont="1" applyFill="1" applyBorder="1" applyAlignment="1">
      <alignment horizontal="right" indent="1"/>
    </xf>
    <xf numFmtId="42" fontId="10" fillId="5" borderId="16" xfId="2" applyNumberFormat="1" applyFont="1" applyFill="1" applyBorder="1" applyAlignment="1">
      <alignment horizontal="right" indent="1"/>
    </xf>
    <xf numFmtId="9" fontId="2" fillId="4" borderId="17" xfId="3" applyFont="1" applyFill="1" applyBorder="1" applyAlignment="1">
      <alignment horizontal="right" indent="1"/>
    </xf>
    <xf numFmtId="42" fontId="2" fillId="6" borderId="14" xfId="2" applyNumberFormat="1" applyFont="1" applyFill="1" applyBorder="1"/>
    <xf numFmtId="42" fontId="2" fillId="6" borderId="15" xfId="2" applyNumberFormat="1" applyFont="1" applyFill="1" applyBorder="1"/>
    <xf numFmtId="42" fontId="2" fillId="6" borderId="16" xfId="2" applyNumberFormat="1" applyFont="1" applyFill="1" applyBorder="1"/>
    <xf numFmtId="9" fontId="5" fillId="4" borderId="17" xfId="3" applyFont="1" applyFill="1" applyBorder="1"/>
    <xf numFmtId="42" fontId="2" fillId="7" borderId="14" xfId="2" applyNumberFormat="1" applyFont="1" applyFill="1" applyBorder="1"/>
    <xf numFmtId="42" fontId="2" fillId="7" borderId="15" xfId="2" applyNumberFormat="1" applyFont="1" applyFill="1" applyBorder="1"/>
    <xf numFmtId="42" fontId="10" fillId="7" borderId="16" xfId="2" applyNumberFormat="1" applyFont="1" applyFill="1" applyBorder="1"/>
    <xf numFmtId="42" fontId="2" fillId="4" borderId="16" xfId="2" applyNumberFormat="1" applyFont="1" applyFill="1" applyBorder="1"/>
    <xf numFmtId="42" fontId="2" fillId="14" borderId="15" xfId="2" applyNumberFormat="1" applyFont="1" applyFill="1" applyBorder="1"/>
    <xf numFmtId="42" fontId="2" fillId="14" borderId="19" xfId="2" applyNumberFormat="1" applyFont="1" applyFill="1" applyBorder="1"/>
    <xf numFmtId="42" fontId="2" fillId="10" borderId="14" xfId="2" applyNumberFormat="1" applyFont="1" applyFill="1" applyBorder="1"/>
    <xf numFmtId="42" fontId="2" fillId="10" borderId="15" xfId="2" applyNumberFormat="1" applyFont="1" applyFill="1" applyBorder="1"/>
    <xf numFmtId="42" fontId="2" fillId="10" borderId="16" xfId="2" applyNumberFormat="1" applyFont="1" applyFill="1" applyBorder="1"/>
    <xf numFmtId="42" fontId="2" fillId="11" borderId="14" xfId="2" applyNumberFormat="1" applyFont="1" applyFill="1" applyBorder="1"/>
    <xf numFmtId="42" fontId="2" fillId="11" borderId="15" xfId="2" applyNumberFormat="1" applyFont="1" applyFill="1" applyBorder="1"/>
    <xf numFmtId="42" fontId="2" fillId="11" borderId="16" xfId="2" applyNumberFormat="1" applyFont="1" applyFill="1" applyBorder="1"/>
    <xf numFmtId="42" fontId="2" fillId="12" borderId="14" xfId="2" applyNumberFormat="1" applyFont="1" applyFill="1" applyBorder="1"/>
    <xf numFmtId="42" fontId="2" fillId="12" borderId="15" xfId="2" applyNumberFormat="1" applyFont="1" applyFill="1" applyBorder="1"/>
    <xf numFmtId="42" fontId="2" fillId="12" borderId="66" xfId="2" applyNumberFormat="1" applyFont="1" applyFill="1" applyBorder="1"/>
    <xf numFmtId="42" fontId="2" fillId="14" borderId="0" xfId="2" applyNumberFormat="1" applyFont="1" applyFill="1" applyBorder="1"/>
    <xf numFmtId="42" fontId="2" fillId="14" borderId="20" xfId="2" applyNumberFormat="1" applyFont="1" applyFill="1" applyBorder="1"/>
    <xf numFmtId="42" fontId="2" fillId="14" borderId="21" xfId="2" applyNumberFormat="1" applyFont="1" applyFill="1" applyBorder="1"/>
    <xf numFmtId="165" fontId="2" fillId="3" borderId="22" xfId="2" applyNumberFormat="1" applyFont="1" applyFill="1" applyBorder="1" applyAlignment="1">
      <alignment horizontal="right" indent="1"/>
    </xf>
    <xf numFmtId="165" fontId="2" fillId="3" borderId="23" xfId="2" applyNumberFormat="1" applyFont="1" applyFill="1" applyBorder="1" applyAlignment="1">
      <alignment horizontal="right" indent="1"/>
    </xf>
    <xf numFmtId="165" fontId="2" fillId="3" borderId="24" xfId="2" applyNumberFormat="1" applyFont="1" applyFill="1" applyBorder="1" applyAlignment="1">
      <alignment horizontal="right" indent="1"/>
    </xf>
    <xf numFmtId="42" fontId="2" fillId="4" borderId="25" xfId="2" applyNumberFormat="1" applyFont="1" applyFill="1" applyBorder="1" applyAlignment="1">
      <alignment horizontal="right" indent="1"/>
    </xf>
    <xf numFmtId="42" fontId="2" fillId="5" borderId="22" xfId="2" applyNumberFormat="1" applyFont="1" applyFill="1" applyBorder="1" applyAlignment="1">
      <alignment horizontal="right" indent="1"/>
    </xf>
    <xf numFmtId="42" fontId="2" fillId="5" borderId="23" xfId="2" applyNumberFormat="1" applyFont="1" applyFill="1" applyBorder="1" applyAlignment="1">
      <alignment horizontal="right" indent="1"/>
    </xf>
    <xf numFmtId="42" fontId="2" fillId="5" borderId="24" xfId="2" applyNumberFormat="1" applyFont="1" applyFill="1" applyBorder="1" applyAlignment="1">
      <alignment horizontal="right" indent="1"/>
    </xf>
    <xf numFmtId="9" fontId="2" fillId="4" borderId="25" xfId="3" applyFont="1" applyFill="1" applyBorder="1" applyAlignment="1">
      <alignment horizontal="right" indent="1"/>
    </xf>
    <xf numFmtId="42" fontId="2" fillId="6" borderId="22" xfId="2" applyNumberFormat="1" applyFont="1" applyFill="1" applyBorder="1"/>
    <xf numFmtId="42" fontId="2" fillId="6" borderId="23" xfId="2" applyNumberFormat="1" applyFont="1" applyFill="1" applyBorder="1"/>
    <xf numFmtId="42" fontId="2" fillId="6" borderId="24" xfId="2" applyNumberFormat="1" applyFont="1" applyFill="1" applyBorder="1"/>
    <xf numFmtId="9" fontId="5" fillId="4" borderId="25" xfId="3" applyFont="1" applyFill="1" applyBorder="1"/>
    <xf numFmtId="42" fontId="2" fillId="7" borderId="22" xfId="2" applyNumberFormat="1" applyFont="1" applyFill="1" applyBorder="1"/>
    <xf numFmtId="42" fontId="2" fillId="7" borderId="23" xfId="2" applyNumberFormat="1" applyFont="1" applyFill="1" applyBorder="1"/>
    <xf numFmtId="42" fontId="2" fillId="7" borderId="24" xfId="2" applyNumberFormat="1" applyFont="1" applyFill="1" applyBorder="1"/>
    <xf numFmtId="42" fontId="2" fillId="4" borderId="24" xfId="2" applyNumberFormat="1" applyFont="1" applyFill="1" applyBorder="1"/>
    <xf numFmtId="42" fontId="2" fillId="14" borderId="23" xfId="2" applyNumberFormat="1" applyFont="1" applyFill="1" applyBorder="1"/>
    <xf numFmtId="42" fontId="2" fillId="14" borderId="27" xfId="2" applyNumberFormat="1" applyFont="1" applyFill="1" applyBorder="1"/>
    <xf numFmtId="42" fontId="2" fillId="10" borderId="22" xfId="2" applyNumberFormat="1" applyFont="1" applyFill="1" applyBorder="1"/>
    <xf numFmtId="42" fontId="2" fillId="10" borderId="23" xfId="2" applyNumberFormat="1" applyFont="1" applyFill="1" applyBorder="1"/>
    <xf numFmtId="42" fontId="2" fillId="10" borderId="24" xfId="2" applyNumberFormat="1" applyFont="1" applyFill="1" applyBorder="1"/>
    <xf numFmtId="42" fontId="2" fillId="4" borderId="25" xfId="2" applyNumberFormat="1" applyFont="1" applyFill="1" applyBorder="1"/>
    <xf numFmtId="42" fontId="2" fillId="11" borderId="22" xfId="2" applyNumberFormat="1" applyFont="1" applyFill="1" applyBorder="1"/>
    <xf numFmtId="42" fontId="2" fillId="11" borderId="23" xfId="2" applyNumberFormat="1" applyFont="1" applyFill="1" applyBorder="1"/>
    <xf numFmtId="42" fontId="2" fillId="11" borderId="24" xfId="2" applyNumberFormat="1" applyFont="1" applyFill="1" applyBorder="1"/>
    <xf numFmtId="42" fontId="2" fillId="12" borderId="22" xfId="2" applyNumberFormat="1" applyFont="1" applyFill="1" applyBorder="1"/>
    <xf numFmtId="42" fontId="2" fillId="12" borderId="23" xfId="2" applyNumberFormat="1" applyFont="1" applyFill="1" applyBorder="1"/>
    <xf numFmtId="42" fontId="2" fillId="12" borderId="67" xfId="2" applyNumberFormat="1" applyFont="1" applyFill="1" applyBorder="1"/>
    <xf numFmtId="42" fontId="2" fillId="14" borderId="20" xfId="2" applyNumberFormat="1" applyFont="1" applyFill="1" applyBorder="1" applyAlignment="1">
      <alignment horizontal="left"/>
    </xf>
    <xf numFmtId="42" fontId="2" fillId="14" borderId="21" xfId="2" applyNumberFormat="1" applyFont="1" applyFill="1" applyBorder="1" applyAlignment="1">
      <alignment horizontal="left"/>
    </xf>
    <xf numFmtId="42" fontId="5" fillId="5" borderId="22" xfId="2" applyNumberFormat="1" applyFont="1" applyFill="1" applyBorder="1" applyAlignment="1">
      <alignment horizontal="right" indent="1"/>
    </xf>
    <xf numFmtId="0" fontId="2" fillId="14" borderId="20" xfId="0" applyFont="1" applyFill="1" applyBorder="1"/>
    <xf numFmtId="0" fontId="2" fillId="14" borderId="21" xfId="0" applyFont="1" applyFill="1" applyBorder="1"/>
    <xf numFmtId="42" fontId="2" fillId="14" borderId="28" xfId="2" applyNumberFormat="1" applyFont="1" applyFill="1" applyBorder="1" applyAlignment="1">
      <alignment horizontal="left"/>
    </xf>
    <xf numFmtId="42" fontId="2" fillId="14" borderId="29" xfId="2" applyNumberFormat="1" applyFont="1" applyFill="1" applyBorder="1" applyAlignment="1">
      <alignment horizontal="left"/>
    </xf>
    <xf numFmtId="165" fontId="2" fillId="3" borderId="32" xfId="2" applyNumberFormat="1" applyFont="1" applyFill="1" applyBorder="1" applyAlignment="1">
      <alignment horizontal="right" indent="1"/>
    </xf>
    <xf numFmtId="165" fontId="2" fillId="3" borderId="34" xfId="2" applyNumberFormat="1" applyFont="1" applyFill="1" applyBorder="1" applyAlignment="1">
      <alignment horizontal="right" indent="1"/>
    </xf>
    <xf numFmtId="165" fontId="2" fillId="3" borderId="30" xfId="2" applyNumberFormat="1" applyFont="1" applyFill="1" applyBorder="1" applyAlignment="1">
      <alignment horizontal="right" indent="1"/>
    </xf>
    <xf numFmtId="42" fontId="2" fillId="4" borderId="31" xfId="2" applyNumberFormat="1" applyFont="1" applyFill="1" applyBorder="1" applyAlignment="1">
      <alignment horizontal="right" indent="1"/>
    </xf>
    <xf numFmtId="42" fontId="2" fillId="5" borderId="32" xfId="2" applyNumberFormat="1" applyFont="1" applyFill="1" applyBorder="1" applyAlignment="1">
      <alignment horizontal="right" indent="1"/>
    </xf>
    <xf numFmtId="42" fontId="2" fillId="5" borderId="34" xfId="2" applyNumberFormat="1" applyFont="1" applyFill="1" applyBorder="1" applyAlignment="1">
      <alignment horizontal="right" indent="1"/>
    </xf>
    <xf numFmtId="42" fontId="2" fillId="5" borderId="30" xfId="2" applyNumberFormat="1" applyFont="1" applyFill="1" applyBorder="1" applyAlignment="1">
      <alignment horizontal="right" indent="1"/>
    </xf>
    <xf numFmtId="42" fontId="2" fillId="6" borderId="32" xfId="2" applyNumberFormat="1" applyFont="1" applyFill="1" applyBorder="1"/>
    <xf numFmtId="42" fontId="2" fillId="6" borderId="34" xfId="2" applyNumberFormat="1" applyFont="1" applyFill="1" applyBorder="1"/>
    <xf numFmtId="42" fontId="2" fillId="6" borderId="30" xfId="2" applyNumberFormat="1" applyFont="1" applyFill="1" applyBorder="1"/>
    <xf numFmtId="42" fontId="2" fillId="4" borderId="31" xfId="2" applyNumberFormat="1" applyFont="1" applyFill="1" applyBorder="1"/>
    <xf numFmtId="42" fontId="2" fillId="7" borderId="32" xfId="2" applyNumberFormat="1" applyFont="1" applyFill="1" applyBorder="1"/>
    <xf numFmtId="42" fontId="2" fillId="7" borderId="34" xfId="2" applyNumberFormat="1" applyFont="1" applyFill="1" applyBorder="1"/>
    <xf numFmtId="42" fontId="2" fillId="7" borderId="30" xfId="2" applyNumberFormat="1" applyFont="1" applyFill="1" applyBorder="1"/>
    <xf numFmtId="42" fontId="2" fillId="4" borderId="30" xfId="2" applyNumberFormat="1" applyFont="1" applyFill="1" applyBorder="1"/>
    <xf numFmtId="42" fontId="2" fillId="14" borderId="34" xfId="2" applyNumberFormat="1" applyFont="1" applyFill="1" applyBorder="1"/>
    <xf numFmtId="42" fontId="2" fillId="14" borderId="35" xfId="2" applyNumberFormat="1" applyFont="1" applyFill="1" applyBorder="1"/>
    <xf numFmtId="42" fontId="2" fillId="10" borderId="32" xfId="2" applyNumberFormat="1" applyFont="1" applyFill="1" applyBorder="1"/>
    <xf numFmtId="42" fontId="2" fillId="10" borderId="34" xfId="2" applyNumberFormat="1" applyFont="1" applyFill="1" applyBorder="1"/>
    <xf numFmtId="42" fontId="2" fillId="10" borderId="30" xfId="2" applyNumberFormat="1" applyFont="1" applyFill="1" applyBorder="1"/>
    <xf numFmtId="42" fontId="2" fillId="11" borderId="32" xfId="2" applyNumberFormat="1" applyFont="1" applyFill="1" applyBorder="1"/>
    <xf numFmtId="42" fontId="2" fillId="11" borderId="34" xfId="2" applyNumberFormat="1" applyFont="1" applyFill="1" applyBorder="1"/>
    <xf numFmtId="42" fontId="2" fillId="11" borderId="30" xfId="2" applyNumberFormat="1" applyFont="1" applyFill="1" applyBorder="1"/>
    <xf numFmtId="44" fontId="2" fillId="4" borderId="31" xfId="2" applyFont="1" applyFill="1" applyBorder="1"/>
    <xf numFmtId="42" fontId="2" fillId="12" borderId="32" xfId="2" applyNumberFormat="1" applyFont="1" applyFill="1" applyBorder="1"/>
    <xf numFmtId="42" fontId="2" fillId="12" borderId="34" xfId="2" applyNumberFormat="1" applyFont="1" applyFill="1" applyBorder="1"/>
    <xf numFmtId="42" fontId="2" fillId="12" borderId="68" xfId="2" applyNumberFormat="1" applyFont="1" applyFill="1" applyBorder="1"/>
    <xf numFmtId="165" fontId="5" fillId="8" borderId="2" xfId="2" applyNumberFormat="1" applyFont="1" applyFill="1" applyBorder="1" applyAlignment="1">
      <alignment horizontal="right" indent="1"/>
    </xf>
    <xf numFmtId="165" fontId="5" fillId="8" borderId="3" xfId="2" applyNumberFormat="1" applyFont="1" applyFill="1" applyBorder="1" applyAlignment="1">
      <alignment horizontal="right" indent="1"/>
    </xf>
    <xf numFmtId="165" fontId="5" fillId="8" borderId="4" xfId="2" applyNumberFormat="1" applyFont="1" applyFill="1" applyBorder="1" applyAlignment="1">
      <alignment horizontal="right" indent="1"/>
    </xf>
    <xf numFmtId="42" fontId="5" fillId="4" borderId="3" xfId="2" applyNumberFormat="1" applyFont="1" applyFill="1" applyBorder="1" applyAlignment="1">
      <alignment horizontal="right" indent="1"/>
    </xf>
    <xf numFmtId="42" fontId="5" fillId="8" borderId="2" xfId="2" applyNumberFormat="1" applyFont="1" applyFill="1" applyBorder="1" applyAlignment="1">
      <alignment horizontal="right" indent="1"/>
    </xf>
    <xf numFmtId="42" fontId="5" fillId="8" borderId="3" xfId="2" applyNumberFormat="1" applyFont="1" applyFill="1" applyBorder="1" applyAlignment="1">
      <alignment horizontal="right" indent="1"/>
    </xf>
    <xf numFmtId="42" fontId="5" fillId="8" borderId="4" xfId="2" applyNumberFormat="1" applyFont="1" applyFill="1" applyBorder="1" applyAlignment="1">
      <alignment horizontal="right" indent="1"/>
    </xf>
    <xf numFmtId="44" fontId="2" fillId="4" borderId="3" xfId="2" applyFont="1" applyFill="1" applyBorder="1"/>
    <xf numFmtId="44" fontId="2" fillId="8" borderId="3" xfId="2" applyFont="1" applyFill="1" applyBorder="1"/>
    <xf numFmtId="42" fontId="2" fillId="5" borderId="16" xfId="2" applyNumberFormat="1" applyFont="1" applyFill="1" applyBorder="1" applyAlignment="1">
      <alignment horizontal="right" indent="1"/>
    </xf>
    <xf numFmtId="42" fontId="2" fillId="4" borderId="17" xfId="2" applyNumberFormat="1" applyFont="1" applyFill="1" applyBorder="1" applyAlignment="1">
      <alignment horizontal="right" indent="1"/>
    </xf>
    <xf numFmtId="42" fontId="2" fillId="7" borderId="16" xfId="2" applyNumberFormat="1" applyFont="1" applyFill="1" applyBorder="1"/>
    <xf numFmtId="44" fontId="2" fillId="4" borderId="17" xfId="2" applyFont="1" applyFill="1" applyBorder="1"/>
    <xf numFmtId="165" fontId="2" fillId="3" borderId="22" xfId="2" applyNumberFormat="1" applyFont="1" applyFill="1" applyBorder="1"/>
    <xf numFmtId="165" fontId="2" fillId="3" borderId="23" xfId="2" applyNumberFormat="1" applyFont="1" applyFill="1" applyBorder="1"/>
    <xf numFmtId="165" fontId="2" fillId="3" borderId="24" xfId="2" applyNumberFormat="1" applyFont="1" applyFill="1" applyBorder="1"/>
    <xf numFmtId="44" fontId="2" fillId="4" borderId="25" xfId="2" applyFont="1" applyFill="1" applyBorder="1"/>
    <xf numFmtId="42" fontId="2" fillId="5" borderId="22" xfId="2" applyNumberFormat="1" applyFont="1" applyFill="1" applyBorder="1"/>
    <xf numFmtId="42" fontId="2" fillId="5" borderId="23" xfId="2" applyNumberFormat="1" applyFont="1" applyFill="1" applyBorder="1"/>
    <xf numFmtId="42" fontId="2" fillId="5" borderId="24" xfId="2" applyNumberFormat="1" applyFont="1" applyFill="1" applyBorder="1"/>
    <xf numFmtId="42" fontId="5" fillId="14" borderId="28" xfId="2" applyNumberFormat="1" applyFont="1" applyFill="1" applyBorder="1" applyAlignment="1">
      <alignment horizontal="left"/>
    </xf>
    <xf numFmtId="42" fontId="5" fillId="14" borderId="29" xfId="2" applyNumberFormat="1" applyFont="1" applyFill="1" applyBorder="1" applyAlignment="1">
      <alignment horizontal="left"/>
    </xf>
    <xf numFmtId="165" fontId="2" fillId="3" borderId="32" xfId="2" applyNumberFormat="1" applyFont="1" applyFill="1" applyBorder="1"/>
    <xf numFmtId="165" fontId="2" fillId="3" borderId="34" xfId="2" applyNumberFormat="1" applyFont="1" applyFill="1" applyBorder="1"/>
    <xf numFmtId="165" fontId="2" fillId="3" borderId="30" xfId="2" applyNumberFormat="1" applyFont="1" applyFill="1" applyBorder="1"/>
    <xf numFmtId="42" fontId="2" fillId="5" borderId="32" xfId="2" applyNumberFormat="1" applyFont="1" applyFill="1" applyBorder="1"/>
    <xf numFmtId="42" fontId="2" fillId="5" borderId="34" xfId="2" applyNumberFormat="1" applyFont="1" applyFill="1" applyBorder="1"/>
    <xf numFmtId="42" fontId="2" fillId="5" borderId="30" xfId="2" applyNumberFormat="1" applyFont="1" applyFill="1" applyBorder="1"/>
    <xf numFmtId="44" fontId="2" fillId="14" borderId="35" xfId="2" applyFont="1" applyFill="1" applyBorder="1"/>
    <xf numFmtId="42" fontId="2" fillId="15" borderId="34" xfId="2" applyNumberFormat="1" applyFont="1" applyFill="1" applyBorder="1"/>
    <xf numFmtId="42" fontId="5" fillId="8" borderId="5" xfId="2" applyNumberFormat="1" applyFont="1" applyFill="1" applyBorder="1" applyAlignment="1">
      <alignment horizontal="right"/>
    </xf>
    <xf numFmtId="42" fontId="5" fillId="8" borderId="36" xfId="2" applyNumberFormat="1" applyFont="1" applyFill="1" applyBorder="1" applyAlignment="1">
      <alignment horizontal="right"/>
    </xf>
    <xf numFmtId="165" fontId="5" fillId="8" borderId="36" xfId="2" applyNumberFormat="1" applyFont="1" applyFill="1" applyBorder="1"/>
    <xf numFmtId="165" fontId="5" fillId="8" borderId="40" xfId="2" applyNumberFormat="1" applyFont="1" applyFill="1" applyBorder="1"/>
    <xf numFmtId="165" fontId="5" fillId="8" borderId="39" xfId="2" applyNumberFormat="1" applyFont="1" applyFill="1" applyBorder="1"/>
    <xf numFmtId="44" fontId="2" fillId="4" borderId="40" xfId="2" applyFont="1" applyFill="1" applyBorder="1"/>
    <xf numFmtId="42" fontId="5" fillId="8" borderId="36" xfId="2" applyNumberFormat="1" applyFont="1" applyFill="1" applyBorder="1"/>
    <xf numFmtId="42" fontId="5" fillId="8" borderId="40" xfId="2" applyNumberFormat="1" applyFont="1" applyFill="1" applyBorder="1"/>
    <xf numFmtId="42" fontId="5" fillId="8" borderId="39" xfId="2" applyNumberFormat="1" applyFont="1" applyFill="1" applyBorder="1"/>
    <xf numFmtId="44" fontId="2" fillId="8" borderId="40" xfId="2" applyFont="1" applyFill="1" applyBorder="1"/>
    <xf numFmtId="42" fontId="4" fillId="13" borderId="5" xfId="2" applyNumberFormat="1" applyFont="1" applyFill="1" applyBorder="1" applyAlignment="1">
      <alignment horizontal="right"/>
    </xf>
    <xf numFmtId="42" fontId="4" fillId="13" borderId="36" xfId="2" applyNumberFormat="1" applyFont="1" applyFill="1" applyBorder="1" applyAlignment="1">
      <alignment horizontal="right"/>
    </xf>
    <xf numFmtId="165" fontId="4" fillId="13" borderId="36" xfId="2" applyNumberFormat="1" applyFont="1" applyFill="1" applyBorder="1" applyAlignment="1">
      <alignment horizontal="right" indent="1"/>
    </xf>
    <xf numFmtId="165" fontId="4" fillId="13" borderId="40" xfId="2" applyNumberFormat="1" applyFont="1" applyFill="1" applyBorder="1" applyAlignment="1">
      <alignment horizontal="right" indent="1"/>
    </xf>
    <xf numFmtId="165" fontId="4" fillId="13" borderId="39" xfId="2" applyNumberFormat="1" applyFont="1" applyFill="1" applyBorder="1" applyAlignment="1">
      <alignment horizontal="right" indent="1"/>
    </xf>
    <xf numFmtId="44" fontId="11" fillId="4" borderId="40" xfId="2" applyFont="1" applyFill="1" applyBorder="1"/>
    <xf numFmtId="42" fontId="4" fillId="13" borderId="36" xfId="2" applyNumberFormat="1" applyFont="1" applyFill="1" applyBorder="1" applyAlignment="1">
      <alignment horizontal="right" indent="1"/>
    </xf>
    <xf numFmtId="42" fontId="4" fillId="13" borderId="40" xfId="2" applyNumberFormat="1" applyFont="1" applyFill="1" applyBorder="1" applyAlignment="1">
      <alignment horizontal="right" indent="1"/>
    </xf>
    <xf numFmtId="42" fontId="4" fillId="13" borderId="39" xfId="2" applyNumberFormat="1" applyFont="1" applyFill="1" applyBorder="1" applyAlignment="1">
      <alignment horizontal="right" indent="1"/>
    </xf>
    <xf numFmtId="44" fontId="11" fillId="13" borderId="40" xfId="2" applyFont="1" applyFill="1" applyBorder="1"/>
    <xf numFmtId="42" fontId="12" fillId="13" borderId="0" xfId="2" applyNumberFormat="1" applyFont="1" applyFill="1" applyBorder="1"/>
    <xf numFmtId="42" fontId="12" fillId="0" borderId="0" xfId="2" applyNumberFormat="1" applyFont="1" applyFill="1" applyBorder="1"/>
    <xf numFmtId="165" fontId="3" fillId="4" borderId="3" xfId="2" applyNumberFormat="1" applyFont="1" applyFill="1" applyBorder="1"/>
    <xf numFmtId="44" fontId="13" fillId="4" borderId="3" xfId="2" applyFont="1" applyFill="1" applyBorder="1"/>
    <xf numFmtId="42" fontId="2" fillId="0" borderId="12" xfId="2" applyNumberFormat="1" applyFont="1" applyFill="1" applyBorder="1"/>
    <xf numFmtId="42" fontId="2" fillId="0" borderId="13" xfId="2" applyNumberFormat="1" applyFont="1" applyFill="1" applyBorder="1"/>
    <xf numFmtId="42" fontId="2" fillId="5" borderId="14" xfId="2" applyNumberFormat="1" applyFont="1" applyFill="1" applyBorder="1"/>
    <xf numFmtId="42" fontId="2" fillId="5" borderId="15" xfId="2" applyNumberFormat="1" applyFont="1" applyFill="1" applyBorder="1"/>
    <xf numFmtId="42" fontId="2" fillId="5" borderId="16" xfId="2" applyNumberFormat="1" applyFont="1" applyFill="1" applyBorder="1"/>
    <xf numFmtId="42" fontId="2" fillId="8" borderId="15" xfId="2" applyNumberFormat="1" applyFont="1" applyFill="1" applyBorder="1"/>
    <xf numFmtId="42" fontId="2" fillId="9" borderId="19" xfId="2" applyNumberFormat="1" applyFont="1" applyFill="1" applyBorder="1"/>
    <xf numFmtId="42" fontId="2" fillId="0" borderId="0" xfId="2" applyNumberFormat="1" applyFont="1" applyBorder="1"/>
    <xf numFmtId="42" fontId="2" fillId="0" borderId="20" xfId="2" applyNumberFormat="1" applyFont="1" applyFill="1" applyBorder="1"/>
    <xf numFmtId="42" fontId="2" fillId="0" borderId="21" xfId="2" applyNumberFormat="1" applyFont="1" applyFill="1" applyBorder="1"/>
    <xf numFmtId="44" fontId="2" fillId="6" borderId="23" xfId="2" applyFont="1" applyFill="1" applyBorder="1"/>
    <xf numFmtId="42" fontId="2" fillId="8" borderId="23" xfId="2" applyNumberFormat="1" applyFont="1" applyFill="1" applyBorder="1"/>
    <xf numFmtId="42" fontId="2" fillId="9" borderId="27" xfId="2" applyNumberFormat="1" applyFont="1" applyFill="1" applyBorder="1"/>
    <xf numFmtId="44" fontId="2" fillId="6" borderId="24" xfId="2" applyFont="1" applyFill="1" applyBorder="1"/>
    <xf numFmtId="42" fontId="2" fillId="0" borderId="28" xfId="2" applyNumberFormat="1" applyFont="1" applyFill="1" applyBorder="1"/>
    <xf numFmtId="42" fontId="2" fillId="0" borderId="29" xfId="2" applyNumberFormat="1" applyFont="1" applyFill="1" applyBorder="1"/>
    <xf numFmtId="9" fontId="2" fillId="4" borderId="31" xfId="3" applyFont="1" applyFill="1" applyBorder="1" applyAlignment="1">
      <alignment horizontal="right" indent="1"/>
    </xf>
    <xf numFmtId="9" fontId="5" fillId="4" borderId="31" xfId="3" applyFont="1" applyFill="1" applyBorder="1"/>
    <xf numFmtId="42" fontId="2" fillId="8" borderId="34" xfId="2" applyNumberFormat="1" applyFont="1" applyFill="1" applyBorder="1"/>
    <xf numFmtId="42" fontId="2" fillId="9" borderId="35" xfId="2" applyNumberFormat="1" applyFont="1" applyFill="1" applyBorder="1"/>
    <xf numFmtId="42" fontId="2" fillId="8" borderId="0" xfId="2" applyNumberFormat="1" applyFont="1" applyFill="1" applyBorder="1"/>
    <xf numFmtId="164" fontId="2" fillId="4" borderId="16" xfId="1" applyNumberFormat="1" applyFont="1" applyFill="1" applyBorder="1" applyAlignment="1">
      <alignment horizontal="left" indent="2"/>
    </xf>
    <xf numFmtId="164" fontId="2" fillId="9" borderId="19" xfId="1" applyNumberFormat="1" applyFont="1" applyFill="1" applyBorder="1" applyAlignment="1">
      <alignment horizontal="left" indent="2"/>
    </xf>
    <xf numFmtId="164" fontId="2" fillId="4" borderId="24" xfId="1" applyNumberFormat="1" applyFont="1" applyFill="1" applyBorder="1" applyAlignment="1">
      <alignment horizontal="left" indent="2"/>
    </xf>
    <xf numFmtId="164" fontId="2" fillId="9" borderId="27" xfId="1" applyNumberFormat="1" applyFont="1" applyFill="1" applyBorder="1" applyAlignment="1">
      <alignment horizontal="left" indent="2"/>
    </xf>
    <xf numFmtId="164" fontId="2" fillId="4" borderId="30" xfId="1" applyNumberFormat="1" applyFont="1" applyFill="1" applyBorder="1" applyAlignment="1">
      <alignment horizontal="left" indent="2"/>
    </xf>
    <xf numFmtId="164" fontId="2" fillId="9" borderId="35" xfId="1" applyNumberFormat="1" applyFont="1" applyFill="1" applyBorder="1" applyAlignment="1">
      <alignment horizontal="left" indent="2"/>
    </xf>
    <xf numFmtId="165" fontId="2" fillId="3" borderId="19" xfId="2" applyNumberFormat="1" applyFont="1" applyFill="1" applyBorder="1"/>
    <xf numFmtId="165" fontId="2" fillId="3" borderId="27" xfId="2" applyNumberFormat="1" applyFont="1" applyFill="1" applyBorder="1"/>
    <xf numFmtId="42" fontId="5" fillId="4" borderId="40" xfId="2" applyNumberFormat="1" applyFont="1" applyFill="1" applyBorder="1"/>
    <xf numFmtId="164" fontId="2" fillId="14" borderId="19" xfId="1" applyNumberFormat="1" applyFont="1" applyFill="1" applyBorder="1" applyAlignment="1">
      <alignment horizontal="left" indent="2"/>
    </xf>
    <xf numFmtId="164" fontId="2" fillId="14" borderId="27" xfId="1" applyNumberFormat="1" applyFont="1" applyFill="1" applyBorder="1" applyAlignment="1">
      <alignment horizontal="left" indent="2"/>
    </xf>
    <xf numFmtId="42" fontId="5" fillId="14" borderId="28" xfId="2" applyNumberFormat="1" applyFont="1" applyFill="1" applyBorder="1"/>
    <xf numFmtId="42" fontId="5" fillId="14" borderId="29" xfId="2" applyNumberFormat="1" applyFont="1" applyFill="1" applyBorder="1"/>
    <xf numFmtId="164" fontId="2" fillId="14" borderId="35" xfId="1" applyNumberFormat="1" applyFont="1" applyFill="1" applyBorder="1" applyAlignment="1">
      <alignment horizontal="left" indent="2"/>
    </xf>
    <xf numFmtId="49" fontId="2" fillId="14" borderId="20" xfId="0" applyNumberFormat="1" applyFont="1" applyFill="1" applyBorder="1" applyAlignment="1">
      <alignment horizontal="left"/>
    </xf>
    <xf numFmtId="49" fontId="2" fillId="14" borderId="21" xfId="0" applyNumberFormat="1" applyFont="1" applyFill="1" applyBorder="1" applyAlignment="1">
      <alignment horizontal="left"/>
    </xf>
    <xf numFmtId="42" fontId="2" fillId="15" borderId="23" xfId="2" applyNumberFormat="1" applyFont="1" applyFill="1" applyBorder="1"/>
    <xf numFmtId="0" fontId="1" fillId="0" borderId="0" xfId="4"/>
    <xf numFmtId="42" fontId="2" fillId="14" borderId="28" xfId="2" applyNumberFormat="1" applyFont="1" applyFill="1" applyBorder="1"/>
    <xf numFmtId="42" fontId="2" fillId="14" borderId="29" xfId="2" applyNumberFormat="1" applyFont="1" applyFill="1" applyBorder="1"/>
    <xf numFmtId="0" fontId="2" fillId="14" borderId="12" xfId="0" applyFont="1" applyFill="1" applyBorder="1" applyAlignment="1">
      <alignment horizontal="left"/>
    </xf>
    <xf numFmtId="0" fontId="2" fillId="14" borderId="13" xfId="0" applyFont="1" applyFill="1" applyBorder="1" applyAlignment="1">
      <alignment horizontal="left"/>
    </xf>
    <xf numFmtId="42" fontId="4" fillId="13" borderId="1" xfId="2" applyNumberFormat="1" applyFont="1" applyFill="1" applyBorder="1" applyAlignment="1">
      <alignment horizontal="right" indent="1"/>
    </xf>
    <xf numFmtId="42" fontId="4" fillId="13" borderId="2" xfId="2" applyNumberFormat="1" applyFont="1" applyFill="1" applyBorder="1" applyAlignment="1">
      <alignment horizontal="right" indent="1"/>
    </xf>
    <xf numFmtId="165" fontId="4" fillId="13" borderId="2" xfId="2" applyNumberFormat="1" applyFont="1" applyFill="1" applyBorder="1" applyAlignment="1">
      <alignment horizontal="right" indent="1"/>
    </xf>
    <xf numFmtId="165" fontId="4" fillId="13" borderId="3" xfId="2" applyNumberFormat="1" applyFont="1" applyFill="1" applyBorder="1" applyAlignment="1">
      <alignment horizontal="right" indent="1"/>
    </xf>
    <xf numFmtId="165" fontId="4" fillId="16" borderId="4" xfId="2" applyNumberFormat="1" applyFont="1" applyFill="1" applyBorder="1" applyAlignment="1">
      <alignment horizontal="right" indent="1"/>
    </xf>
    <xf numFmtId="42" fontId="4" fillId="4" borderId="3" xfId="2" applyNumberFormat="1" applyFont="1" applyFill="1" applyBorder="1" applyAlignment="1">
      <alignment horizontal="right" indent="1"/>
    </xf>
    <xf numFmtId="42" fontId="4" fillId="13" borderId="3" xfId="2" applyNumberFormat="1" applyFont="1" applyFill="1" applyBorder="1" applyAlignment="1">
      <alignment horizontal="right" indent="1"/>
    </xf>
    <xf numFmtId="42" fontId="4" fillId="16" borderId="4" xfId="2" applyNumberFormat="1" applyFont="1" applyFill="1" applyBorder="1" applyAlignment="1">
      <alignment horizontal="right" indent="1"/>
    </xf>
    <xf numFmtId="42" fontId="5" fillId="4" borderId="12" xfId="2" applyNumberFormat="1" applyFont="1" applyFill="1" applyBorder="1" applyAlignment="1">
      <alignment horizontal="right"/>
    </xf>
    <xf numFmtId="42" fontId="5" fillId="4" borderId="13" xfId="2" applyNumberFormat="1" applyFont="1" applyFill="1" applyBorder="1" applyAlignment="1">
      <alignment horizontal="right"/>
    </xf>
    <xf numFmtId="165" fontId="5" fillId="4" borderId="14" xfId="2" applyNumberFormat="1" applyFont="1" applyFill="1" applyBorder="1" applyAlignment="1">
      <alignment horizontal="right" indent="1"/>
    </xf>
    <xf numFmtId="165" fontId="5" fillId="4" borderId="15" xfId="2" applyNumberFormat="1" applyFont="1" applyFill="1" applyBorder="1" applyAlignment="1">
      <alignment horizontal="right" indent="1"/>
    </xf>
    <xf numFmtId="165" fontId="5" fillId="4" borderId="16" xfId="2" applyNumberFormat="1" applyFont="1" applyFill="1" applyBorder="1" applyAlignment="1">
      <alignment horizontal="right" indent="1"/>
    </xf>
    <xf numFmtId="42" fontId="5" fillId="4" borderId="17" xfId="2" applyNumberFormat="1" applyFont="1" applyFill="1" applyBorder="1" applyAlignment="1">
      <alignment horizontal="right" indent="1"/>
    </xf>
    <xf numFmtId="42" fontId="5" fillId="4" borderId="14" xfId="2" applyNumberFormat="1" applyFont="1" applyFill="1" applyBorder="1" applyAlignment="1">
      <alignment horizontal="right" indent="1"/>
    </xf>
    <xf numFmtId="42" fontId="5" fillId="4" borderId="15" xfId="2" applyNumberFormat="1" applyFont="1" applyFill="1" applyBorder="1" applyAlignment="1">
      <alignment horizontal="right" indent="1"/>
    </xf>
    <xf numFmtId="42" fontId="5" fillId="4" borderId="16" xfId="2" applyNumberFormat="1" applyFont="1" applyFill="1" applyBorder="1" applyAlignment="1">
      <alignment horizontal="right" indent="1"/>
    </xf>
    <xf numFmtId="42" fontId="5" fillId="4" borderId="19" xfId="2" applyNumberFormat="1" applyFont="1" applyFill="1" applyBorder="1" applyAlignment="1">
      <alignment horizontal="right" indent="1"/>
    </xf>
    <xf numFmtId="42" fontId="5" fillId="4" borderId="66" xfId="2" applyNumberFormat="1" applyFont="1" applyFill="1" applyBorder="1" applyAlignment="1">
      <alignment horizontal="right" indent="1"/>
    </xf>
    <xf numFmtId="42" fontId="12" fillId="4" borderId="0" xfId="2" applyNumberFormat="1" applyFont="1" applyFill="1" applyBorder="1"/>
    <xf numFmtId="42" fontId="5" fillId="17" borderId="20" xfId="2" applyNumberFormat="1" applyFont="1" applyFill="1" applyBorder="1" applyAlignment="1">
      <alignment horizontal="right"/>
    </xf>
    <xf numFmtId="42" fontId="5" fillId="17" borderId="21" xfId="2" applyNumberFormat="1" applyFont="1" applyFill="1" applyBorder="1" applyAlignment="1">
      <alignment horizontal="right"/>
    </xf>
    <xf numFmtId="165" fontId="5" fillId="3" borderId="22" xfId="2" applyNumberFormat="1" applyFont="1" applyFill="1" applyBorder="1" applyAlignment="1">
      <alignment horizontal="right" indent="1"/>
    </xf>
    <xf numFmtId="165" fontId="5" fillId="3" borderId="23" xfId="2" applyNumberFormat="1" applyFont="1" applyFill="1" applyBorder="1" applyAlignment="1">
      <alignment horizontal="right" indent="1"/>
    </xf>
    <xf numFmtId="42" fontId="5" fillId="4" borderId="25" xfId="2" applyNumberFormat="1" applyFont="1" applyFill="1" applyBorder="1" applyAlignment="1">
      <alignment horizontal="right" indent="1"/>
    </xf>
    <xf numFmtId="42" fontId="5" fillId="5" borderId="23" xfId="2" applyNumberFormat="1" applyFont="1" applyFill="1" applyBorder="1" applyAlignment="1">
      <alignment horizontal="right" indent="1"/>
    </xf>
    <xf numFmtId="42" fontId="5" fillId="5" borderId="67" xfId="2" applyNumberFormat="1" applyFont="1" applyFill="1" applyBorder="1" applyAlignment="1">
      <alignment horizontal="right" indent="1"/>
    </xf>
    <xf numFmtId="42" fontId="5" fillId="6" borderId="22" xfId="2" applyNumberFormat="1" applyFont="1" applyFill="1" applyBorder="1" applyAlignment="1">
      <alignment horizontal="right" indent="1"/>
    </xf>
    <xf numFmtId="42" fontId="5" fillId="6" borderId="23" xfId="2" applyNumberFormat="1" applyFont="1" applyFill="1" applyBorder="1" applyAlignment="1">
      <alignment horizontal="right" indent="1"/>
    </xf>
    <xf numFmtId="42" fontId="5" fillId="6" borderId="67" xfId="2" applyNumberFormat="1" applyFont="1" applyFill="1" applyBorder="1" applyAlignment="1">
      <alignment horizontal="right" indent="1"/>
    </xf>
    <xf numFmtId="42" fontId="5" fillId="7" borderId="22" xfId="2" applyNumberFormat="1" applyFont="1" applyFill="1" applyBorder="1" applyAlignment="1">
      <alignment horizontal="right" indent="1"/>
    </xf>
    <xf numFmtId="42" fontId="5" fillId="7" borderId="23" xfId="2" applyNumberFormat="1" applyFont="1" applyFill="1" applyBorder="1" applyAlignment="1">
      <alignment horizontal="right" indent="1"/>
    </xf>
    <xf numFmtId="42" fontId="5" fillId="4" borderId="24" xfId="2" applyNumberFormat="1" applyFont="1" applyFill="1" applyBorder="1" applyAlignment="1">
      <alignment horizontal="right" indent="1"/>
    </xf>
    <xf numFmtId="42" fontId="5" fillId="18" borderId="23" xfId="2" applyNumberFormat="1" applyFont="1" applyFill="1" applyBorder="1" applyAlignment="1">
      <alignment horizontal="right" indent="1"/>
    </xf>
    <xf numFmtId="42" fontId="5" fillId="9" borderId="27" xfId="2" applyNumberFormat="1" applyFont="1" applyFill="1" applyBorder="1" applyAlignment="1">
      <alignment horizontal="right" indent="1"/>
    </xf>
    <xf numFmtId="42" fontId="5" fillId="10" borderId="22" xfId="2" applyNumberFormat="1" applyFont="1" applyFill="1" applyBorder="1" applyAlignment="1">
      <alignment horizontal="right" indent="1"/>
    </xf>
    <xf numFmtId="42" fontId="5" fillId="10" borderId="23" xfId="2" applyNumberFormat="1" applyFont="1" applyFill="1" applyBorder="1" applyAlignment="1">
      <alignment horizontal="right" indent="1"/>
    </xf>
    <xf numFmtId="42" fontId="5" fillId="10" borderId="67" xfId="2" applyNumberFormat="1" applyFont="1" applyFill="1" applyBorder="1" applyAlignment="1">
      <alignment horizontal="right" indent="1"/>
    </xf>
    <xf numFmtId="42" fontId="5" fillId="11" borderId="22" xfId="2" applyNumberFormat="1" applyFont="1" applyFill="1" applyBorder="1" applyAlignment="1">
      <alignment horizontal="right" indent="1"/>
    </xf>
    <xf numFmtId="42" fontId="5" fillId="11" borderId="23" xfId="2" applyNumberFormat="1" applyFont="1" applyFill="1" applyBorder="1" applyAlignment="1">
      <alignment horizontal="right" indent="1"/>
    </xf>
    <xf numFmtId="42" fontId="5" fillId="11" borderId="67" xfId="2" applyNumberFormat="1" applyFont="1" applyFill="1" applyBorder="1" applyAlignment="1">
      <alignment horizontal="right" indent="1"/>
    </xf>
    <xf numFmtId="42" fontId="5" fillId="12" borderId="22" xfId="2" applyNumberFormat="1" applyFont="1" applyFill="1" applyBorder="1" applyAlignment="1">
      <alignment horizontal="right" indent="1"/>
    </xf>
    <xf numFmtId="42" fontId="5" fillId="12" borderId="23" xfId="2" applyNumberFormat="1" applyFont="1" applyFill="1" applyBorder="1" applyAlignment="1">
      <alignment horizontal="right" indent="1"/>
    </xf>
    <xf numFmtId="42" fontId="5" fillId="12" borderId="67" xfId="2" applyNumberFormat="1" applyFont="1" applyFill="1" applyBorder="1" applyAlignment="1">
      <alignment horizontal="right" indent="1"/>
    </xf>
    <xf numFmtId="42" fontId="12" fillId="0" borderId="0" xfId="2" applyNumberFormat="1" applyFont="1" applyBorder="1"/>
    <xf numFmtId="42" fontId="5" fillId="0" borderId="20" xfId="2" applyNumberFormat="1" applyFont="1" applyFill="1" applyBorder="1" applyAlignment="1">
      <alignment horizontal="right" indent="1"/>
    </xf>
    <xf numFmtId="42" fontId="5" fillId="0" borderId="21" xfId="2" applyNumberFormat="1" applyFont="1" applyFill="1" applyBorder="1" applyAlignment="1">
      <alignment horizontal="right" indent="1"/>
    </xf>
    <xf numFmtId="165" fontId="5" fillId="3" borderId="22" xfId="2" applyNumberFormat="1" applyFont="1" applyFill="1" applyBorder="1"/>
    <xf numFmtId="165" fontId="5" fillId="3" borderId="23" xfId="2" applyNumberFormat="1" applyFont="1" applyFill="1" applyBorder="1"/>
    <xf numFmtId="165" fontId="5" fillId="3" borderId="24" xfId="2" applyNumberFormat="1" applyFont="1" applyFill="1" applyBorder="1"/>
    <xf numFmtId="42" fontId="5" fillId="4" borderId="25" xfId="2" applyNumberFormat="1" applyFont="1" applyFill="1" applyBorder="1"/>
    <xf numFmtId="42" fontId="5" fillId="6" borderId="22" xfId="2" applyNumberFormat="1" applyFont="1" applyFill="1" applyBorder="1"/>
    <xf numFmtId="42" fontId="5" fillId="6" borderId="23" xfId="2" applyNumberFormat="1" applyFont="1" applyFill="1" applyBorder="1"/>
    <xf numFmtId="42" fontId="5" fillId="6" borderId="67" xfId="2" applyNumberFormat="1" applyFont="1" applyFill="1" applyBorder="1"/>
    <xf numFmtId="42" fontId="5" fillId="7" borderId="22" xfId="2" applyNumberFormat="1" applyFont="1" applyFill="1" applyBorder="1"/>
    <xf numFmtId="42" fontId="5" fillId="7" borderId="23" xfId="2" applyNumberFormat="1" applyFont="1" applyFill="1" applyBorder="1"/>
    <xf numFmtId="42" fontId="5" fillId="7" borderId="24" xfId="2" applyNumberFormat="1" applyFont="1" applyFill="1" applyBorder="1"/>
    <xf numFmtId="42" fontId="5" fillId="10" borderId="22" xfId="2" applyNumberFormat="1" applyFont="1" applyFill="1" applyBorder="1"/>
    <xf numFmtId="42" fontId="5" fillId="10" borderId="23" xfId="2" applyNumberFormat="1" applyFont="1" applyFill="1" applyBorder="1"/>
    <xf numFmtId="42" fontId="5" fillId="10" borderId="24" xfId="2" applyNumberFormat="1" applyFont="1" applyFill="1" applyBorder="1"/>
    <xf numFmtId="42" fontId="5" fillId="11" borderId="22" xfId="2" applyNumberFormat="1" applyFont="1" applyFill="1" applyBorder="1"/>
    <xf numFmtId="42" fontId="5" fillId="11" borderId="23" xfId="2" applyNumberFormat="1" applyFont="1" applyFill="1" applyBorder="1"/>
    <xf numFmtId="42" fontId="5" fillId="11" borderId="24" xfId="2" applyNumberFormat="1" applyFont="1" applyFill="1" applyBorder="1"/>
    <xf numFmtId="42" fontId="5" fillId="12" borderId="22" xfId="2" applyNumberFormat="1" applyFont="1" applyFill="1" applyBorder="1"/>
    <xf numFmtId="42" fontId="5" fillId="12" borderId="23" xfId="2" applyNumberFormat="1" applyFont="1" applyFill="1" applyBorder="1"/>
    <xf numFmtId="42" fontId="5" fillId="12" borderId="67" xfId="2" applyNumberFormat="1" applyFont="1" applyFill="1" applyBorder="1"/>
    <xf numFmtId="42" fontId="5" fillId="0" borderId="58" xfId="2" applyNumberFormat="1" applyFont="1" applyFill="1" applyBorder="1" applyAlignment="1">
      <alignment horizontal="right" indent="1"/>
    </xf>
    <xf numFmtId="42" fontId="5" fillId="0" borderId="59" xfId="2" applyNumberFormat="1" applyFont="1" applyFill="1" applyBorder="1" applyAlignment="1">
      <alignment horizontal="right" indent="1"/>
    </xf>
    <xf numFmtId="165" fontId="5" fillId="3" borderId="60" xfId="2" applyNumberFormat="1" applyFont="1" applyFill="1" applyBorder="1"/>
    <xf numFmtId="165" fontId="5" fillId="3" borderId="61" xfId="2" applyNumberFormat="1" applyFont="1" applyFill="1" applyBorder="1"/>
    <xf numFmtId="165" fontId="5" fillId="3" borderId="62" xfId="2" applyNumberFormat="1" applyFont="1" applyFill="1" applyBorder="1"/>
    <xf numFmtId="42" fontId="5" fillId="4" borderId="63" xfId="2" applyNumberFormat="1" applyFont="1" applyFill="1" applyBorder="1"/>
    <xf numFmtId="42" fontId="5" fillId="5" borderId="65" xfId="2" applyNumberFormat="1" applyFont="1" applyFill="1" applyBorder="1" applyAlignment="1">
      <alignment horizontal="right" indent="1"/>
    </xf>
    <xf numFmtId="42" fontId="5" fillId="4" borderId="63" xfId="2" applyNumberFormat="1" applyFont="1" applyFill="1" applyBorder="1" applyAlignment="1">
      <alignment horizontal="right" indent="1"/>
    </xf>
    <xf numFmtId="42" fontId="5" fillId="6" borderId="65" xfId="2" applyNumberFormat="1" applyFont="1" applyFill="1" applyBorder="1"/>
    <xf numFmtId="42" fontId="5" fillId="7" borderId="62" xfId="2" applyNumberFormat="1" applyFont="1" applyFill="1" applyBorder="1"/>
    <xf numFmtId="42" fontId="5" fillId="4" borderId="62" xfId="2" applyNumberFormat="1" applyFont="1" applyFill="1" applyBorder="1"/>
    <xf numFmtId="42" fontId="5" fillId="18" borderId="61" xfId="2" applyNumberFormat="1" applyFont="1" applyFill="1" applyBorder="1"/>
    <xf numFmtId="42" fontId="5" fillId="9" borderId="64" xfId="2" applyNumberFormat="1" applyFont="1" applyFill="1" applyBorder="1"/>
    <xf numFmtId="42" fontId="5" fillId="10" borderId="65" xfId="2" applyNumberFormat="1" applyFont="1" applyFill="1" applyBorder="1"/>
    <xf numFmtId="42" fontId="5" fillId="11" borderId="65" xfId="2" applyNumberFormat="1" applyFont="1" applyFill="1" applyBorder="1"/>
    <xf numFmtId="42" fontId="5" fillId="12" borderId="61" xfId="2" applyNumberFormat="1" applyFont="1" applyFill="1" applyBorder="1"/>
    <xf numFmtId="42" fontId="5" fillId="12" borderId="65" xfId="2" applyNumberFormat="1" applyFont="1" applyFill="1" applyBorder="1"/>
    <xf numFmtId="42" fontId="5" fillId="0" borderId="5" xfId="2" applyNumberFormat="1" applyFont="1" applyBorder="1" applyAlignment="1">
      <alignment horizontal="right"/>
    </xf>
    <xf numFmtId="42" fontId="5" fillId="0" borderId="40" xfId="2" applyNumberFormat="1" applyFont="1" applyBorder="1" applyAlignment="1">
      <alignment horizontal="right"/>
    </xf>
    <xf numFmtId="165" fontId="2" fillId="3" borderId="40" xfId="2" applyNumberFormat="1" applyFont="1" applyFill="1" applyBorder="1" applyAlignment="1">
      <alignment horizontal="right"/>
    </xf>
    <xf numFmtId="165" fontId="2" fillId="3" borderId="39" xfId="2" applyNumberFormat="1" applyFont="1" applyFill="1" applyBorder="1"/>
    <xf numFmtId="42" fontId="2" fillId="4" borderId="40" xfId="2" applyNumberFormat="1" applyFont="1" applyFill="1" applyBorder="1"/>
    <xf numFmtId="42" fontId="2" fillId="5" borderId="36" xfId="2" applyNumberFormat="1" applyFont="1" applyFill="1" applyBorder="1"/>
    <xf numFmtId="42" fontId="2" fillId="5" borderId="40" xfId="2" applyNumberFormat="1" applyFont="1" applyFill="1" applyBorder="1"/>
    <xf numFmtId="42" fontId="2" fillId="5" borderId="39" xfId="2" applyNumberFormat="1" applyFont="1" applyFill="1" applyBorder="1"/>
    <xf numFmtId="42" fontId="2" fillId="6" borderId="36" xfId="2" applyNumberFormat="1" applyFont="1" applyFill="1" applyBorder="1"/>
    <xf numFmtId="42" fontId="2" fillId="6" borderId="40" xfId="2" applyNumberFormat="1" applyFont="1" applyFill="1" applyBorder="1"/>
    <xf numFmtId="42" fontId="2" fillId="6" borderId="39" xfId="2" applyNumberFormat="1" applyFont="1" applyFill="1" applyBorder="1"/>
    <xf numFmtId="42" fontId="2" fillId="7" borderId="36" xfId="2" applyNumberFormat="1" applyFont="1" applyFill="1" applyBorder="1"/>
    <xf numFmtId="42" fontId="2" fillId="7" borderId="40" xfId="2" applyNumberFormat="1" applyFont="1" applyFill="1" applyBorder="1"/>
    <xf numFmtId="42" fontId="2" fillId="7" borderId="39" xfId="2" applyNumberFormat="1" applyFont="1" applyFill="1" applyBorder="1"/>
    <xf numFmtId="42" fontId="2" fillId="8" borderId="40" xfId="2" applyNumberFormat="1" applyFont="1" applyFill="1" applyBorder="1"/>
    <xf numFmtId="42" fontId="2" fillId="9" borderId="40" xfId="2" applyNumberFormat="1" applyFont="1" applyFill="1" applyBorder="1"/>
    <xf numFmtId="42" fontId="2" fillId="10" borderId="36" xfId="2" applyNumberFormat="1" applyFont="1" applyFill="1" applyBorder="1"/>
    <xf numFmtId="42" fontId="2" fillId="10" borderId="40" xfId="2" applyNumberFormat="1" applyFont="1" applyFill="1" applyBorder="1" applyAlignment="1">
      <alignment horizontal="right"/>
    </xf>
    <xf numFmtId="42" fontId="2" fillId="10" borderId="39" xfId="2" applyNumberFormat="1" applyFont="1" applyFill="1" applyBorder="1"/>
    <xf numFmtId="42" fontId="2" fillId="11" borderId="36" xfId="2" applyNumberFormat="1" applyFont="1" applyFill="1" applyBorder="1"/>
    <xf numFmtId="42" fontId="2" fillId="11" borderId="40" xfId="2" applyNumberFormat="1" applyFont="1" applyFill="1" applyBorder="1" applyAlignment="1">
      <alignment horizontal="right"/>
    </xf>
    <xf numFmtId="42" fontId="2" fillId="11" borderId="39" xfId="2" applyNumberFormat="1" applyFont="1" applyFill="1" applyBorder="1"/>
    <xf numFmtId="42" fontId="2" fillId="12" borderId="36" xfId="2" applyNumberFormat="1" applyFont="1" applyFill="1" applyBorder="1"/>
    <xf numFmtId="42" fontId="2" fillId="12" borderId="40" xfId="2" applyNumberFormat="1" applyFont="1" applyFill="1" applyBorder="1" applyAlignment="1">
      <alignment horizontal="right"/>
    </xf>
    <xf numFmtId="42" fontId="2" fillId="12" borderId="11" xfId="2" applyNumberFormat="1" applyFont="1" applyFill="1" applyBorder="1"/>
    <xf numFmtId="42" fontId="5" fillId="0" borderId="41" xfId="2" applyNumberFormat="1" applyFont="1" applyBorder="1" applyAlignment="1">
      <alignment horizontal="right"/>
    </xf>
    <xf numFmtId="42" fontId="5" fillId="0" borderId="44" xfId="2" applyNumberFormat="1" applyFont="1" applyBorder="1" applyAlignment="1">
      <alignment horizontal="right"/>
    </xf>
    <xf numFmtId="165" fontId="2" fillId="3" borderId="44" xfId="2" applyNumberFormat="1" applyFont="1" applyFill="1" applyBorder="1" applyAlignment="1">
      <alignment horizontal="right"/>
    </xf>
    <xf numFmtId="165" fontId="2" fillId="3" borderId="69" xfId="2" applyNumberFormat="1" applyFont="1" applyFill="1" applyBorder="1"/>
    <xf numFmtId="42" fontId="2" fillId="4" borderId="44" xfId="2" applyNumberFormat="1" applyFont="1" applyFill="1" applyBorder="1"/>
    <xf numFmtId="42" fontId="2" fillId="5" borderId="70" xfId="2" applyNumberFormat="1" applyFont="1" applyFill="1" applyBorder="1"/>
    <xf numFmtId="42" fontId="2" fillId="5" borderId="44" xfId="2" applyNumberFormat="1" applyFont="1" applyFill="1" applyBorder="1"/>
    <xf numFmtId="42" fontId="2" fillId="5" borderId="69" xfId="2" applyNumberFormat="1" applyFont="1" applyFill="1" applyBorder="1"/>
    <xf numFmtId="42" fontId="2" fillId="6" borderId="70" xfId="2" applyNumberFormat="1" applyFont="1" applyFill="1" applyBorder="1"/>
    <xf numFmtId="42" fontId="2" fillId="6" borderId="44" xfId="2" applyNumberFormat="1" applyFont="1" applyFill="1" applyBorder="1"/>
    <xf numFmtId="42" fontId="2" fillId="6" borderId="69" xfId="2" applyNumberFormat="1" applyFont="1" applyFill="1" applyBorder="1"/>
    <xf numFmtId="42" fontId="2" fillId="7" borderId="70" xfId="2" applyNumberFormat="1" applyFont="1" applyFill="1" applyBorder="1"/>
    <xf numFmtId="42" fontId="2" fillId="7" borderId="44" xfId="2" applyNumberFormat="1" applyFont="1" applyFill="1" applyBorder="1"/>
    <xf numFmtId="42" fontId="2" fillId="7" borderId="69" xfId="2" applyNumberFormat="1" applyFont="1" applyFill="1" applyBorder="1"/>
    <xf numFmtId="42" fontId="2" fillId="8" borderId="44" xfId="2" applyNumberFormat="1" applyFont="1" applyFill="1" applyBorder="1"/>
    <xf numFmtId="42" fontId="2" fillId="9" borderId="44" xfId="2" applyNumberFormat="1" applyFont="1" applyFill="1" applyBorder="1"/>
    <xf numFmtId="42" fontId="2" fillId="10" borderId="70" xfId="2" applyNumberFormat="1" applyFont="1" applyFill="1" applyBorder="1"/>
    <xf numFmtId="42" fontId="2" fillId="10" borderId="44" xfId="2" applyNumberFormat="1" applyFont="1" applyFill="1" applyBorder="1" applyAlignment="1">
      <alignment horizontal="right"/>
    </xf>
    <xf numFmtId="42" fontId="2" fillId="10" borderId="69" xfId="2" applyNumberFormat="1" applyFont="1" applyFill="1" applyBorder="1"/>
    <xf numFmtId="42" fontId="2" fillId="11" borderId="70" xfId="2" applyNumberFormat="1" applyFont="1" applyFill="1" applyBorder="1"/>
    <xf numFmtId="42" fontId="2" fillId="11" borderId="44" xfId="2" applyNumberFormat="1" applyFont="1" applyFill="1" applyBorder="1" applyAlignment="1">
      <alignment horizontal="right"/>
    </xf>
    <xf numFmtId="42" fontId="2" fillId="11" borderId="69" xfId="2" applyNumberFormat="1" applyFont="1" applyFill="1" applyBorder="1"/>
    <xf numFmtId="42" fontId="2" fillId="12" borderId="70" xfId="2" applyNumberFormat="1" applyFont="1" applyFill="1" applyBorder="1"/>
    <xf numFmtId="42" fontId="2" fillId="12" borderId="44" xfId="2" applyNumberFormat="1" applyFont="1" applyFill="1" applyBorder="1" applyAlignment="1">
      <alignment horizontal="right"/>
    </xf>
    <xf numFmtId="42" fontId="2" fillId="12" borderId="69" xfId="2" applyNumberFormat="1" applyFont="1" applyFill="1" applyBorder="1"/>
    <xf numFmtId="42" fontId="2" fillId="0" borderId="2" xfId="2" applyNumberFormat="1" applyFont="1" applyBorder="1" applyAlignment="1">
      <alignment horizontal="right"/>
    </xf>
    <xf numFmtId="42" fontId="2" fillId="0" borderId="3" xfId="2" applyNumberFormat="1" applyFont="1" applyBorder="1" applyAlignment="1">
      <alignment horizontal="right"/>
    </xf>
    <xf numFmtId="42" fontId="2" fillId="3" borderId="3" xfId="2" applyNumberFormat="1" applyFont="1" applyFill="1" applyBorder="1"/>
    <xf numFmtId="42" fontId="2" fillId="4" borderId="3" xfId="2" applyNumberFormat="1" applyFont="1" applyFill="1" applyBorder="1"/>
    <xf numFmtId="42" fontId="2" fillId="5" borderId="3" xfId="2" applyNumberFormat="1" applyFont="1" applyFill="1" applyBorder="1"/>
    <xf numFmtId="42" fontId="2" fillId="6" borderId="3" xfId="2" applyNumberFormat="1" applyFont="1" applyFill="1" applyBorder="1"/>
    <xf numFmtId="42" fontId="2" fillId="7" borderId="3" xfId="2" applyNumberFormat="1" applyFont="1" applyFill="1" applyBorder="1"/>
    <xf numFmtId="42" fontId="2" fillId="8" borderId="3" xfId="2" applyNumberFormat="1" applyFont="1" applyFill="1" applyBorder="1"/>
    <xf numFmtId="42" fontId="2" fillId="9" borderId="3" xfId="2" applyNumberFormat="1" applyFont="1" applyFill="1" applyBorder="1"/>
    <xf numFmtId="42" fontId="2" fillId="10" borderId="3" xfId="2" applyNumberFormat="1" applyFont="1" applyFill="1" applyBorder="1"/>
    <xf numFmtId="42" fontId="2" fillId="11" borderId="3" xfId="2" applyNumberFormat="1" applyFont="1" applyFill="1" applyBorder="1"/>
    <xf numFmtId="42" fontId="2" fillId="12" borderId="3" xfId="2" applyNumberFormat="1" applyFont="1" applyFill="1" applyBorder="1"/>
    <xf numFmtId="42" fontId="2" fillId="12" borderId="4" xfId="2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3 2" xfId="4" xr:uid="{D2CC7BFB-A0D0-49A0-886C-57140FA644A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s%20TFS%20CO%20Schools%20FY23%20Proposed%20Amended%20Consolidated%201.11.23%20H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hart%20Examples%20w%20new%20color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roe.sharepoint.com/C/H/Data/EXCEL/9th%20Floor%20Current%209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%20Gold.Master.Bank.5.19.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2084881.sharepoint.com/Users/paugello/Google%20Drive/Finance/Paul's%20Files/Budgeting/FY15/SLA/Real%20Estate%20Scenarios/Bond%20Amortization%20Schedu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-fs-01\csi$\Federal%20Programs\2015-16\Allocation%20Files%20FY16\Post%20Award%201%20Final%20Allocations%20ConApp%20FY16%2011302015%20FINAL%20w%20Summa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-fs-01\csi$_franklin$\PSFU\PSFARUNS\FY18%20Projections\All18Projec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obidart_m/Desktop/Copy%20of%20Post%20Award%201%20Final%20Allocations%20ConApp%20FY16%2011302015%20FINAL%20w%20Summary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9"/>
      <sheetName val="TFS Line Items"/>
      <sheetName val="Master Budgets "/>
      <sheetName val="Network fees"/>
      <sheetName val="Summary of Finance DPE"/>
      <sheetName val="Master Budgets"/>
      <sheetName val="Network Budget"/>
      <sheetName val="Network FY23-FY27  Budget"/>
      <sheetName val="Captial Projects &amp; Expense Spl "/>
      <sheetName val="Network FY23 Staffing"/>
      <sheetName val="AAL Budget"/>
      <sheetName val="AAL FY23-FY27 Budget"/>
      <sheetName val="AAL FY 23 Staffing"/>
      <sheetName val="C2 Budget"/>
      <sheetName val="C2 FY23-FY27 Budget"/>
      <sheetName val="C2 FY23 Staffing"/>
      <sheetName val="C3 Budget"/>
      <sheetName val="C3 FY23-FY27 Budget "/>
      <sheetName val="C3 FY 23 Staffing"/>
      <sheetName val="SHES Budget"/>
      <sheetName val="SHES FY23-FY27 Budget "/>
      <sheetName val="SHES FY23 Staffing "/>
      <sheetName val="Ector Budget"/>
      <sheetName val="Ector FY23-FY27 Budget "/>
      <sheetName val="Ector FY23 Staffing"/>
      <sheetName val="Mendez FY23-FY27 Budget"/>
      <sheetName val="Mendez Budget"/>
      <sheetName val="Mendez FY23 Staffing"/>
      <sheetName val="Leases &amp; Debt"/>
      <sheetName val="Total Debt"/>
      <sheetName val="TX new school FY23-FY27 budget "/>
      <sheetName val="CO new school FY23-FY27 budget "/>
    </sheetNames>
    <sheetDataSet>
      <sheetData sheetId="0"/>
      <sheetData sheetId="1"/>
      <sheetData sheetId="2"/>
      <sheetData sheetId="3">
        <row r="3">
          <cell r="G3">
            <v>1234457.2100000002</v>
          </cell>
        </row>
        <row r="4">
          <cell r="G4">
            <v>186551.63680000001</v>
          </cell>
        </row>
        <row r="5">
          <cell r="G5">
            <v>141054.78960000002</v>
          </cell>
        </row>
        <row r="6">
          <cell r="G6">
            <v>784367.69815589511</v>
          </cell>
        </row>
        <row r="7">
          <cell r="G7">
            <v>444714.8065602837</v>
          </cell>
        </row>
        <row r="8">
          <cell r="G8">
            <v>3874032.82134334</v>
          </cell>
        </row>
      </sheetData>
      <sheetData sheetId="4"/>
      <sheetData sheetId="5"/>
      <sheetData sheetId="6"/>
      <sheetData sheetId="7">
        <row r="5">
          <cell r="D5">
            <v>1700000</v>
          </cell>
        </row>
        <row r="6">
          <cell r="D6">
            <v>0</v>
          </cell>
        </row>
        <row r="7">
          <cell r="D7">
            <v>100000</v>
          </cell>
        </row>
        <row r="8">
          <cell r="D8">
            <v>750000</v>
          </cell>
        </row>
        <row r="9">
          <cell r="D9">
            <v>2500000</v>
          </cell>
        </row>
        <row r="10">
          <cell r="D10">
            <v>300000</v>
          </cell>
        </row>
      </sheetData>
      <sheetData sheetId="8"/>
      <sheetData sheetId="9">
        <row r="30">
          <cell r="K30">
            <v>140000</v>
          </cell>
          <cell r="M30">
            <v>873233.3899999999</v>
          </cell>
        </row>
        <row r="39">
          <cell r="M39">
            <v>98672.24000000002</v>
          </cell>
        </row>
        <row r="41">
          <cell r="D41">
            <v>1442500</v>
          </cell>
          <cell r="M41">
            <v>492825.49</v>
          </cell>
        </row>
      </sheetData>
      <sheetData sheetId="10"/>
      <sheetData sheetId="11"/>
      <sheetData sheetId="12">
        <row r="43">
          <cell r="F43">
            <v>207000</v>
          </cell>
          <cell r="N43">
            <v>68654.843999999997</v>
          </cell>
        </row>
      </sheetData>
      <sheetData sheetId="13"/>
      <sheetData sheetId="14"/>
      <sheetData sheetId="15">
        <row r="26">
          <cell r="F26">
            <v>1339000</v>
          </cell>
          <cell r="N26">
            <v>452192.90800000005</v>
          </cell>
        </row>
        <row r="37">
          <cell r="C37">
            <v>350000</v>
          </cell>
          <cell r="N37">
            <v>115715.23999999999</v>
          </cell>
        </row>
      </sheetData>
      <sheetData sheetId="16"/>
      <sheetData sheetId="17"/>
      <sheetData sheetId="18">
        <row r="29">
          <cell r="F29">
            <v>69000</v>
          </cell>
          <cell r="N29">
            <v>22884.948000000004</v>
          </cell>
        </row>
        <row r="41">
          <cell r="C41">
            <v>380000</v>
          </cell>
          <cell r="N41">
            <v>128534.28799999999</v>
          </cell>
        </row>
      </sheetData>
      <sheetData sheetId="19"/>
      <sheetData sheetId="20"/>
      <sheetData sheetId="21">
        <row r="31">
          <cell r="F31">
            <v>2541000</v>
          </cell>
          <cell r="N31">
            <v>367202.42399999994</v>
          </cell>
        </row>
        <row r="33">
          <cell r="F33">
            <v>144000</v>
          </cell>
          <cell r="N33">
            <v>20030.496000000003</v>
          </cell>
        </row>
        <row r="46">
          <cell r="F46">
            <v>505000</v>
          </cell>
          <cell r="N46">
            <v>70175.335999999996</v>
          </cell>
        </row>
      </sheetData>
      <sheetData sheetId="22"/>
      <sheetData sheetId="23"/>
      <sheetData sheetId="24">
        <row r="30">
          <cell r="F30">
            <v>6057000</v>
          </cell>
          <cell r="N30">
            <v>462390.19680000003</v>
          </cell>
        </row>
        <row r="36">
          <cell r="F36">
            <v>457000</v>
          </cell>
          <cell r="N36">
            <v>34956.353600000002</v>
          </cell>
        </row>
        <row r="49">
          <cell r="F49">
            <v>1225000</v>
          </cell>
          <cell r="N49">
            <v>92792.801599999992</v>
          </cell>
        </row>
      </sheetData>
      <sheetData sheetId="25"/>
      <sheetData sheetId="26"/>
      <sheetData sheetId="27">
        <row r="20">
          <cell r="F20">
            <v>1844000</v>
          </cell>
          <cell r="N20">
            <v>268627.74400000001</v>
          </cell>
        </row>
        <row r="25">
          <cell r="F25">
            <v>248000</v>
          </cell>
          <cell r="N25">
            <v>37316.991999999998</v>
          </cell>
        </row>
        <row r="36">
          <cell r="F36">
            <v>497500</v>
          </cell>
          <cell r="N36">
            <v>77274.907999999996</v>
          </cell>
        </row>
        <row r="47">
          <cell r="F47">
            <v>421000</v>
          </cell>
          <cell r="N47">
            <v>74565.032000000007</v>
          </cell>
        </row>
      </sheetData>
      <sheetData sheetId="28">
        <row r="15">
          <cell r="I15">
            <v>522035</v>
          </cell>
        </row>
        <row r="16">
          <cell r="I16">
            <v>117372</v>
          </cell>
        </row>
      </sheetData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Palette Sequence"/>
      <sheetName val="Table"/>
      <sheetName val="Pie Chart-Currency"/>
      <sheetName val="Pie Chart-Percentage"/>
      <sheetName val="Column Chart-Currency"/>
      <sheetName val="Column Chart-NonCurrency"/>
      <sheetName val="Cluster Chart-Currency"/>
      <sheetName val="Cluster Chart-NonCurrency"/>
      <sheetName val="Scatter"/>
      <sheetName val="Bubble"/>
      <sheetName val="Bridge"/>
      <sheetName val="Stacked Column Chart"/>
      <sheetName val="Two Axis Stacked Column &amp; Line"/>
      <sheetName val="Two Axis- Column &amp; Line"/>
      <sheetName val="Two Axis- Line &amp; Line"/>
      <sheetName val="Harvey Balls"/>
      <sheetName val="Dual Pies"/>
      <sheetName val="Deal Timeline"/>
      <sheetName val="Deal Timeline Horizontal"/>
      <sheetName val="Tiny Calendars 2006"/>
      <sheetName val="Tiny Calendars 2007"/>
      <sheetName val="Tiny Calendars 2008"/>
      <sheetName val="Tiny Calendars 2009"/>
      <sheetName val="Students"/>
      <sheetName val="Enrollment"/>
      <sheetName val="Enrollment (2)"/>
      <sheetName val="Staffing"/>
      <sheetName val="Finance - Legacy"/>
      <sheetName val="Finance - Port SA"/>
      <sheetName val="Finance - Consolidated"/>
      <sheetName val="Philanthropy"/>
      <sheetName val="Sheet1"/>
    </sheetNames>
    <sheetDataSet>
      <sheetData sheetId="0">
        <row r="1">
          <cell r="A1" t="str">
            <v xml:space="preserve">Data </v>
          </cell>
        </row>
      </sheetData>
      <sheetData sheetId="1"/>
      <sheetData sheetId="2">
        <row r="1">
          <cell r="A1" t="str">
            <v xml:space="preserve">Data </v>
          </cell>
          <cell r="B1">
            <v>10.5</v>
          </cell>
        </row>
        <row r="2">
          <cell r="A2" t="str">
            <v xml:space="preserve">Data </v>
          </cell>
          <cell r="B2">
            <v>10.5</v>
          </cell>
        </row>
        <row r="3">
          <cell r="A3" t="str">
            <v xml:space="preserve">Data </v>
          </cell>
          <cell r="B3">
            <v>10.5</v>
          </cell>
        </row>
        <row r="4">
          <cell r="A4" t="str">
            <v xml:space="preserve">Data </v>
          </cell>
          <cell r="B4">
            <v>10.5</v>
          </cell>
        </row>
        <row r="5">
          <cell r="A5" t="str">
            <v xml:space="preserve">Data </v>
          </cell>
          <cell r="B5">
            <v>10.5</v>
          </cell>
        </row>
        <row r="6">
          <cell r="A6" t="str">
            <v xml:space="preserve">Data </v>
          </cell>
          <cell r="B6">
            <v>10.5</v>
          </cell>
        </row>
        <row r="7">
          <cell r="A7" t="str">
            <v xml:space="preserve">Data </v>
          </cell>
          <cell r="B7">
            <v>10.5</v>
          </cell>
        </row>
        <row r="8">
          <cell r="A8" t="str">
            <v xml:space="preserve">Data </v>
          </cell>
          <cell r="B8">
            <v>10.5</v>
          </cell>
        </row>
        <row r="9">
          <cell r="A9" t="str">
            <v xml:space="preserve">Data </v>
          </cell>
          <cell r="B9">
            <v>10.5</v>
          </cell>
        </row>
        <row r="10">
          <cell r="A10" t="str">
            <v xml:space="preserve">Data </v>
          </cell>
          <cell r="B10">
            <v>10.5</v>
          </cell>
        </row>
        <row r="11">
          <cell r="A11" t="str">
            <v xml:space="preserve">Data </v>
          </cell>
          <cell r="B11">
            <v>10.5</v>
          </cell>
        </row>
        <row r="12">
          <cell r="A12" t="str">
            <v xml:space="preserve">Data </v>
          </cell>
          <cell r="B12">
            <v>10.5</v>
          </cell>
        </row>
        <row r="13">
          <cell r="A13" t="str">
            <v xml:space="preserve">Data </v>
          </cell>
          <cell r="B13">
            <v>10.5</v>
          </cell>
        </row>
        <row r="14">
          <cell r="A14" t="str">
            <v xml:space="preserve">Data </v>
          </cell>
          <cell r="B14">
            <v>10.5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B2">
            <v>2007</v>
          </cell>
        </row>
      </sheetData>
      <sheetData sheetId="20">
        <row r="2">
          <cell r="B2">
            <v>2007</v>
          </cell>
        </row>
        <row r="4">
          <cell r="B4" t="str">
            <v>January</v>
          </cell>
          <cell r="M4">
            <v>2007</v>
          </cell>
          <cell r="R4" t="str">
            <v>February</v>
          </cell>
          <cell r="AC4">
            <v>2007</v>
          </cell>
          <cell r="AH4" t="str">
            <v xml:space="preserve">March </v>
          </cell>
          <cell r="AS4">
            <v>2007</v>
          </cell>
        </row>
        <row r="6">
          <cell r="B6" t="str">
            <v>S</v>
          </cell>
          <cell r="D6" t="str">
            <v>M</v>
          </cell>
          <cell r="F6" t="str">
            <v>T</v>
          </cell>
          <cell r="H6" t="str">
            <v>W</v>
          </cell>
          <cell r="J6" t="str">
            <v>T</v>
          </cell>
          <cell r="L6" t="str">
            <v>F</v>
          </cell>
          <cell r="N6" t="str">
            <v>S</v>
          </cell>
          <cell r="R6" t="str">
            <v>S</v>
          </cell>
          <cell r="T6" t="str">
            <v>M</v>
          </cell>
          <cell r="V6" t="str">
            <v>T</v>
          </cell>
          <cell r="X6" t="str">
            <v>W</v>
          </cell>
          <cell r="Z6" t="str">
            <v>T</v>
          </cell>
          <cell r="AB6" t="str">
            <v>F</v>
          </cell>
          <cell r="AD6" t="str">
            <v>S</v>
          </cell>
          <cell r="AH6" t="str">
            <v>S</v>
          </cell>
          <cell r="AJ6" t="str">
            <v>M</v>
          </cell>
          <cell r="AL6" t="str">
            <v>T</v>
          </cell>
          <cell r="AN6" t="str">
            <v>W</v>
          </cell>
          <cell r="AP6" t="str">
            <v>T</v>
          </cell>
          <cell r="AR6" t="str">
            <v>F</v>
          </cell>
          <cell r="AT6" t="str">
            <v>S</v>
          </cell>
        </row>
        <row r="7">
          <cell r="D7">
            <v>1</v>
          </cell>
          <cell r="F7">
            <v>2</v>
          </cell>
          <cell r="H7">
            <v>3</v>
          </cell>
          <cell r="J7">
            <v>4</v>
          </cell>
          <cell r="L7">
            <v>5</v>
          </cell>
          <cell r="N7">
            <v>6</v>
          </cell>
          <cell r="Z7">
            <v>1</v>
          </cell>
          <cell r="AB7">
            <v>2</v>
          </cell>
          <cell r="AD7">
            <v>3</v>
          </cell>
          <cell r="AP7">
            <v>1</v>
          </cell>
          <cell r="AR7">
            <v>2</v>
          </cell>
          <cell r="AT7">
            <v>3</v>
          </cell>
        </row>
        <row r="8">
          <cell r="B8">
            <v>7</v>
          </cell>
          <cell r="D8">
            <v>8</v>
          </cell>
          <cell r="F8">
            <v>9</v>
          </cell>
          <cell r="H8">
            <v>10</v>
          </cell>
          <cell r="J8">
            <v>11</v>
          </cell>
          <cell r="L8">
            <v>12</v>
          </cell>
          <cell r="N8">
            <v>13</v>
          </cell>
          <cell r="R8">
            <v>4</v>
          </cell>
          <cell r="T8">
            <v>5</v>
          </cell>
          <cell r="V8">
            <v>6</v>
          </cell>
          <cell r="X8">
            <v>7</v>
          </cell>
          <cell r="Z8">
            <v>8</v>
          </cell>
          <cell r="AB8">
            <v>9</v>
          </cell>
          <cell r="AD8">
            <v>10</v>
          </cell>
          <cell r="AH8">
            <v>4</v>
          </cell>
          <cell r="AJ8">
            <v>5</v>
          </cell>
          <cell r="AL8">
            <v>6</v>
          </cell>
          <cell r="AN8">
            <v>7</v>
          </cell>
          <cell r="AP8">
            <v>8</v>
          </cell>
          <cell r="AR8">
            <v>9</v>
          </cell>
          <cell r="AT8">
            <v>10</v>
          </cell>
        </row>
        <row r="9">
          <cell r="B9">
            <v>14</v>
          </cell>
          <cell r="D9">
            <v>15</v>
          </cell>
          <cell r="F9">
            <v>16</v>
          </cell>
          <cell r="H9">
            <v>17</v>
          </cell>
          <cell r="J9">
            <v>18</v>
          </cell>
          <cell r="L9">
            <v>19</v>
          </cell>
          <cell r="N9">
            <v>20</v>
          </cell>
          <cell r="R9">
            <v>11</v>
          </cell>
          <cell r="T9">
            <v>12</v>
          </cell>
          <cell r="V9">
            <v>13</v>
          </cell>
          <cell r="X9">
            <v>14</v>
          </cell>
          <cell r="Z9">
            <v>15</v>
          </cell>
          <cell r="AB9">
            <v>16</v>
          </cell>
          <cell r="AD9">
            <v>17</v>
          </cell>
          <cell r="AH9">
            <v>11</v>
          </cell>
          <cell r="AJ9">
            <v>12</v>
          </cell>
          <cell r="AL9">
            <v>13</v>
          </cell>
          <cell r="AN9">
            <v>14</v>
          </cell>
          <cell r="AP9">
            <v>15</v>
          </cell>
          <cell r="AR9">
            <v>16</v>
          </cell>
          <cell r="AT9">
            <v>17</v>
          </cell>
        </row>
        <row r="10">
          <cell r="B10">
            <v>21</v>
          </cell>
          <cell r="D10">
            <v>22</v>
          </cell>
          <cell r="F10">
            <v>23</v>
          </cell>
          <cell r="H10">
            <v>24</v>
          </cell>
          <cell r="J10">
            <v>25</v>
          </cell>
          <cell r="L10">
            <v>26</v>
          </cell>
          <cell r="N10">
            <v>27</v>
          </cell>
          <cell r="R10">
            <v>18</v>
          </cell>
          <cell r="T10">
            <v>19</v>
          </cell>
          <cell r="V10">
            <v>20</v>
          </cell>
          <cell r="X10">
            <v>21</v>
          </cell>
          <cell r="Z10">
            <v>22</v>
          </cell>
          <cell r="AB10">
            <v>23</v>
          </cell>
          <cell r="AD10">
            <v>24</v>
          </cell>
          <cell r="AH10">
            <v>18</v>
          </cell>
          <cell r="AJ10">
            <v>19</v>
          </cell>
          <cell r="AL10">
            <v>20</v>
          </cell>
          <cell r="AN10">
            <v>21</v>
          </cell>
          <cell r="AP10">
            <v>22</v>
          </cell>
          <cell r="AR10">
            <v>23</v>
          </cell>
          <cell r="AT10">
            <v>24</v>
          </cell>
        </row>
        <row r="11">
          <cell r="B11">
            <v>28</v>
          </cell>
          <cell r="D11">
            <v>29</v>
          </cell>
          <cell r="F11">
            <v>30</v>
          </cell>
          <cell r="H11">
            <v>31</v>
          </cell>
          <cell r="R11">
            <v>25</v>
          </cell>
          <cell r="T11">
            <v>26</v>
          </cell>
          <cell r="V11">
            <v>27</v>
          </cell>
          <cell r="X11">
            <v>28</v>
          </cell>
          <cell r="AH11">
            <v>25</v>
          </cell>
          <cell r="AJ11">
            <v>26</v>
          </cell>
          <cell r="AL11">
            <v>27</v>
          </cell>
          <cell r="AN11">
            <v>28</v>
          </cell>
          <cell r="AP11">
            <v>29</v>
          </cell>
          <cell r="AR11">
            <v>30</v>
          </cell>
          <cell r="AT11">
            <v>31</v>
          </cell>
        </row>
        <row r="15">
          <cell r="B15" t="str">
            <v>April</v>
          </cell>
          <cell r="M15">
            <v>2007</v>
          </cell>
          <cell r="R15" t="str">
            <v>May</v>
          </cell>
          <cell r="AC15">
            <v>2007</v>
          </cell>
          <cell r="AH15" t="str">
            <v>June</v>
          </cell>
          <cell r="AS15">
            <v>2007</v>
          </cell>
        </row>
        <row r="17">
          <cell r="B17" t="str">
            <v>S</v>
          </cell>
          <cell r="D17" t="str">
            <v>M</v>
          </cell>
          <cell r="F17" t="str">
            <v>T</v>
          </cell>
          <cell r="H17" t="str">
            <v>W</v>
          </cell>
          <cell r="J17" t="str">
            <v>T</v>
          </cell>
          <cell r="L17" t="str">
            <v>F</v>
          </cell>
          <cell r="N17" t="str">
            <v>S</v>
          </cell>
          <cell r="R17" t="str">
            <v>S</v>
          </cell>
          <cell r="T17" t="str">
            <v>M</v>
          </cell>
          <cell r="V17" t="str">
            <v>T</v>
          </cell>
          <cell r="X17" t="str">
            <v>W</v>
          </cell>
          <cell r="Z17" t="str">
            <v>T</v>
          </cell>
          <cell r="AB17" t="str">
            <v>F</v>
          </cell>
          <cell r="AD17" t="str">
            <v>S</v>
          </cell>
          <cell r="AH17" t="str">
            <v>S</v>
          </cell>
          <cell r="AJ17" t="str">
            <v>M</v>
          </cell>
          <cell r="AL17" t="str">
            <v>T</v>
          </cell>
          <cell r="AN17" t="str">
            <v>W</v>
          </cell>
          <cell r="AP17" t="str">
            <v>T</v>
          </cell>
          <cell r="AR17" t="str">
            <v>F</v>
          </cell>
          <cell r="AT17" t="str">
            <v>S</v>
          </cell>
        </row>
        <row r="18">
          <cell r="B18">
            <v>1</v>
          </cell>
          <cell r="D18">
            <v>2</v>
          </cell>
          <cell r="F18">
            <v>3</v>
          </cell>
          <cell r="H18">
            <v>4</v>
          </cell>
          <cell r="J18">
            <v>5</v>
          </cell>
          <cell r="L18">
            <v>6</v>
          </cell>
          <cell r="N18">
            <v>7</v>
          </cell>
          <cell r="V18">
            <v>1</v>
          </cell>
          <cell r="X18">
            <v>2</v>
          </cell>
          <cell r="Z18">
            <v>3</v>
          </cell>
          <cell r="AB18">
            <v>4</v>
          </cell>
          <cell r="AD18">
            <v>5</v>
          </cell>
          <cell r="AR18">
            <v>1</v>
          </cell>
          <cell r="AT18">
            <v>2</v>
          </cell>
        </row>
        <row r="19">
          <cell r="B19">
            <v>8</v>
          </cell>
          <cell r="D19">
            <v>9</v>
          </cell>
          <cell r="F19">
            <v>10</v>
          </cell>
          <cell r="H19">
            <v>11</v>
          </cell>
          <cell r="J19">
            <v>12</v>
          </cell>
          <cell r="L19">
            <v>13</v>
          </cell>
          <cell r="N19">
            <v>14</v>
          </cell>
          <cell r="R19">
            <v>6</v>
          </cell>
          <cell r="T19">
            <v>7</v>
          </cell>
          <cell r="V19">
            <v>8</v>
          </cell>
          <cell r="X19">
            <v>9</v>
          </cell>
          <cell r="Z19">
            <v>10</v>
          </cell>
          <cell r="AB19">
            <v>11</v>
          </cell>
          <cell r="AD19">
            <v>12</v>
          </cell>
          <cell r="AH19">
            <v>3</v>
          </cell>
          <cell r="AJ19">
            <v>4</v>
          </cell>
          <cell r="AL19">
            <v>5</v>
          </cell>
          <cell r="AN19">
            <v>6</v>
          </cell>
          <cell r="AP19">
            <v>7</v>
          </cell>
          <cell r="AR19">
            <v>8</v>
          </cell>
          <cell r="AT19">
            <v>9</v>
          </cell>
        </row>
        <row r="20">
          <cell r="B20">
            <v>15</v>
          </cell>
          <cell r="D20">
            <v>16</v>
          </cell>
          <cell r="F20">
            <v>17</v>
          </cell>
          <cell r="H20">
            <v>18</v>
          </cell>
          <cell r="J20">
            <v>19</v>
          </cell>
          <cell r="L20">
            <v>20</v>
          </cell>
          <cell r="N20">
            <v>21</v>
          </cell>
          <cell r="R20">
            <v>13</v>
          </cell>
          <cell r="T20">
            <v>14</v>
          </cell>
          <cell r="V20">
            <v>15</v>
          </cell>
          <cell r="X20">
            <v>16</v>
          </cell>
          <cell r="Z20">
            <v>17</v>
          </cell>
          <cell r="AB20">
            <v>18</v>
          </cell>
          <cell r="AD20">
            <v>19</v>
          </cell>
          <cell r="AH20">
            <v>10</v>
          </cell>
          <cell r="AJ20">
            <v>11</v>
          </cell>
          <cell r="AL20">
            <v>12</v>
          </cell>
          <cell r="AN20">
            <v>13</v>
          </cell>
          <cell r="AP20">
            <v>14</v>
          </cell>
          <cell r="AR20">
            <v>15</v>
          </cell>
          <cell r="AT20">
            <v>16</v>
          </cell>
        </row>
        <row r="21">
          <cell r="B21">
            <v>22</v>
          </cell>
          <cell r="D21">
            <v>23</v>
          </cell>
          <cell r="F21">
            <v>24</v>
          </cell>
          <cell r="H21">
            <v>25</v>
          </cell>
          <cell r="J21">
            <v>26</v>
          </cell>
          <cell r="L21">
            <v>27</v>
          </cell>
          <cell r="N21">
            <v>28</v>
          </cell>
          <cell r="R21">
            <v>20</v>
          </cell>
          <cell r="T21">
            <v>21</v>
          </cell>
          <cell r="V21">
            <v>22</v>
          </cell>
          <cell r="X21">
            <v>23</v>
          </cell>
          <cell r="Z21">
            <v>24</v>
          </cell>
          <cell r="AB21">
            <v>25</v>
          </cell>
          <cell r="AD21">
            <v>26</v>
          </cell>
          <cell r="AH21">
            <v>17</v>
          </cell>
          <cell r="AJ21">
            <v>18</v>
          </cell>
          <cell r="AL21">
            <v>19</v>
          </cell>
          <cell r="AN21">
            <v>20</v>
          </cell>
          <cell r="AP21">
            <v>21</v>
          </cell>
          <cell r="AR21">
            <v>22</v>
          </cell>
          <cell r="AT21">
            <v>23</v>
          </cell>
        </row>
        <row r="22">
          <cell r="B22">
            <v>29</v>
          </cell>
          <cell r="D22">
            <v>30</v>
          </cell>
          <cell r="O22">
            <v>1</v>
          </cell>
          <cell r="R22">
            <v>27</v>
          </cell>
          <cell r="T22">
            <v>28</v>
          </cell>
          <cell r="V22">
            <v>29</v>
          </cell>
          <cell r="X22">
            <v>30</v>
          </cell>
          <cell r="Z22">
            <v>31</v>
          </cell>
          <cell r="AH22">
            <v>24</v>
          </cell>
          <cell r="AJ22">
            <v>25</v>
          </cell>
          <cell r="AL22">
            <v>26</v>
          </cell>
          <cell r="AN22">
            <v>27</v>
          </cell>
          <cell r="AP22">
            <v>28</v>
          </cell>
          <cell r="AR22">
            <v>29</v>
          </cell>
          <cell r="AT22">
            <v>30</v>
          </cell>
        </row>
        <row r="26">
          <cell r="B26" t="str">
            <v>July</v>
          </cell>
          <cell r="M26">
            <v>2007</v>
          </cell>
          <cell r="R26" t="str">
            <v>August</v>
          </cell>
          <cell r="AC26">
            <v>2007</v>
          </cell>
          <cell r="AH26" t="str">
            <v>September</v>
          </cell>
          <cell r="AS26">
            <v>2007</v>
          </cell>
        </row>
        <row r="28">
          <cell r="B28" t="str">
            <v>S</v>
          </cell>
          <cell r="D28" t="str">
            <v>M</v>
          </cell>
          <cell r="F28" t="str">
            <v>T</v>
          </cell>
          <cell r="H28" t="str">
            <v>W</v>
          </cell>
          <cell r="J28" t="str">
            <v>T</v>
          </cell>
          <cell r="L28" t="str">
            <v>F</v>
          </cell>
          <cell r="N28" t="str">
            <v>S</v>
          </cell>
          <cell r="R28" t="str">
            <v>S</v>
          </cell>
          <cell r="T28" t="str">
            <v>M</v>
          </cell>
          <cell r="V28" t="str">
            <v>T</v>
          </cell>
          <cell r="X28" t="str">
            <v>W</v>
          </cell>
          <cell r="Z28" t="str">
            <v>T</v>
          </cell>
          <cell r="AB28" t="str">
            <v>F</v>
          </cell>
          <cell r="AD28" t="str">
            <v>S</v>
          </cell>
          <cell r="AH28" t="str">
            <v>S</v>
          </cell>
          <cell r="AJ28" t="str">
            <v>M</v>
          </cell>
          <cell r="AL28" t="str">
            <v>T</v>
          </cell>
          <cell r="AN28" t="str">
            <v>W</v>
          </cell>
          <cell r="AP28" t="str">
            <v>T</v>
          </cell>
          <cell r="AR28" t="str">
            <v>F</v>
          </cell>
          <cell r="AT28" t="str">
            <v>S</v>
          </cell>
        </row>
        <row r="29">
          <cell r="B29">
            <v>1</v>
          </cell>
          <cell r="D29">
            <v>2</v>
          </cell>
          <cell r="F29">
            <v>3</v>
          </cell>
          <cell r="H29">
            <v>4</v>
          </cell>
          <cell r="J29">
            <v>5</v>
          </cell>
          <cell r="L29">
            <v>6</v>
          </cell>
          <cell r="N29">
            <v>7</v>
          </cell>
          <cell r="X29">
            <v>1</v>
          </cell>
          <cell r="Z29">
            <v>2</v>
          </cell>
          <cell r="AB29">
            <v>3</v>
          </cell>
          <cell r="AD29">
            <v>4</v>
          </cell>
          <cell r="AT29">
            <v>1</v>
          </cell>
        </row>
        <row r="30">
          <cell r="B30">
            <v>8</v>
          </cell>
          <cell r="D30">
            <v>9</v>
          </cell>
          <cell r="F30">
            <v>10</v>
          </cell>
          <cell r="H30">
            <v>11</v>
          </cell>
          <cell r="J30">
            <v>12</v>
          </cell>
          <cell r="L30">
            <v>13</v>
          </cell>
          <cell r="N30">
            <v>14</v>
          </cell>
          <cell r="R30">
            <v>5</v>
          </cell>
          <cell r="T30">
            <v>6</v>
          </cell>
          <cell r="V30">
            <v>7</v>
          </cell>
          <cell r="X30">
            <v>8</v>
          </cell>
          <cell r="Z30">
            <v>9</v>
          </cell>
          <cell r="AB30">
            <v>10</v>
          </cell>
          <cell r="AD30">
            <v>11</v>
          </cell>
          <cell r="AH30">
            <v>2</v>
          </cell>
          <cell r="AJ30">
            <v>3</v>
          </cell>
          <cell r="AL30">
            <v>4</v>
          </cell>
          <cell r="AN30">
            <v>5</v>
          </cell>
          <cell r="AP30">
            <v>6</v>
          </cell>
          <cell r="AR30">
            <v>7</v>
          </cell>
          <cell r="AT30">
            <v>8</v>
          </cell>
        </row>
        <row r="31">
          <cell r="B31">
            <v>15</v>
          </cell>
          <cell r="D31">
            <v>16</v>
          </cell>
          <cell r="F31">
            <v>17</v>
          </cell>
          <cell r="H31">
            <v>18</v>
          </cell>
          <cell r="J31">
            <v>19</v>
          </cell>
          <cell r="L31">
            <v>20</v>
          </cell>
          <cell r="N31">
            <v>21</v>
          </cell>
          <cell r="R31">
            <v>12</v>
          </cell>
          <cell r="T31">
            <v>13</v>
          </cell>
          <cell r="V31">
            <v>14</v>
          </cell>
          <cell r="X31">
            <v>15</v>
          </cell>
          <cell r="Z31">
            <v>16</v>
          </cell>
          <cell r="AB31">
            <v>17</v>
          </cell>
          <cell r="AD31">
            <v>18</v>
          </cell>
          <cell r="AH31">
            <v>9</v>
          </cell>
          <cell r="AJ31">
            <v>10</v>
          </cell>
          <cell r="AL31">
            <v>11</v>
          </cell>
          <cell r="AN31">
            <v>12</v>
          </cell>
          <cell r="AP31">
            <v>13</v>
          </cell>
          <cell r="AR31">
            <v>14</v>
          </cell>
          <cell r="AT31">
            <v>15</v>
          </cell>
        </row>
        <row r="32">
          <cell r="B32">
            <v>22</v>
          </cell>
          <cell r="D32">
            <v>23</v>
          </cell>
          <cell r="F32">
            <v>24</v>
          </cell>
          <cell r="H32">
            <v>25</v>
          </cell>
          <cell r="J32">
            <v>26</v>
          </cell>
          <cell r="L32">
            <v>27</v>
          </cell>
          <cell r="N32">
            <v>28</v>
          </cell>
          <cell r="R32">
            <v>19</v>
          </cell>
          <cell r="T32">
            <v>20</v>
          </cell>
          <cell r="V32">
            <v>21</v>
          </cell>
          <cell r="X32">
            <v>22</v>
          </cell>
          <cell r="Z32">
            <v>23</v>
          </cell>
          <cell r="AB32">
            <v>24</v>
          </cell>
          <cell r="AD32">
            <v>25</v>
          </cell>
          <cell r="AH32">
            <v>16</v>
          </cell>
          <cell r="AJ32">
            <v>17</v>
          </cell>
          <cell r="AL32">
            <v>18</v>
          </cell>
          <cell r="AN32">
            <v>19</v>
          </cell>
          <cell r="AP32">
            <v>20</v>
          </cell>
          <cell r="AR32">
            <v>21</v>
          </cell>
          <cell r="AT32">
            <v>22</v>
          </cell>
        </row>
        <row r="33">
          <cell r="B33">
            <v>29</v>
          </cell>
          <cell r="D33">
            <v>30</v>
          </cell>
          <cell r="F33">
            <v>31</v>
          </cell>
          <cell r="R33">
            <v>26</v>
          </cell>
          <cell r="T33">
            <v>27</v>
          </cell>
          <cell r="V33">
            <v>28</v>
          </cell>
          <cell r="X33">
            <v>29</v>
          </cell>
          <cell r="Z33">
            <v>30</v>
          </cell>
          <cell r="AB33">
            <v>31</v>
          </cell>
          <cell r="AH33" t="str">
            <v>23/30</v>
          </cell>
          <cell r="AJ33">
            <v>24</v>
          </cell>
          <cell r="AL33">
            <v>25</v>
          </cell>
          <cell r="AN33">
            <v>26</v>
          </cell>
          <cell r="AP33">
            <v>27</v>
          </cell>
          <cell r="AR33">
            <v>28</v>
          </cell>
          <cell r="AT33">
            <v>29</v>
          </cell>
        </row>
        <row r="37">
          <cell r="B37" t="str">
            <v>October</v>
          </cell>
          <cell r="M37">
            <v>2007</v>
          </cell>
          <cell r="R37" t="str">
            <v>November</v>
          </cell>
          <cell r="AC37">
            <v>2007</v>
          </cell>
          <cell r="AH37" t="str">
            <v>December</v>
          </cell>
          <cell r="AS37">
            <v>2007</v>
          </cell>
        </row>
        <row r="39">
          <cell r="B39" t="str">
            <v>S</v>
          </cell>
          <cell r="D39" t="str">
            <v>M</v>
          </cell>
          <cell r="F39" t="str">
            <v>T</v>
          </cell>
          <cell r="H39" t="str">
            <v>W</v>
          </cell>
          <cell r="J39" t="str">
            <v>T</v>
          </cell>
          <cell r="L39" t="str">
            <v>F</v>
          </cell>
          <cell r="N39" t="str">
            <v>S</v>
          </cell>
          <cell r="R39" t="str">
            <v>S</v>
          </cell>
          <cell r="T39" t="str">
            <v>M</v>
          </cell>
          <cell r="V39" t="str">
            <v>T</v>
          </cell>
          <cell r="X39" t="str">
            <v>W</v>
          </cell>
          <cell r="Z39" t="str">
            <v>T</v>
          </cell>
          <cell r="AB39" t="str">
            <v>F</v>
          </cell>
          <cell r="AD39" t="str">
            <v>S</v>
          </cell>
          <cell r="AH39" t="str">
            <v>S</v>
          </cell>
          <cell r="AJ39" t="str">
            <v>M</v>
          </cell>
          <cell r="AL39" t="str">
            <v>T</v>
          </cell>
          <cell r="AN39" t="str">
            <v>W</v>
          </cell>
          <cell r="AP39" t="str">
            <v>T</v>
          </cell>
          <cell r="AR39" t="str">
            <v>F</v>
          </cell>
          <cell r="AT39" t="str">
            <v>S</v>
          </cell>
        </row>
        <row r="40">
          <cell r="D40">
            <v>1</v>
          </cell>
          <cell r="F40">
            <v>2</v>
          </cell>
          <cell r="H40">
            <v>3</v>
          </cell>
          <cell r="J40">
            <v>4</v>
          </cell>
          <cell r="L40">
            <v>5</v>
          </cell>
          <cell r="N40">
            <v>6</v>
          </cell>
          <cell r="Z40">
            <v>1</v>
          </cell>
          <cell r="AB40">
            <v>2</v>
          </cell>
          <cell r="AD40">
            <v>3</v>
          </cell>
          <cell r="AT40">
            <v>1</v>
          </cell>
        </row>
        <row r="41">
          <cell r="B41">
            <v>7</v>
          </cell>
          <cell r="D41">
            <v>8</v>
          </cell>
          <cell r="F41">
            <v>9</v>
          </cell>
          <cell r="H41">
            <v>10</v>
          </cell>
          <cell r="J41">
            <v>11</v>
          </cell>
          <cell r="L41">
            <v>12</v>
          </cell>
          <cell r="N41">
            <v>13</v>
          </cell>
          <cell r="R41">
            <v>4</v>
          </cell>
          <cell r="T41">
            <v>5</v>
          </cell>
          <cell r="V41">
            <v>6</v>
          </cell>
          <cell r="X41">
            <v>7</v>
          </cell>
          <cell r="Z41">
            <v>8</v>
          </cell>
          <cell r="AB41">
            <v>9</v>
          </cell>
          <cell r="AD41">
            <v>10</v>
          </cell>
          <cell r="AH41">
            <v>2</v>
          </cell>
          <cell r="AJ41">
            <v>3</v>
          </cell>
          <cell r="AL41">
            <v>4</v>
          </cell>
          <cell r="AN41">
            <v>5</v>
          </cell>
          <cell r="AP41">
            <v>6</v>
          </cell>
          <cell r="AR41">
            <v>7</v>
          </cell>
          <cell r="AT41">
            <v>8</v>
          </cell>
        </row>
        <row r="42">
          <cell r="B42">
            <v>14</v>
          </cell>
          <cell r="D42">
            <v>15</v>
          </cell>
          <cell r="F42">
            <v>16</v>
          </cell>
          <cell r="H42">
            <v>17</v>
          </cell>
          <cell r="J42">
            <v>18</v>
          </cell>
          <cell r="L42">
            <v>19</v>
          </cell>
          <cell r="N42">
            <v>20</v>
          </cell>
          <cell r="R42">
            <v>11</v>
          </cell>
          <cell r="T42">
            <v>12</v>
          </cell>
          <cell r="V42">
            <v>13</v>
          </cell>
          <cell r="X42">
            <v>14</v>
          </cell>
          <cell r="Z42">
            <v>15</v>
          </cell>
          <cell r="AB42">
            <v>16</v>
          </cell>
          <cell r="AD42">
            <v>17</v>
          </cell>
          <cell r="AH42">
            <v>9</v>
          </cell>
          <cell r="AJ42">
            <v>10</v>
          </cell>
          <cell r="AL42">
            <v>11</v>
          </cell>
          <cell r="AN42">
            <v>12</v>
          </cell>
          <cell r="AP42">
            <v>13</v>
          </cell>
          <cell r="AR42">
            <v>14</v>
          </cell>
          <cell r="AT42">
            <v>15</v>
          </cell>
        </row>
        <row r="43">
          <cell r="B43">
            <v>21</v>
          </cell>
          <cell r="D43">
            <v>22</v>
          </cell>
          <cell r="F43">
            <v>23</v>
          </cell>
          <cell r="H43">
            <v>24</v>
          </cell>
          <cell r="J43">
            <v>25</v>
          </cell>
          <cell r="L43">
            <v>26</v>
          </cell>
          <cell r="N43">
            <v>27</v>
          </cell>
          <cell r="R43">
            <v>18</v>
          </cell>
          <cell r="T43">
            <v>19</v>
          </cell>
          <cell r="V43">
            <v>20</v>
          </cell>
          <cell r="X43">
            <v>21</v>
          </cell>
          <cell r="Z43">
            <v>22</v>
          </cell>
          <cell r="AB43">
            <v>23</v>
          </cell>
          <cell r="AD43">
            <v>24</v>
          </cell>
          <cell r="AH43">
            <v>16</v>
          </cell>
          <cell r="AJ43">
            <v>17</v>
          </cell>
          <cell r="AL43">
            <v>18</v>
          </cell>
          <cell r="AN43">
            <v>19</v>
          </cell>
          <cell r="AP43">
            <v>20</v>
          </cell>
          <cell r="AR43">
            <v>21</v>
          </cell>
          <cell r="AT43">
            <v>22</v>
          </cell>
        </row>
        <row r="44">
          <cell r="B44">
            <v>28</v>
          </cell>
          <cell r="D44">
            <v>29</v>
          </cell>
          <cell r="F44">
            <v>30</v>
          </cell>
          <cell r="H44">
            <v>31</v>
          </cell>
          <cell r="R44">
            <v>25</v>
          </cell>
          <cell r="T44">
            <v>26</v>
          </cell>
          <cell r="V44">
            <v>27</v>
          </cell>
          <cell r="X44">
            <v>28</v>
          </cell>
          <cell r="Z44">
            <v>29</v>
          </cell>
          <cell r="AB44">
            <v>30</v>
          </cell>
          <cell r="AH44" t="str">
            <v>23/30</v>
          </cell>
          <cell r="AJ44" t="str">
            <v>24/31</v>
          </cell>
          <cell r="AL44">
            <v>25</v>
          </cell>
          <cell r="AN44">
            <v>26</v>
          </cell>
          <cell r="AP44">
            <v>27</v>
          </cell>
          <cell r="AR44">
            <v>28</v>
          </cell>
          <cell r="AT44">
            <v>29</v>
          </cell>
        </row>
      </sheetData>
      <sheetData sheetId="21"/>
      <sheetData sheetId="22"/>
      <sheetData sheetId="23">
        <row r="1">
          <cell r="A1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9-02"/>
      <sheetName val="9th Floor Current 9-02"/>
      <sheetName val="Assumptions"/>
      <sheetName val="Amort Schedule"/>
      <sheetName val="Input"/>
      <sheetName val="Model"/>
      <sheetName val="Database - Tenant"/>
      <sheetName val="Input (Real Estate)"/>
      <sheetName val="Cash Flow Proforma"/>
      <sheetName val="#REF"/>
      <sheetName val="Pivots"/>
      <sheetName val="Help"/>
      <sheetName val="RR Import"/>
      <sheetName val="Controls"/>
      <sheetName val="Sheet2"/>
      <sheetName val="Summary"/>
      <sheetName val="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ummary"/>
      <sheetName val="Assumptions"/>
      <sheetName val="SQFT Summary"/>
      <sheetName val="Lease Up"/>
      <sheetName val="Sale and IRR"/>
      <sheetName val="PROJECT COSTS"/>
      <sheetName val="Financing"/>
      <sheetName val="Const Loan Int. Calc"/>
      <sheetName val="Draw Schedule"/>
      <sheetName val="Oper Pro Forma"/>
      <sheetName val="RE TAX - 421a"/>
      <sheetName val="Opex Comparison"/>
      <sheetName val="Timeline"/>
      <sheetName val="JV Assumpt."/>
      <sheetName val="Bank Assumpt."/>
      <sheetName val="Project Budget"/>
      <sheetName val="Qualified Costs"/>
      <sheetName val="JV CF"/>
      <sheetName val="JV RE Tax"/>
      <sheetName val="JV Terms"/>
      <sheetName val="Equity Analysis - 10% return"/>
      <sheetName val="JV Returns"/>
      <sheetName val="After-Tax JV Returns"/>
      <sheetName val="Neg Arb NO AFFORDABILITY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Amortization"/>
      <sheetName val="Variables"/>
      <sheetName val="Loan Amortization Schedule"/>
      <sheetName val="Worksheet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itle I Overall"/>
      <sheetName val="Title I School"/>
      <sheetName val="Parent Involvement"/>
      <sheetName val="SES"/>
      <sheetName val="Homeless"/>
      <sheetName val="Title III"/>
      <sheetName val="Title III Set-Aside"/>
      <sheetName val="Title III Set-Aside IMI"/>
      <sheetName val="Sheet1"/>
    </sheetNames>
    <sheetDataSet>
      <sheetData sheetId="0"/>
      <sheetData sheetId="1">
        <row r="9">
          <cell r="C9">
            <v>19812.53</v>
          </cell>
        </row>
      </sheetData>
      <sheetData sheetId="2">
        <row r="11">
          <cell r="A11" t="str">
            <v>YAFA - Middle</v>
          </cell>
        </row>
      </sheetData>
      <sheetData sheetId="3">
        <row r="11">
          <cell r="A11" t="str">
            <v>CLA Elementary</v>
          </cell>
          <cell r="F11">
            <v>1793.8551912568305</v>
          </cell>
        </row>
        <row r="12">
          <cell r="A12" t="str">
            <v>Crown Pointe - Elementary</v>
          </cell>
          <cell r="F12">
            <v>498.2931086824529</v>
          </cell>
        </row>
        <row r="13">
          <cell r="A13" t="str">
            <v>Crown Pointe - Middle</v>
          </cell>
          <cell r="F13">
            <v>390.66179720704309</v>
          </cell>
        </row>
        <row r="14">
          <cell r="A14" t="str">
            <v>ECA - High</v>
          </cell>
          <cell r="F14">
            <v>318.90758955676984</v>
          </cell>
        </row>
        <row r="15">
          <cell r="A15" t="str">
            <v>ECA - Middle</v>
          </cell>
          <cell r="F15">
            <v>267.08510625379478</v>
          </cell>
        </row>
        <row r="16">
          <cell r="A16" t="str">
            <v>Frontier - Elementary</v>
          </cell>
          <cell r="F16">
            <v>99.658621736490588</v>
          </cell>
        </row>
        <row r="17">
          <cell r="A17" t="str">
            <v>Frontier - Middle</v>
          </cell>
          <cell r="F17">
            <v>27.904414086217365</v>
          </cell>
        </row>
        <row r="18">
          <cell r="A18" t="str">
            <v>GVA CS - Elementary</v>
          </cell>
          <cell r="F18">
            <v>681.66497267759553</v>
          </cell>
        </row>
        <row r="19">
          <cell r="A19" t="str">
            <v>GVA CS Middle</v>
          </cell>
          <cell r="F19">
            <v>51.822483302975101</v>
          </cell>
        </row>
        <row r="20">
          <cell r="A20" t="str">
            <v>GVA FC - Elementary</v>
          </cell>
          <cell r="F20">
            <v>582.00635094110498</v>
          </cell>
        </row>
        <row r="21">
          <cell r="A21" t="str">
            <v>GVA FC - Middle</v>
          </cell>
          <cell r="F21">
            <v>35.877103825136608</v>
          </cell>
        </row>
        <row r="22">
          <cell r="A22" t="str">
            <v>High Point Academy - Elementary</v>
          </cell>
          <cell r="F22">
            <v>964.69545840922888</v>
          </cell>
        </row>
        <row r="23">
          <cell r="A23" t="str">
            <v>High Point Academy - Middle</v>
          </cell>
          <cell r="F23">
            <v>398.63448694596235</v>
          </cell>
        </row>
        <row r="24">
          <cell r="A24" t="str">
            <v>JICA</v>
          </cell>
          <cell r="F24">
            <v>593.96538554948393</v>
          </cell>
        </row>
        <row r="25">
          <cell r="A25" t="str">
            <v>Magon - Elementary</v>
          </cell>
          <cell r="F25">
            <v>876.99587128111716</v>
          </cell>
        </row>
        <row r="26">
          <cell r="A26" t="str">
            <v>Magon - Middle</v>
          </cell>
          <cell r="F26">
            <v>342.82565877352761</v>
          </cell>
        </row>
        <row r="27">
          <cell r="A27" t="str">
            <v>Montessori del Mundo</v>
          </cell>
          <cell r="F27">
            <v>378.70276259866421</v>
          </cell>
        </row>
        <row r="28">
          <cell r="A28" t="str">
            <v>Mountain Song - Middle</v>
          </cell>
          <cell r="F28">
            <v>83.713242258652087</v>
          </cell>
        </row>
        <row r="29">
          <cell r="A29" t="str">
            <v>NAS Lowry</v>
          </cell>
          <cell r="F29">
            <v>1558.6608439587128</v>
          </cell>
        </row>
        <row r="30">
          <cell r="A30" t="str">
            <v>NAS Thornton</v>
          </cell>
          <cell r="F30">
            <v>1307.5211171827564</v>
          </cell>
        </row>
        <row r="31">
          <cell r="A31" t="str">
            <v>New Legacy - High</v>
          </cell>
          <cell r="F31">
            <v>227.22165755919852</v>
          </cell>
        </row>
        <row r="32">
          <cell r="A32" t="str">
            <v>Pikes Peak Prep - Elementary</v>
          </cell>
          <cell r="F32">
            <v>446.47062537947784</v>
          </cell>
        </row>
        <row r="33">
          <cell r="A33" t="str">
            <v>Pikes Peak Prep - High</v>
          </cell>
          <cell r="F33">
            <v>135.5357255616272</v>
          </cell>
        </row>
        <row r="34">
          <cell r="A34" t="str">
            <v>Pikes Peak Prep - Middle</v>
          </cell>
          <cell r="F34">
            <v>195.33089860352155</v>
          </cell>
        </row>
        <row r="35">
          <cell r="A35" t="str">
            <v>Pinnacle Elementary</v>
          </cell>
          <cell r="F35">
            <v>2961.8542380085</v>
          </cell>
        </row>
        <row r="36">
          <cell r="A36" t="str">
            <v>Pinnacle High</v>
          </cell>
          <cell r="F36">
            <v>1407.179738919247</v>
          </cell>
        </row>
        <row r="37">
          <cell r="A37" t="str">
            <v>Pinnacle Middle</v>
          </cell>
          <cell r="F37">
            <v>1431.0978081360047</v>
          </cell>
        </row>
        <row r="38">
          <cell r="A38" t="str">
            <v>Victory Prep High</v>
          </cell>
          <cell r="F38">
            <v>287.01683060109286</v>
          </cell>
        </row>
        <row r="39">
          <cell r="A39" t="str">
            <v>Victory Prep Middle</v>
          </cell>
          <cell r="F39">
            <v>841.11876745598056</v>
          </cell>
        </row>
        <row r="40">
          <cell r="A40" t="str">
            <v>YAFA - High</v>
          </cell>
          <cell r="F40">
            <v>394.64814207650272</v>
          </cell>
        </row>
        <row r="41">
          <cell r="A41" t="str">
            <v>Salida Montessori - Elementary</v>
          </cell>
          <cell r="F41">
            <v>83.713242258652087</v>
          </cell>
        </row>
        <row r="42">
          <cell r="A42" t="str">
            <v>Salida Montessori - Middle</v>
          </cell>
          <cell r="F42">
            <v>31.890758955676986</v>
          </cell>
        </row>
        <row r="43">
          <cell r="A43" t="str">
            <v>YAFA - Middle</v>
          </cell>
          <cell r="F43">
            <v>115.60400121432907</v>
          </cell>
        </row>
      </sheetData>
      <sheetData sheetId="4">
        <row r="21">
          <cell r="A21" t="str">
            <v>NAS Thornton</v>
          </cell>
          <cell r="F21">
            <v>60623.381411764713</v>
          </cell>
        </row>
        <row r="22">
          <cell r="A22" t="str">
            <v>Pinnacle Elementary</v>
          </cell>
          <cell r="F22">
            <v>137326.7450882353</v>
          </cell>
        </row>
      </sheetData>
      <sheetData sheetId="5"/>
      <sheetData sheetId="6">
        <row r="23">
          <cell r="A23" t="str">
            <v>Caprock</v>
          </cell>
        </row>
      </sheetData>
      <sheetData sheetId="7">
        <row r="8">
          <cell r="A8" t="str">
            <v>Caprock</v>
          </cell>
        </row>
      </sheetData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itle I Overall"/>
      <sheetName val="Title I School"/>
      <sheetName val="Parent Involvement"/>
      <sheetName val="SES"/>
      <sheetName val="Homeless"/>
      <sheetName val="Title III"/>
      <sheetName val="Title III Set-Aside"/>
      <sheetName val="Title III Set-Aside IMI"/>
      <sheetName val="Sheet1"/>
    </sheetNames>
    <sheetDataSet>
      <sheetData sheetId="0"/>
      <sheetData sheetId="1" refreshError="1"/>
      <sheetData sheetId="2">
        <row r="11">
          <cell r="A11" t="str">
            <v>CLA Elementary</v>
          </cell>
        </row>
        <row r="12">
          <cell r="A12" t="str">
            <v>Crown Pointe - Elementary</v>
          </cell>
        </row>
        <row r="13">
          <cell r="A13" t="str">
            <v>Crown Pointe - Middle</v>
          </cell>
        </row>
        <row r="14">
          <cell r="A14" t="str">
            <v>ECA - High</v>
          </cell>
        </row>
        <row r="15">
          <cell r="A15" t="str">
            <v>ECA - Middle</v>
          </cell>
        </row>
        <row r="16">
          <cell r="A16" t="str">
            <v>Frontier - Elementary</v>
          </cell>
        </row>
        <row r="17">
          <cell r="A17" t="str">
            <v>Frontier - Middle</v>
          </cell>
        </row>
        <row r="18">
          <cell r="A18" t="str">
            <v>GVA CS - Elementary</v>
          </cell>
        </row>
        <row r="19">
          <cell r="A19" t="str">
            <v>GVA CS Middle</v>
          </cell>
        </row>
        <row r="20">
          <cell r="A20" t="str">
            <v>GVA FC - Elementary</v>
          </cell>
        </row>
        <row r="21">
          <cell r="A21" t="str">
            <v>GVA FC - Middle</v>
          </cell>
        </row>
        <row r="22">
          <cell r="A22" t="str">
            <v>High Point Academy - Elementary</v>
          </cell>
        </row>
        <row r="23">
          <cell r="A23" t="str">
            <v>High Point Academy - Middle</v>
          </cell>
        </row>
        <row r="24">
          <cell r="A24" t="str">
            <v>JICA</v>
          </cell>
        </row>
        <row r="25">
          <cell r="A25" t="str">
            <v>Magon - Elementary</v>
          </cell>
        </row>
        <row r="26">
          <cell r="A26" t="str">
            <v>Magon - Middle</v>
          </cell>
        </row>
        <row r="27">
          <cell r="A27" t="str">
            <v>Montessori del Mundo</v>
          </cell>
        </row>
        <row r="28">
          <cell r="A28" t="str">
            <v>Mountain Song - Middle</v>
          </cell>
        </row>
        <row r="29">
          <cell r="A29" t="str">
            <v>NAS Lowry</v>
          </cell>
        </row>
        <row r="30">
          <cell r="A30" t="str">
            <v>NAS Thornton</v>
          </cell>
        </row>
        <row r="31">
          <cell r="A31" t="str">
            <v>New Legacy - High</v>
          </cell>
        </row>
        <row r="32">
          <cell r="A32" t="str">
            <v>Pikes Peak Prep - Elementary</v>
          </cell>
        </row>
        <row r="33">
          <cell r="A33" t="str">
            <v>Pikes Peak Prep - High</v>
          </cell>
        </row>
        <row r="34">
          <cell r="A34" t="str">
            <v>Pikes Peak Prep - Middle</v>
          </cell>
        </row>
        <row r="35">
          <cell r="A35" t="str">
            <v>Pinnacle Elementary</v>
          </cell>
        </row>
        <row r="36">
          <cell r="A36" t="str">
            <v>Pinnacle High</v>
          </cell>
        </row>
        <row r="37">
          <cell r="A37" t="str">
            <v>Pinnacle Middle</v>
          </cell>
        </row>
        <row r="38">
          <cell r="A38" t="str">
            <v>Salida Montessori - Elementary</v>
          </cell>
        </row>
        <row r="39">
          <cell r="A39" t="str">
            <v>Salida Montessori - Middle</v>
          </cell>
        </row>
        <row r="40">
          <cell r="A40" t="str">
            <v>Victory Prep High</v>
          </cell>
        </row>
        <row r="41">
          <cell r="A41" t="str">
            <v>Victory Prep Middle</v>
          </cell>
        </row>
        <row r="42">
          <cell r="A42" t="str">
            <v>YAFA - High</v>
          </cell>
        </row>
        <row r="43">
          <cell r="A43" t="str">
            <v>YAFA - Middle</v>
          </cell>
        </row>
      </sheetData>
      <sheetData sheetId="3" refreshError="1"/>
      <sheetData sheetId="4" refreshError="1"/>
      <sheetData sheetId="5"/>
      <sheetData sheetId="6">
        <row r="23">
          <cell r="A23" t="str">
            <v>Caprock</v>
          </cell>
        </row>
        <row r="24">
          <cell r="A24" t="str">
            <v>CECDC</v>
          </cell>
        </row>
        <row r="25">
          <cell r="A25" t="str">
            <v>CECFC</v>
          </cell>
        </row>
        <row r="26">
          <cell r="A26" t="str">
            <v>CLA Elementary</v>
          </cell>
        </row>
        <row r="27">
          <cell r="A27" t="str">
            <v>Crown Pointe - Elementary</v>
          </cell>
        </row>
        <row r="28">
          <cell r="A28" t="str">
            <v>CSEC</v>
          </cell>
        </row>
        <row r="29">
          <cell r="A29" t="str">
            <v>ECA - Middle</v>
          </cell>
        </row>
        <row r="30">
          <cell r="A30" t="str">
            <v>GVA CS - Elementary</v>
          </cell>
        </row>
        <row r="31">
          <cell r="A31" t="str">
            <v>GVA FC - Elementary</v>
          </cell>
        </row>
        <row r="32">
          <cell r="A32" t="str">
            <v>High Point Academy - Elementary</v>
          </cell>
        </row>
        <row r="33">
          <cell r="A33" t="str">
            <v>JICA</v>
          </cell>
        </row>
        <row r="34">
          <cell r="A34" t="str">
            <v>Magon - Elementary</v>
          </cell>
        </row>
        <row r="35">
          <cell r="A35" t="str">
            <v>Montessori del Mundo</v>
          </cell>
        </row>
        <row r="36">
          <cell r="A36" t="str">
            <v>Mountain Middle School</v>
          </cell>
        </row>
        <row r="37">
          <cell r="A37" t="str">
            <v>Mountain Song - Middle</v>
          </cell>
        </row>
        <row r="38">
          <cell r="A38" t="str">
            <v>NAS Lowry</v>
          </cell>
        </row>
        <row r="39">
          <cell r="A39" t="str">
            <v>NAS Thornton</v>
          </cell>
        </row>
        <row r="40">
          <cell r="A40" t="str">
            <v>New Legacy - High</v>
          </cell>
        </row>
        <row r="41">
          <cell r="A41" t="str">
            <v>Pikes Peak Prep - Elementary</v>
          </cell>
        </row>
        <row r="42">
          <cell r="A42" t="str">
            <v>Pinnacle Elementary</v>
          </cell>
        </row>
        <row r="43">
          <cell r="A43" t="str">
            <v>Pinnacle High</v>
          </cell>
        </row>
        <row r="44">
          <cell r="A44" t="str">
            <v>Pinnacle Middle</v>
          </cell>
        </row>
        <row r="45">
          <cell r="A45" t="str">
            <v>Ross Montessori School</v>
          </cell>
        </row>
        <row r="46">
          <cell r="A46" t="str">
            <v>Salida Montessori - Elementary</v>
          </cell>
        </row>
        <row r="47">
          <cell r="A47" t="str">
            <v>Stone Creek School</v>
          </cell>
        </row>
        <row r="48">
          <cell r="A48" t="str">
            <v>The Academy</v>
          </cell>
        </row>
        <row r="49">
          <cell r="A49" t="str">
            <v>TPAAK</v>
          </cell>
        </row>
        <row r="50">
          <cell r="A50" t="str">
            <v>Two Rivers</v>
          </cell>
        </row>
        <row r="51">
          <cell r="A51" t="str">
            <v>Victory Prep High</v>
          </cell>
        </row>
        <row r="52">
          <cell r="A52" t="str">
            <v>Victory Prep Middle</v>
          </cell>
        </row>
      </sheetData>
      <sheetData sheetId="7">
        <row r="8">
          <cell r="A8" t="str">
            <v>Caprock</v>
          </cell>
          <cell r="C8">
            <v>0</v>
          </cell>
        </row>
        <row r="9">
          <cell r="A9" t="str">
            <v>CECDC</v>
          </cell>
          <cell r="C9">
            <v>0</v>
          </cell>
        </row>
        <row r="10">
          <cell r="A10" t="str">
            <v>CECFC</v>
          </cell>
          <cell r="C10">
            <v>0</v>
          </cell>
        </row>
        <row r="11">
          <cell r="A11" t="str">
            <v>CLA Elementary</v>
          </cell>
          <cell r="C11">
            <v>3310.7659574468089</v>
          </cell>
        </row>
        <row r="12">
          <cell r="A12" t="str">
            <v>CSEC</v>
          </cell>
          <cell r="C12">
            <v>300.97872340425533</v>
          </cell>
        </row>
        <row r="13">
          <cell r="A13" t="str">
            <v>High Point Academy - Elementary</v>
          </cell>
          <cell r="C13">
            <v>300.97872340425533</v>
          </cell>
        </row>
        <row r="14">
          <cell r="A14" t="str">
            <v>JICA</v>
          </cell>
          <cell r="C14">
            <v>0</v>
          </cell>
        </row>
        <row r="15">
          <cell r="A15" t="str">
            <v>NAS Lowry</v>
          </cell>
          <cell r="C15">
            <v>20466.553191489362</v>
          </cell>
        </row>
        <row r="16">
          <cell r="A16" t="str">
            <v>Pikes Peak Prep - Elementary</v>
          </cell>
          <cell r="C16">
            <v>902.936170212766</v>
          </cell>
        </row>
        <row r="17">
          <cell r="A17" t="str">
            <v>Ross Montessori School</v>
          </cell>
          <cell r="C17">
            <v>300.97872340425533</v>
          </cell>
        </row>
        <row r="18">
          <cell r="A18" t="str">
            <v>Victory Prep High</v>
          </cell>
          <cell r="C18">
            <v>300.97872340425533</v>
          </cell>
        </row>
        <row r="19">
          <cell r="A19" t="str">
            <v>Victory Prep Middle</v>
          </cell>
          <cell r="C19">
            <v>2407.8297872340427</v>
          </cell>
        </row>
      </sheetData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erri Holt" id="{0C9A88EF-57BC-4116-BE4D-2A95ACB2BCB9}" userId="Kerri Holt" providerId="None"/>
  <person displayName="Heather Rhode" id="{8C10DEFA-4AF6-4C00-9B40-13444C6E7607}" userId="d30c1ef4580acb7f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C49" dT="2022-12-15T01:55:16.17" personId="{0C9A88EF-57BC-4116-BE4D-2A95ACB2BCB9}" id="{1E1A87DF-5DC2-4DE4-B6AE-104CD5DA9423}">
    <text>TOSA</text>
  </threadedComment>
  <threadedComment ref="Q61" dT="2023-01-11T19:49:03.23" personId="{8C10DEFA-4AF6-4C00-9B40-13444C6E7607}" id="{079CF230-4AB1-464E-B9F1-6BD484EF6B49}">
    <text>Look at moving instruction expense (divide by 12)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6C6F-968A-4AB5-A7A9-984FE56CACBB}">
  <sheetPr>
    <tabColor rgb="FF00B050"/>
    <pageSetUpPr fitToPage="1"/>
  </sheetPr>
  <dimension ref="A1:AU175"/>
  <sheetViews>
    <sheetView tabSelected="1" zoomScaleNormal="100" workbookViewId="0">
      <pane xSplit="2" ySplit="10" topLeftCell="C14" activePane="bottomRight" state="frozen"/>
      <selection pane="topRight" activeCell="C1" sqref="C1"/>
      <selection pane="bottomLeft" activeCell="A11" sqref="A11"/>
      <selection pane="bottomRight" activeCell="C168" sqref="C168"/>
    </sheetView>
  </sheetViews>
  <sheetFormatPr defaultColWidth="9.1328125" defaultRowHeight="14.25" outlineLevelRow="2" x14ac:dyDescent="0.45"/>
  <cols>
    <col min="1" max="1" width="65.265625" style="191" bestFit="1" customWidth="1"/>
    <col min="2" max="2" width="21.73046875" style="191" hidden="1" customWidth="1"/>
    <col min="3" max="3" width="21.86328125" style="191" customWidth="1"/>
    <col min="4" max="5" width="17.265625" style="191" customWidth="1"/>
    <col min="6" max="6" width="2" style="191" customWidth="1"/>
    <col min="7" max="7" width="21.86328125" style="191" customWidth="1"/>
    <col min="8" max="8" width="18.86328125" style="191" customWidth="1"/>
    <col min="9" max="9" width="20.1328125" style="191" customWidth="1"/>
    <col min="10" max="10" width="2" style="191" customWidth="1"/>
    <col min="11" max="11" width="21.3984375" style="191" customWidth="1"/>
    <col min="12" max="13" width="20.1328125" style="191" customWidth="1"/>
    <col min="14" max="14" width="2.1328125" style="191" customWidth="1"/>
    <col min="15" max="15" width="21.3984375" style="191" customWidth="1"/>
    <col min="16" max="17" width="20.1328125" style="191" customWidth="1"/>
    <col min="18" max="18" width="2.1328125" style="191" customWidth="1"/>
    <col min="19" max="19" width="22.73046875" style="191" hidden="1" customWidth="1"/>
    <col min="20" max="20" width="3.3984375" style="191" hidden="1" customWidth="1"/>
    <col min="21" max="21" width="27.59765625" style="191" bestFit="1" customWidth="1"/>
    <col min="22" max="22" width="20.1328125" style="191" bestFit="1" customWidth="1"/>
    <col min="23" max="23" width="20.1328125" style="191" customWidth="1"/>
    <col min="24" max="24" width="2.1328125" style="191" customWidth="1"/>
    <col min="25" max="25" width="21.3984375" style="191" bestFit="1" customWidth="1"/>
    <col min="26" max="26" width="20.1328125" style="191" bestFit="1" customWidth="1"/>
    <col min="27" max="27" width="20.1328125" style="191" customWidth="1"/>
    <col min="28" max="28" width="2.1328125" style="191" customWidth="1"/>
    <col min="29" max="29" width="21.3984375" style="191" bestFit="1" customWidth="1"/>
    <col min="30" max="30" width="20.1328125" style="191" bestFit="1" customWidth="1"/>
    <col min="31" max="31" width="22.59765625" style="191" bestFit="1" customWidth="1"/>
    <col min="32" max="32" width="12.1328125" style="191" hidden="1" customWidth="1"/>
    <col min="33" max="33" width="9.1328125" style="191"/>
    <col min="34" max="35" width="10" style="191" bestFit="1" customWidth="1"/>
    <col min="36" max="16384" width="9.1328125" style="191"/>
  </cols>
  <sheetData>
    <row r="1" spans="1:47" s="26" customFormat="1" ht="21.4" thickBot="1" x14ac:dyDescent="0.7">
      <c r="A1" s="1" t="s">
        <v>0</v>
      </c>
      <c r="B1" s="2" t="s">
        <v>1</v>
      </c>
      <c r="C1" s="3" t="s">
        <v>2</v>
      </c>
      <c r="D1" s="4"/>
      <c r="E1" s="5"/>
      <c r="F1" s="6"/>
      <c r="G1" s="7" t="s">
        <v>3</v>
      </c>
      <c r="H1" s="8"/>
      <c r="I1" s="8"/>
      <c r="J1" s="9"/>
      <c r="K1" s="10" t="s">
        <v>4</v>
      </c>
      <c r="L1" s="10"/>
      <c r="M1" s="10"/>
      <c r="N1" s="9"/>
      <c r="O1" s="11" t="s">
        <v>5</v>
      </c>
      <c r="P1" s="11"/>
      <c r="Q1" s="12"/>
      <c r="R1" s="13"/>
      <c r="S1" s="14"/>
      <c r="T1" s="15"/>
      <c r="U1" s="16" t="s">
        <v>6</v>
      </c>
      <c r="V1" s="17"/>
      <c r="W1" s="18"/>
      <c r="X1" s="19"/>
      <c r="Y1" s="20" t="s">
        <v>7</v>
      </c>
      <c r="Z1" s="21"/>
      <c r="AA1" s="22"/>
      <c r="AB1" s="19"/>
      <c r="AC1" s="23" t="s">
        <v>8</v>
      </c>
      <c r="AD1" s="24"/>
      <c r="AE1" s="25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 s="55" customFormat="1" ht="29.45" hidden="1" customHeight="1" x14ac:dyDescent="0.4">
      <c r="A2" s="28"/>
      <c r="B2" s="29"/>
      <c r="C2" s="30" t="s">
        <v>9</v>
      </c>
      <c r="D2" s="31" t="s">
        <v>10</v>
      </c>
      <c r="E2" s="32"/>
      <c r="F2" s="33"/>
      <c r="G2" s="34" t="s">
        <v>9</v>
      </c>
      <c r="H2" s="35" t="s">
        <v>10</v>
      </c>
      <c r="I2" s="36"/>
      <c r="J2" s="37"/>
      <c r="K2" s="38" t="s">
        <v>9</v>
      </c>
      <c r="L2" s="39" t="s">
        <v>10</v>
      </c>
      <c r="M2" s="40"/>
      <c r="N2" s="37"/>
      <c r="O2" s="41" t="s">
        <v>9</v>
      </c>
      <c r="P2" s="42" t="s">
        <v>10</v>
      </c>
      <c r="Q2" s="43"/>
      <c r="R2" s="44"/>
      <c r="S2" s="42"/>
      <c r="T2" s="45"/>
      <c r="U2" s="46" t="s">
        <v>9</v>
      </c>
      <c r="V2" s="47" t="s">
        <v>10</v>
      </c>
      <c r="W2" s="48"/>
      <c r="X2" s="33"/>
      <c r="Y2" s="49" t="s">
        <v>11</v>
      </c>
      <c r="Z2" s="50" t="s">
        <v>10</v>
      </c>
      <c r="AA2" s="51"/>
      <c r="AB2" s="33"/>
      <c r="AC2" s="52" t="s">
        <v>11</v>
      </c>
      <c r="AD2" s="53" t="s">
        <v>10</v>
      </c>
      <c r="AE2" s="54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</row>
    <row r="3" spans="1:47" s="55" customFormat="1" ht="11.65" x14ac:dyDescent="0.35">
      <c r="A3" s="57" t="s">
        <v>12</v>
      </c>
      <c r="B3" s="58"/>
      <c r="C3" s="59"/>
      <c r="D3" s="60"/>
      <c r="E3" s="61"/>
      <c r="F3" s="62"/>
      <c r="G3" s="63">
        <v>0.94</v>
      </c>
      <c r="H3" s="64">
        <v>0.94</v>
      </c>
      <c r="I3" s="65"/>
      <c r="J3" s="66"/>
      <c r="K3" s="67">
        <v>0.94</v>
      </c>
      <c r="L3" s="68">
        <v>0.94</v>
      </c>
      <c r="M3" s="69"/>
      <c r="N3" s="66"/>
      <c r="O3" s="70">
        <v>0.94</v>
      </c>
      <c r="P3" s="71">
        <v>0.94</v>
      </c>
      <c r="Q3" s="72"/>
      <c r="R3" s="73"/>
      <c r="S3" s="74"/>
      <c r="T3" s="75"/>
      <c r="U3" s="76">
        <v>0.94</v>
      </c>
      <c r="V3" s="77">
        <v>0.94</v>
      </c>
      <c r="W3" s="78"/>
      <c r="X3" s="79"/>
      <c r="Y3" s="80">
        <v>0.94</v>
      </c>
      <c r="Z3" s="81">
        <v>0.94</v>
      </c>
      <c r="AA3" s="82"/>
      <c r="AB3" s="79"/>
      <c r="AC3" s="83">
        <v>0.94</v>
      </c>
      <c r="AD3" s="84">
        <v>0.89</v>
      </c>
      <c r="AE3" s="85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</row>
    <row r="4" spans="1:47" s="55" customFormat="1" ht="11.65" x14ac:dyDescent="0.35">
      <c r="A4" s="86" t="s">
        <v>13</v>
      </c>
      <c r="B4" s="87"/>
      <c r="C4" s="88" t="s">
        <v>14</v>
      </c>
      <c r="D4" s="89">
        <f>H4+L4+P4+V4+Z4+AD4</f>
        <v>3362</v>
      </c>
      <c r="E4" s="90"/>
      <c r="F4" s="91"/>
      <c r="G4" s="92">
        <v>900</v>
      </c>
      <c r="H4" s="93">
        <v>788</v>
      </c>
      <c r="I4" s="94"/>
      <c r="J4" s="95"/>
      <c r="K4" s="96">
        <v>230</v>
      </c>
      <c r="L4" s="97">
        <v>185</v>
      </c>
      <c r="M4" s="98"/>
      <c r="N4" s="95"/>
      <c r="O4" s="99">
        <v>450</v>
      </c>
      <c r="P4" s="100">
        <v>295</v>
      </c>
      <c r="Q4" s="101"/>
      <c r="R4" s="102"/>
      <c r="S4" s="103"/>
      <c r="T4" s="104"/>
      <c r="U4" s="105">
        <v>475</v>
      </c>
      <c r="V4" s="106">
        <v>465</v>
      </c>
      <c r="W4" s="107"/>
      <c r="X4" s="108"/>
      <c r="Y4" s="109">
        <v>1385</v>
      </c>
      <c r="Z4" s="110">
        <v>1400</v>
      </c>
      <c r="AA4" s="111"/>
      <c r="AB4" s="108"/>
      <c r="AC4" s="112">
        <v>360</v>
      </c>
      <c r="AD4" s="113">
        <v>229</v>
      </c>
      <c r="AE4" s="114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</row>
    <row r="5" spans="1:47" s="116" customFormat="1" ht="11.65" x14ac:dyDescent="0.35">
      <c r="A5" s="86" t="s">
        <v>15</v>
      </c>
      <c r="B5" s="87"/>
      <c r="C5" s="88" t="s">
        <v>14</v>
      </c>
      <c r="D5" s="89">
        <f>H5+L5+P5+V5+Z5+AD5</f>
        <v>3222.91</v>
      </c>
      <c r="E5" s="90"/>
      <c r="F5" s="91"/>
      <c r="G5" s="92">
        <v>900</v>
      </c>
      <c r="H5" s="93">
        <v>788</v>
      </c>
      <c r="I5" s="94"/>
      <c r="J5" s="95"/>
      <c r="K5" s="96">
        <v>230</v>
      </c>
      <c r="L5" s="97">
        <v>185</v>
      </c>
      <c r="M5" s="98"/>
      <c r="N5" s="95"/>
      <c r="O5" s="99">
        <v>450</v>
      </c>
      <c r="P5" s="100">
        <v>293</v>
      </c>
      <c r="Q5" s="101"/>
      <c r="R5" s="102"/>
      <c r="S5" s="103"/>
      <c r="T5" s="104"/>
      <c r="U5" s="105">
        <v>458</v>
      </c>
      <c r="V5" s="106">
        <f>V4*V3</f>
        <v>437.09999999999997</v>
      </c>
      <c r="W5" s="107"/>
      <c r="X5" s="108"/>
      <c r="Y5" s="109">
        <v>1315.75</v>
      </c>
      <c r="Z5" s="110">
        <f>Z3*Z4</f>
        <v>1316</v>
      </c>
      <c r="AA5" s="111"/>
      <c r="AB5" s="108"/>
      <c r="AC5" s="112">
        <v>338.4</v>
      </c>
      <c r="AD5" s="115">
        <f>AD3*AD4</f>
        <v>203.81</v>
      </c>
      <c r="AE5" s="114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</row>
    <row r="6" spans="1:47" s="116" customFormat="1" ht="11.65" x14ac:dyDescent="0.35">
      <c r="A6" s="86" t="s">
        <v>16</v>
      </c>
      <c r="B6" s="87"/>
      <c r="C6" s="118" t="s">
        <v>17</v>
      </c>
      <c r="D6" s="119">
        <f>AVERAGE(H6,L6,P6,V6,Z6,AD6)</f>
        <v>9840.4154978269144</v>
      </c>
      <c r="E6" s="90"/>
      <c r="F6" s="91"/>
      <c r="G6" s="120">
        <v>10380</v>
      </c>
      <c r="H6" s="121">
        <v>10292.27</v>
      </c>
      <c r="I6" s="122"/>
      <c r="J6" s="123"/>
      <c r="K6" s="124">
        <v>9221</v>
      </c>
      <c r="L6" s="125">
        <v>9417</v>
      </c>
      <c r="M6" s="126"/>
      <c r="N6" s="123"/>
      <c r="O6" s="127">
        <v>8761</v>
      </c>
      <c r="P6" s="128">
        <v>9401</v>
      </c>
      <c r="Q6" s="129"/>
      <c r="R6" s="130"/>
      <c r="S6" s="131"/>
      <c r="T6" s="132"/>
      <c r="U6" s="133">
        <f>U12/U5</f>
        <v>8474.8493449781654</v>
      </c>
      <c r="V6" s="134">
        <v>9871</v>
      </c>
      <c r="W6" s="135"/>
      <c r="X6" s="136"/>
      <c r="Y6" s="137">
        <f>Y12/Y5</f>
        <v>10181.358920767623</v>
      </c>
      <c r="Z6" s="138">
        <f>Y6</f>
        <v>10181.358920767623</v>
      </c>
      <c r="AA6" s="139"/>
      <c r="AB6" s="136"/>
      <c r="AC6" s="140">
        <f>AC12/AC5</f>
        <v>9879.8640661938534</v>
      </c>
      <c r="AD6" s="141">
        <f>AC6</f>
        <v>9879.8640661938534</v>
      </c>
      <c r="AE6" s="142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</row>
    <row r="7" spans="1:47" s="116" customFormat="1" ht="11.65" x14ac:dyDescent="0.35">
      <c r="A7" s="86" t="s">
        <v>18</v>
      </c>
      <c r="B7" s="87"/>
      <c r="C7" s="118" t="s">
        <v>17</v>
      </c>
      <c r="D7" s="119">
        <f t="shared" ref="D7:D8" si="0">AVERAGE(H7,L7,P7,V7,Z7,AD7)</f>
        <v>1369.667860941473</v>
      </c>
      <c r="E7" s="90"/>
      <c r="F7" s="91"/>
      <c r="G7" s="120">
        <v>2736</v>
      </c>
      <c r="H7" s="121">
        <v>2736</v>
      </c>
      <c r="I7" s="122"/>
      <c r="J7" s="123"/>
      <c r="K7" s="124">
        <v>757</v>
      </c>
      <c r="L7" s="125">
        <v>814</v>
      </c>
      <c r="M7" s="126"/>
      <c r="N7" s="123"/>
      <c r="O7" s="127">
        <v>757</v>
      </c>
      <c r="P7" s="128">
        <v>814</v>
      </c>
      <c r="Q7" s="129"/>
      <c r="R7" s="130"/>
      <c r="S7" s="131"/>
      <c r="T7" s="132"/>
      <c r="U7" s="133">
        <f>U13/U5</f>
        <v>1820.8340611353713</v>
      </c>
      <c r="V7" s="134">
        <f>U7</f>
        <v>1820.8340611353713</v>
      </c>
      <c r="W7" s="135"/>
      <c r="X7" s="136"/>
      <c r="Y7" s="137">
        <f>Y13/Y5</f>
        <v>1010.3332699980999</v>
      </c>
      <c r="Z7" s="138">
        <f>Y7</f>
        <v>1010.3332699980999</v>
      </c>
      <c r="AA7" s="139"/>
      <c r="AB7" s="136"/>
      <c r="AC7" s="140">
        <f>AC13/AC5</f>
        <v>1022.8398345153665</v>
      </c>
      <c r="AD7" s="141">
        <f>AC7</f>
        <v>1022.8398345153665</v>
      </c>
      <c r="AE7" s="142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</row>
    <row r="8" spans="1:47" s="116" customFormat="1" ht="12" thickBot="1" x14ac:dyDescent="0.4">
      <c r="A8" s="143" t="s">
        <v>16</v>
      </c>
      <c r="B8" s="144"/>
      <c r="C8" s="88" t="s">
        <v>17</v>
      </c>
      <c r="D8" s="145">
        <f t="shared" si="0"/>
        <v>11703.625038152579</v>
      </c>
      <c r="E8" s="146"/>
      <c r="F8" s="147"/>
      <c r="G8" s="148">
        <f>G6+G7</f>
        <v>13116</v>
      </c>
      <c r="H8" s="148">
        <f>H6+H7</f>
        <v>13028.27</v>
      </c>
      <c r="I8" s="149"/>
      <c r="J8" s="123"/>
      <c r="K8" s="150"/>
      <c r="L8" s="151"/>
      <c r="M8" s="152"/>
      <c r="N8" s="123"/>
      <c r="O8" s="153"/>
      <c r="P8" s="154"/>
      <c r="Q8" s="155"/>
      <c r="R8" s="156"/>
      <c r="S8" s="157"/>
      <c r="T8" s="158"/>
      <c r="U8" s="159">
        <f>SUM(U6:U7)</f>
        <v>10295.683406113536</v>
      </c>
      <c r="V8" s="160">
        <f t="shared" ref="V8:AD8" si="1">SUM(V6:V7)</f>
        <v>11691.834061135371</v>
      </c>
      <c r="W8" s="161"/>
      <c r="X8" s="162"/>
      <c r="Y8" s="163">
        <f t="shared" si="1"/>
        <v>11191.692190765723</v>
      </c>
      <c r="Z8" s="164">
        <f t="shared" si="1"/>
        <v>11191.692190765723</v>
      </c>
      <c r="AA8" s="165"/>
      <c r="AB8" s="162"/>
      <c r="AC8" s="166">
        <f t="shared" si="1"/>
        <v>10902.703900709221</v>
      </c>
      <c r="AD8" s="167">
        <f t="shared" si="1"/>
        <v>10902.703900709221</v>
      </c>
      <c r="AE8" s="168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</row>
    <row r="9" spans="1:47" s="182" customFormat="1" ht="32.25" customHeight="1" thickBot="1" x14ac:dyDescent="0.5">
      <c r="A9" s="169" t="s">
        <v>19</v>
      </c>
      <c r="B9" s="170"/>
      <c r="C9" s="171" t="s">
        <v>9</v>
      </c>
      <c r="D9" s="172" t="s">
        <v>20</v>
      </c>
      <c r="E9" s="173" t="s">
        <v>21</v>
      </c>
      <c r="F9" s="174"/>
      <c r="G9" s="171" t="s">
        <v>9</v>
      </c>
      <c r="H9" s="172" t="s">
        <v>20</v>
      </c>
      <c r="I9" s="175" t="s">
        <v>21</v>
      </c>
      <c r="J9" s="176"/>
      <c r="K9" s="177" t="s">
        <v>9</v>
      </c>
      <c r="L9" s="172" t="s">
        <v>20</v>
      </c>
      <c r="M9" s="175" t="s">
        <v>21</v>
      </c>
      <c r="N9" s="176"/>
      <c r="O9" s="177" t="s">
        <v>9</v>
      </c>
      <c r="P9" s="172" t="s">
        <v>20</v>
      </c>
      <c r="Q9" s="178" t="s">
        <v>21</v>
      </c>
      <c r="R9" s="179"/>
      <c r="S9" s="172"/>
      <c r="T9" s="180"/>
      <c r="U9" s="171" t="s">
        <v>9</v>
      </c>
      <c r="V9" s="181" t="s">
        <v>10</v>
      </c>
      <c r="W9" s="178" t="s">
        <v>21</v>
      </c>
      <c r="X9" s="174"/>
      <c r="Y9" s="171" t="s">
        <v>9</v>
      </c>
      <c r="Z9" s="181" t="s">
        <v>10</v>
      </c>
      <c r="AA9" s="178" t="s">
        <v>21</v>
      </c>
      <c r="AB9" s="174"/>
      <c r="AC9" s="171" t="s">
        <v>9</v>
      </c>
      <c r="AD9" s="181" t="s">
        <v>10</v>
      </c>
      <c r="AE9" s="178" t="s">
        <v>21</v>
      </c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</row>
    <row r="10" spans="1:47" s="190" customFormat="1" ht="21.4" thickBot="1" x14ac:dyDescent="0.7">
      <c r="A10" s="184" t="s">
        <v>22</v>
      </c>
      <c r="B10" s="185"/>
      <c r="C10" s="185"/>
      <c r="D10" s="185"/>
      <c r="E10" s="185"/>
      <c r="F10" s="185"/>
      <c r="G10" s="186"/>
      <c r="H10" s="186"/>
      <c r="I10" s="186"/>
      <c r="J10" s="187"/>
      <c r="K10" s="185"/>
      <c r="L10" s="185"/>
      <c r="M10" s="185"/>
      <c r="N10" s="188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9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</row>
    <row r="11" spans="1:47" ht="14.65" hidden="1" outlineLevel="1" thickBot="1" x14ac:dyDescent="0.5">
      <c r="A11" s="192" t="s">
        <v>23</v>
      </c>
      <c r="B11" s="193"/>
      <c r="C11" s="194"/>
      <c r="D11" s="195"/>
      <c r="E11" s="196"/>
      <c r="F11" s="197"/>
      <c r="G11" s="198">
        <v>25000</v>
      </c>
      <c r="H11" s="199">
        <v>25000</v>
      </c>
      <c r="I11" s="200">
        <v>15587</v>
      </c>
      <c r="J11" s="201"/>
      <c r="K11" s="202">
        <v>10000</v>
      </c>
      <c r="L11" s="203">
        <v>10000</v>
      </c>
      <c r="M11" s="204">
        <v>0</v>
      </c>
      <c r="N11" s="190"/>
      <c r="O11" s="205">
        <v>14000</v>
      </c>
      <c r="P11" s="206">
        <v>14000</v>
      </c>
      <c r="Q11" s="207">
        <v>7220</v>
      </c>
      <c r="R11" s="208"/>
      <c r="S11" s="209"/>
      <c r="T11" s="210"/>
      <c r="U11" s="211"/>
      <c r="V11" s="212">
        <v>0</v>
      </c>
      <c r="W11" s="213"/>
      <c r="X11" s="190"/>
      <c r="Y11" s="214"/>
      <c r="Z11" s="215">
        <v>0</v>
      </c>
      <c r="AA11" s="216"/>
      <c r="AB11" s="190"/>
      <c r="AC11" s="217"/>
      <c r="AD11" s="218">
        <v>0</v>
      </c>
      <c r="AE11" s="219"/>
    </row>
    <row r="12" spans="1:47" ht="14.65" hidden="1" outlineLevel="1" thickBot="1" x14ac:dyDescent="0.5">
      <c r="A12" s="220" t="s">
        <v>24</v>
      </c>
      <c r="B12" s="221"/>
      <c r="C12" s="222"/>
      <c r="D12" s="223"/>
      <c r="E12" s="224"/>
      <c r="F12" s="225"/>
      <c r="G12" s="226">
        <v>9341892</v>
      </c>
      <c r="H12" s="227">
        <f>H6*H5</f>
        <v>8110308.7600000007</v>
      </c>
      <c r="I12" s="228">
        <v>4631521.5</v>
      </c>
      <c r="J12" s="229"/>
      <c r="K12" s="230">
        <v>2120944</v>
      </c>
      <c r="L12" s="231">
        <f>L5*L6</f>
        <v>1742145</v>
      </c>
      <c r="M12" s="232">
        <v>863216.75</v>
      </c>
      <c r="N12" s="233"/>
      <c r="O12" s="234">
        <v>3942410</v>
      </c>
      <c r="P12" s="235">
        <f>P5*P6</f>
        <v>2754493</v>
      </c>
      <c r="Q12" s="236">
        <v>1726433.5</v>
      </c>
      <c r="R12" s="237"/>
      <c r="S12" s="238"/>
      <c r="T12" s="239"/>
      <c r="U12" s="240">
        <v>3881481</v>
      </c>
      <c r="V12" s="241">
        <f>V5*V6</f>
        <v>4314614.0999999996</v>
      </c>
      <c r="W12" s="242">
        <v>1755033.04</v>
      </c>
      <c r="X12" s="233"/>
      <c r="Y12" s="243">
        <f>11528505+1867618</f>
        <v>13396123</v>
      </c>
      <c r="Z12" s="244">
        <f>Z5*Z6</f>
        <v>13398668.339730192</v>
      </c>
      <c r="AA12" s="245">
        <v>6505762.2999999998</v>
      </c>
      <c r="AB12" s="233"/>
      <c r="AC12" s="246">
        <v>3343346</v>
      </c>
      <c r="AD12" s="247">
        <f>AD6*AD5</f>
        <v>2013615.0953309692</v>
      </c>
      <c r="AE12" s="248">
        <v>1378660</v>
      </c>
    </row>
    <row r="13" spans="1:47" ht="14.65" hidden="1" outlineLevel="1" thickBot="1" x14ac:dyDescent="0.5">
      <c r="A13" s="249" t="s">
        <v>25</v>
      </c>
      <c r="B13" s="250"/>
      <c r="C13" s="251"/>
      <c r="D13" s="252"/>
      <c r="E13" s="253"/>
      <c r="F13" s="254"/>
      <c r="G13" s="255">
        <v>2462019</v>
      </c>
      <c r="H13" s="256">
        <f>H7*H5</f>
        <v>2155968</v>
      </c>
      <c r="I13" s="257">
        <v>1187131.5</v>
      </c>
      <c r="J13" s="258"/>
      <c r="K13" s="259">
        <v>130000</v>
      </c>
      <c r="L13" s="260">
        <f>L5*L7</f>
        <v>150590</v>
      </c>
      <c r="M13" s="261">
        <v>76821.289999999994</v>
      </c>
      <c r="N13" s="262"/>
      <c r="O13" s="263">
        <v>340674</v>
      </c>
      <c r="P13" s="264">
        <f>P5*P7</f>
        <v>238502</v>
      </c>
      <c r="Q13" s="265">
        <v>153488.38</v>
      </c>
      <c r="R13" s="266"/>
      <c r="S13" s="267"/>
      <c r="T13" s="268"/>
      <c r="U13" s="269">
        <v>833942</v>
      </c>
      <c r="V13" s="270">
        <f>V7*V5</f>
        <v>795886.56812227075</v>
      </c>
      <c r="W13" s="271"/>
      <c r="X13" s="262"/>
      <c r="Y13" s="272">
        <v>1329346</v>
      </c>
      <c r="Z13" s="273">
        <v>1329346</v>
      </c>
      <c r="AA13" s="274"/>
      <c r="AB13" s="262"/>
      <c r="AC13" s="275">
        <v>346129</v>
      </c>
      <c r="AD13" s="276">
        <f>AD5*AD7</f>
        <v>208464.98667257687</v>
      </c>
      <c r="AE13" s="277"/>
    </row>
    <row r="14" spans="1:47" s="289" customFormat="1" ht="14.65" collapsed="1" thickBot="1" x14ac:dyDescent="0.5">
      <c r="A14" s="278" t="s">
        <v>26</v>
      </c>
      <c r="B14" s="279"/>
      <c r="C14" s="280">
        <f>SUM(C11:C13)</f>
        <v>0</v>
      </c>
      <c r="D14" s="281">
        <f t="shared" ref="D14:AE14" si="2">SUM(D11:D13)</f>
        <v>0</v>
      </c>
      <c r="E14" s="282">
        <f t="shared" si="2"/>
        <v>0</v>
      </c>
      <c r="F14" s="283"/>
      <c r="G14" s="284">
        <f t="shared" si="2"/>
        <v>11828911</v>
      </c>
      <c r="H14" s="285">
        <f t="shared" si="2"/>
        <v>10291276.760000002</v>
      </c>
      <c r="I14" s="286">
        <f t="shared" si="2"/>
        <v>5834240</v>
      </c>
      <c r="J14" s="283">
        <f t="shared" si="2"/>
        <v>0</v>
      </c>
      <c r="K14" s="284">
        <f t="shared" si="2"/>
        <v>2260944</v>
      </c>
      <c r="L14" s="285">
        <f t="shared" si="2"/>
        <v>1902735</v>
      </c>
      <c r="M14" s="286">
        <f t="shared" si="2"/>
        <v>940038.04</v>
      </c>
      <c r="N14" s="287"/>
      <c r="O14" s="284">
        <f t="shared" si="2"/>
        <v>4297084</v>
      </c>
      <c r="P14" s="285">
        <f t="shared" si="2"/>
        <v>3006995</v>
      </c>
      <c r="Q14" s="286">
        <f t="shared" si="2"/>
        <v>1887141.88</v>
      </c>
      <c r="R14" s="287"/>
      <c r="S14" s="285">
        <f t="shared" si="2"/>
        <v>0</v>
      </c>
      <c r="T14" s="288">
        <f t="shared" si="2"/>
        <v>0</v>
      </c>
      <c r="U14" s="284">
        <f t="shared" si="2"/>
        <v>4715423</v>
      </c>
      <c r="V14" s="285">
        <f t="shared" si="2"/>
        <v>5110500.6681222701</v>
      </c>
      <c r="W14" s="286">
        <f t="shared" si="2"/>
        <v>1755033.04</v>
      </c>
      <c r="X14" s="287"/>
      <c r="Y14" s="284">
        <f t="shared" si="2"/>
        <v>14725469</v>
      </c>
      <c r="Z14" s="285">
        <f t="shared" si="2"/>
        <v>14728014.339730192</v>
      </c>
      <c r="AA14" s="286">
        <f t="shared" si="2"/>
        <v>6505762.2999999998</v>
      </c>
      <c r="AB14" s="287"/>
      <c r="AC14" s="284">
        <f t="shared" si="2"/>
        <v>3689475</v>
      </c>
      <c r="AD14" s="285">
        <f t="shared" si="2"/>
        <v>2222080.0820035459</v>
      </c>
      <c r="AE14" s="286">
        <f t="shared" si="2"/>
        <v>1378660</v>
      </c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spans="1:47" s="319" customFormat="1" ht="14.65" hidden="1" outlineLevel="1" thickBot="1" x14ac:dyDescent="0.5">
      <c r="A15" s="290" t="s">
        <v>27</v>
      </c>
      <c r="B15" s="291"/>
      <c r="C15" s="292">
        <v>500000</v>
      </c>
      <c r="D15" s="293">
        <f>2399000-(H15+L15+P15+V15+Z15+AD15)</f>
        <v>1339000</v>
      </c>
      <c r="E15" s="294">
        <v>2399000</v>
      </c>
      <c r="F15" s="295"/>
      <c r="G15" s="296"/>
      <c r="H15" s="297"/>
      <c r="I15" s="298"/>
      <c r="J15" s="299"/>
      <c r="K15" s="300">
        <v>100000</v>
      </c>
      <c r="L15" s="301">
        <v>260000</v>
      </c>
      <c r="M15" s="302"/>
      <c r="N15" s="303"/>
      <c r="O15" s="304">
        <v>100000</v>
      </c>
      <c r="P15" s="305">
        <v>300000</v>
      </c>
      <c r="Q15" s="306"/>
      <c r="R15" s="307"/>
      <c r="S15" s="308"/>
      <c r="T15" s="309"/>
      <c r="U15" s="310">
        <v>0</v>
      </c>
      <c r="V15" s="311">
        <v>200000</v>
      </c>
      <c r="W15" s="312"/>
      <c r="X15" s="303"/>
      <c r="Y15" s="313"/>
      <c r="Z15" s="314">
        <v>0</v>
      </c>
      <c r="AA15" s="315"/>
      <c r="AB15" s="303"/>
      <c r="AC15" s="316">
        <v>300000</v>
      </c>
      <c r="AD15" s="317">
        <v>300000</v>
      </c>
      <c r="AE15" s="318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</row>
    <row r="16" spans="1:47" s="319" customFormat="1" ht="14.65" hidden="1" outlineLevel="1" thickBot="1" x14ac:dyDescent="0.5">
      <c r="A16" s="290" t="s">
        <v>28</v>
      </c>
      <c r="B16" s="291"/>
      <c r="C16" s="292"/>
      <c r="D16" s="293"/>
      <c r="E16" s="294"/>
      <c r="F16" s="295"/>
      <c r="G16" s="296">
        <v>200000</v>
      </c>
      <c r="H16" s="297">
        <v>200000</v>
      </c>
      <c r="I16" s="298"/>
      <c r="J16" s="299"/>
      <c r="K16" s="300">
        <v>400000</v>
      </c>
      <c r="L16" s="301"/>
      <c r="M16" s="302"/>
      <c r="N16" s="303"/>
      <c r="O16" s="304">
        <v>100000</v>
      </c>
      <c r="P16" s="305"/>
      <c r="Q16" s="306"/>
      <c r="R16" s="307"/>
      <c r="S16" s="308"/>
      <c r="T16" s="309"/>
      <c r="U16" s="310">
        <v>100000</v>
      </c>
      <c r="V16" s="311"/>
      <c r="W16" s="312"/>
      <c r="X16" s="303"/>
      <c r="Y16" s="313"/>
      <c r="Z16" s="314"/>
      <c r="AA16" s="315"/>
      <c r="AB16" s="303"/>
      <c r="AC16" s="316">
        <v>200000</v>
      </c>
      <c r="AD16" s="317"/>
      <c r="AE16" s="318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</row>
    <row r="17" spans="1:47" s="319" customFormat="1" ht="14.65" hidden="1" outlineLevel="1" thickBot="1" x14ac:dyDescent="0.5">
      <c r="A17" s="320" t="s">
        <v>29</v>
      </c>
      <c r="B17" s="321"/>
      <c r="C17" s="322"/>
      <c r="D17" s="323"/>
      <c r="E17" s="324"/>
      <c r="F17" s="325"/>
      <c r="G17" s="326">
        <v>277170</v>
      </c>
      <c r="H17" s="327">
        <v>315002.34000000003</v>
      </c>
      <c r="I17" s="328">
        <v>156506.35</v>
      </c>
      <c r="J17" s="329"/>
      <c r="K17" s="330">
        <v>80000</v>
      </c>
      <c r="L17" s="331">
        <v>77967.33</v>
      </c>
      <c r="M17" s="332">
        <v>25763.48</v>
      </c>
      <c r="N17" s="333"/>
      <c r="O17" s="334">
        <v>120012</v>
      </c>
      <c r="P17" s="335">
        <v>150444.78</v>
      </c>
      <c r="Q17" s="336">
        <v>49712.639999999999</v>
      </c>
      <c r="R17" s="337"/>
      <c r="S17" s="338"/>
      <c r="T17" s="339"/>
      <c r="U17" s="340"/>
      <c r="V17" s="341">
        <v>0</v>
      </c>
      <c r="W17" s="342"/>
      <c r="X17" s="343"/>
      <c r="Y17" s="344"/>
      <c r="Z17" s="345">
        <v>0</v>
      </c>
      <c r="AA17" s="346"/>
      <c r="AB17" s="333"/>
      <c r="AC17" s="347"/>
      <c r="AD17" s="348">
        <v>0</v>
      </c>
      <c r="AE17" s="349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</row>
    <row r="18" spans="1:47" s="319" customFormat="1" ht="14.65" hidden="1" outlineLevel="1" thickBot="1" x14ac:dyDescent="0.5">
      <c r="A18" s="350" t="s">
        <v>30</v>
      </c>
      <c r="B18" s="351"/>
      <c r="C18" s="322"/>
      <c r="D18" s="323"/>
      <c r="E18" s="324"/>
      <c r="F18" s="325"/>
      <c r="G18" s="326"/>
      <c r="H18" s="327"/>
      <c r="I18" s="328"/>
      <c r="J18" s="325"/>
      <c r="K18" s="330"/>
      <c r="L18" s="331">
        <v>0</v>
      </c>
      <c r="M18" s="332"/>
      <c r="N18" s="333"/>
      <c r="O18" s="334"/>
      <c r="P18" s="335">
        <v>0</v>
      </c>
      <c r="Q18" s="336"/>
      <c r="R18" s="337"/>
      <c r="S18" s="338"/>
      <c r="T18" s="339"/>
      <c r="U18" s="340"/>
      <c r="V18" s="341">
        <v>0</v>
      </c>
      <c r="W18" s="342"/>
      <c r="X18" s="343"/>
      <c r="Y18" s="344"/>
      <c r="Z18" s="345">
        <v>0</v>
      </c>
      <c r="AA18" s="346"/>
      <c r="AB18" s="343"/>
      <c r="AC18" s="347">
        <v>900000</v>
      </c>
      <c r="AD18" s="348">
        <v>0</v>
      </c>
      <c r="AE18" s="349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</row>
    <row r="19" spans="1:47" s="319" customFormat="1" ht="14.65" hidden="1" outlineLevel="1" thickBot="1" x14ac:dyDescent="0.5">
      <c r="A19" s="350" t="s">
        <v>31</v>
      </c>
      <c r="B19" s="351"/>
      <c r="C19" s="322"/>
      <c r="D19" s="323"/>
      <c r="E19" s="324"/>
      <c r="F19" s="325"/>
      <c r="G19" s="326"/>
      <c r="H19" s="327"/>
      <c r="I19" s="328"/>
      <c r="J19" s="325"/>
      <c r="K19" s="330"/>
      <c r="L19" s="331">
        <v>0</v>
      </c>
      <c r="M19" s="332"/>
      <c r="N19" s="333"/>
      <c r="O19" s="334"/>
      <c r="P19" s="335">
        <v>0</v>
      </c>
      <c r="Q19" s="336"/>
      <c r="R19" s="337"/>
      <c r="S19" s="338"/>
      <c r="T19" s="339"/>
      <c r="U19" s="340"/>
      <c r="V19" s="341">
        <v>0</v>
      </c>
      <c r="W19" s="342"/>
      <c r="X19" s="343"/>
      <c r="Y19" s="344">
        <v>212639</v>
      </c>
      <c r="Z19" s="345">
        <v>212639</v>
      </c>
      <c r="AA19" s="346"/>
      <c r="AB19" s="343"/>
      <c r="AC19" s="347"/>
      <c r="AD19" s="348">
        <v>900000</v>
      </c>
      <c r="AE19" s="349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</row>
    <row r="20" spans="1:47" s="319" customFormat="1" ht="14.65" hidden="1" outlineLevel="1" thickBot="1" x14ac:dyDescent="0.5">
      <c r="A20" s="350" t="s">
        <v>32</v>
      </c>
      <c r="B20" s="351"/>
      <c r="C20" s="322"/>
      <c r="D20" s="323"/>
      <c r="E20" s="324"/>
      <c r="F20" s="325"/>
      <c r="G20" s="326"/>
      <c r="H20" s="327"/>
      <c r="I20" s="328"/>
      <c r="J20" s="325"/>
      <c r="K20" s="330"/>
      <c r="L20" s="331">
        <v>0</v>
      </c>
      <c r="M20" s="332"/>
      <c r="N20" s="333"/>
      <c r="O20" s="334"/>
      <c r="P20" s="335">
        <v>0</v>
      </c>
      <c r="Q20" s="336"/>
      <c r="R20" s="337"/>
      <c r="S20" s="338"/>
      <c r="T20" s="339"/>
      <c r="U20" s="340"/>
      <c r="V20" s="341">
        <v>0</v>
      </c>
      <c r="W20" s="342"/>
      <c r="X20" s="343"/>
      <c r="Y20" s="344">
        <v>443000</v>
      </c>
      <c r="Z20" s="345">
        <v>443000</v>
      </c>
      <c r="AA20" s="346"/>
      <c r="AB20" s="343"/>
      <c r="AC20" s="347"/>
      <c r="AD20" s="348">
        <v>0</v>
      </c>
      <c r="AE20" s="349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</row>
    <row r="21" spans="1:47" s="319" customFormat="1" ht="14.65" hidden="1" outlineLevel="1" thickBot="1" x14ac:dyDescent="0.5">
      <c r="A21" s="320" t="s">
        <v>33</v>
      </c>
      <c r="B21" s="321"/>
      <c r="C21" s="322"/>
      <c r="D21" s="323"/>
      <c r="E21" s="324"/>
      <c r="F21" s="325"/>
      <c r="G21" s="326"/>
      <c r="H21" s="327"/>
      <c r="I21" s="328"/>
      <c r="J21" s="325"/>
      <c r="K21" s="330">
        <v>44781</v>
      </c>
      <c r="L21" s="331">
        <v>44781</v>
      </c>
      <c r="M21" s="332"/>
      <c r="N21" s="343"/>
      <c r="O21" s="334">
        <v>114352</v>
      </c>
      <c r="P21" s="335">
        <v>114352</v>
      </c>
      <c r="Q21" s="336"/>
      <c r="R21" s="337"/>
      <c r="S21" s="338"/>
      <c r="T21" s="339"/>
      <c r="U21" s="340">
        <v>79530</v>
      </c>
      <c r="V21" s="341">
        <v>79002</v>
      </c>
      <c r="W21" s="342"/>
      <c r="X21" s="343"/>
      <c r="Y21" s="344">
        <v>214270</v>
      </c>
      <c r="Z21" s="345">
        <v>366611</v>
      </c>
      <c r="AA21" s="346"/>
      <c r="AB21" s="343"/>
      <c r="AC21" s="347">
        <v>299381</v>
      </c>
      <c r="AD21" s="348">
        <v>299381</v>
      </c>
      <c r="AE21" s="349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</row>
    <row r="22" spans="1:47" s="319" customFormat="1" ht="14.65" hidden="1" outlineLevel="1" thickBot="1" x14ac:dyDescent="0.5">
      <c r="A22" s="320" t="s">
        <v>34</v>
      </c>
      <c r="B22" s="321"/>
      <c r="C22" s="322"/>
      <c r="D22" s="323"/>
      <c r="E22" s="324"/>
      <c r="F22" s="325"/>
      <c r="G22" s="326"/>
      <c r="H22" s="327"/>
      <c r="I22" s="328"/>
      <c r="J22" s="325"/>
      <c r="K22" s="330"/>
      <c r="L22" s="331">
        <v>0</v>
      </c>
      <c r="M22" s="332"/>
      <c r="N22" s="343"/>
      <c r="O22" s="334">
        <v>200</v>
      </c>
      <c r="P22" s="335">
        <v>0</v>
      </c>
      <c r="Q22" s="336"/>
      <c r="R22" s="337"/>
      <c r="S22" s="338"/>
      <c r="T22" s="339"/>
      <c r="U22" s="340"/>
      <c r="V22" s="341">
        <v>0</v>
      </c>
      <c r="W22" s="342"/>
      <c r="X22" s="343"/>
      <c r="Y22" s="344"/>
      <c r="Z22" s="345">
        <v>0</v>
      </c>
      <c r="AA22" s="346"/>
      <c r="AB22" s="343"/>
      <c r="AC22" s="347"/>
      <c r="AD22" s="348">
        <v>0</v>
      </c>
      <c r="AE22" s="349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</row>
    <row r="23" spans="1:47" s="319" customFormat="1" ht="14.65" hidden="1" outlineLevel="1" thickBot="1" x14ac:dyDescent="0.5">
      <c r="A23" s="320" t="s">
        <v>35</v>
      </c>
      <c r="B23" s="321"/>
      <c r="C23" s="322"/>
      <c r="D23" s="323"/>
      <c r="E23" s="324"/>
      <c r="F23" s="325"/>
      <c r="G23" s="326"/>
      <c r="H23" s="327"/>
      <c r="I23" s="328"/>
      <c r="J23" s="325"/>
      <c r="K23" s="330">
        <v>707</v>
      </c>
      <c r="L23" s="331">
        <v>707</v>
      </c>
      <c r="M23" s="332"/>
      <c r="N23" s="343"/>
      <c r="O23" s="334">
        <v>1805</v>
      </c>
      <c r="P23" s="335">
        <v>1805</v>
      </c>
      <c r="Q23" s="336"/>
      <c r="R23" s="337"/>
      <c r="S23" s="338"/>
      <c r="T23" s="339"/>
      <c r="U23" s="340"/>
      <c r="V23" s="341">
        <v>0</v>
      </c>
      <c r="W23" s="342"/>
      <c r="X23" s="343"/>
      <c r="Y23" s="344"/>
      <c r="Z23" s="345">
        <v>0</v>
      </c>
      <c r="AA23" s="346"/>
      <c r="AB23" s="343"/>
      <c r="AC23" s="347"/>
      <c r="AD23" s="348">
        <v>39000</v>
      </c>
      <c r="AE23" s="349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</row>
    <row r="24" spans="1:47" s="319" customFormat="1" ht="14.65" hidden="1" outlineLevel="1" thickBot="1" x14ac:dyDescent="0.5">
      <c r="A24" s="320" t="s">
        <v>36</v>
      </c>
      <c r="B24" s="321"/>
      <c r="C24" s="322"/>
      <c r="D24" s="323"/>
      <c r="E24" s="324"/>
      <c r="F24" s="325"/>
      <c r="G24" s="326">
        <v>35619</v>
      </c>
      <c r="H24" s="327">
        <v>29511</v>
      </c>
      <c r="I24" s="328"/>
      <c r="J24" s="325"/>
      <c r="K24" s="330">
        <v>1710</v>
      </c>
      <c r="L24" s="331">
        <v>1710</v>
      </c>
      <c r="M24" s="332"/>
      <c r="N24" s="343"/>
      <c r="O24" s="334">
        <v>3300</v>
      </c>
      <c r="P24" s="335">
        <v>3300</v>
      </c>
      <c r="Q24" s="336"/>
      <c r="R24" s="337"/>
      <c r="S24" s="338"/>
      <c r="T24" s="339"/>
      <c r="U24" s="340">
        <v>9000</v>
      </c>
      <c r="V24" s="341">
        <v>0</v>
      </c>
      <c r="W24" s="342"/>
      <c r="X24" s="343"/>
      <c r="Y24" s="344">
        <v>38422</v>
      </c>
      <c r="Z24" s="345">
        <v>51483</v>
      </c>
      <c r="AA24" s="346"/>
      <c r="AB24" s="343"/>
      <c r="AC24" s="347"/>
      <c r="AD24" s="348">
        <v>0</v>
      </c>
      <c r="AE24" s="349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</row>
    <row r="25" spans="1:47" s="319" customFormat="1" ht="14.65" hidden="1" outlineLevel="1" thickBot="1" x14ac:dyDescent="0.5">
      <c r="A25" s="320" t="s">
        <v>37</v>
      </c>
      <c r="B25" s="321"/>
      <c r="C25" s="322"/>
      <c r="D25" s="323"/>
      <c r="E25" s="324"/>
      <c r="F25" s="325"/>
      <c r="G25" s="352"/>
      <c r="H25" s="327"/>
      <c r="I25" s="328"/>
      <c r="J25" s="325"/>
      <c r="K25" s="330">
        <v>2638</v>
      </c>
      <c r="L25" s="331">
        <v>2638</v>
      </c>
      <c r="M25" s="332"/>
      <c r="N25" s="343"/>
      <c r="O25" s="334">
        <v>3472</v>
      </c>
      <c r="P25" s="335">
        <v>3472</v>
      </c>
      <c r="Q25" s="336"/>
      <c r="R25" s="337"/>
      <c r="S25" s="338"/>
      <c r="T25" s="339"/>
      <c r="U25" s="340"/>
      <c r="V25" s="341">
        <v>0</v>
      </c>
      <c r="W25" s="342"/>
      <c r="X25" s="343"/>
      <c r="Y25" s="344">
        <v>50000</v>
      </c>
      <c r="Z25" s="345">
        <v>50769</v>
      </c>
      <c r="AA25" s="346"/>
      <c r="AB25" s="343"/>
      <c r="AC25" s="347"/>
      <c r="AD25" s="348">
        <v>0</v>
      </c>
      <c r="AE25" s="349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</row>
    <row r="26" spans="1:47" s="319" customFormat="1" ht="14.65" hidden="1" outlineLevel="1" thickBot="1" x14ac:dyDescent="0.5">
      <c r="A26" s="320" t="s">
        <v>38</v>
      </c>
      <c r="B26" s="321"/>
      <c r="C26" s="322"/>
      <c r="D26" s="323"/>
      <c r="E26" s="324"/>
      <c r="F26" s="325"/>
      <c r="G26" s="326">
        <v>22770</v>
      </c>
      <c r="H26" s="327">
        <v>15686</v>
      </c>
      <c r="I26" s="328"/>
      <c r="J26" s="325"/>
      <c r="K26" s="330"/>
      <c r="L26" s="331">
        <v>0</v>
      </c>
      <c r="M26" s="332"/>
      <c r="N26" s="343"/>
      <c r="O26" s="334"/>
      <c r="P26" s="335">
        <v>0</v>
      </c>
      <c r="Q26" s="336"/>
      <c r="R26" s="337"/>
      <c r="S26" s="338"/>
      <c r="T26" s="339"/>
      <c r="U26" s="340">
        <v>4000</v>
      </c>
      <c r="V26" s="341">
        <v>4474</v>
      </c>
      <c r="W26" s="342"/>
      <c r="X26" s="343"/>
      <c r="Y26" s="344">
        <v>21468</v>
      </c>
      <c r="Z26" s="345">
        <v>21925</v>
      </c>
      <c r="AA26" s="346"/>
      <c r="AB26" s="343"/>
      <c r="AC26" s="347"/>
      <c r="AD26" s="348">
        <v>0</v>
      </c>
      <c r="AE26" s="349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</row>
    <row r="27" spans="1:47" s="319" customFormat="1" ht="14.65" hidden="1" outlineLevel="1" thickBot="1" x14ac:dyDescent="0.5">
      <c r="A27" s="320" t="s">
        <v>39</v>
      </c>
      <c r="B27" s="321"/>
      <c r="C27" s="322"/>
      <c r="D27" s="323"/>
      <c r="E27" s="324"/>
      <c r="F27" s="325"/>
      <c r="G27" s="326"/>
      <c r="H27" s="327"/>
      <c r="I27" s="328"/>
      <c r="J27" s="325"/>
      <c r="K27" s="330">
        <v>32000</v>
      </c>
      <c r="L27" s="331">
        <v>34944.44</v>
      </c>
      <c r="M27" s="332"/>
      <c r="N27" s="343"/>
      <c r="O27" s="334">
        <v>68607</v>
      </c>
      <c r="P27" s="335">
        <v>71250</v>
      </c>
      <c r="Q27" s="336"/>
      <c r="R27" s="337"/>
      <c r="S27" s="338"/>
      <c r="T27" s="339"/>
      <c r="U27" s="340"/>
      <c r="V27" s="341">
        <v>0</v>
      </c>
      <c r="W27" s="342"/>
      <c r="X27" s="343"/>
      <c r="Y27" s="344">
        <v>219600</v>
      </c>
      <c r="Z27" s="345">
        <v>197902</v>
      </c>
      <c r="AA27" s="346"/>
      <c r="AB27" s="343"/>
      <c r="AC27" s="347"/>
      <c r="AD27" s="348">
        <v>37625</v>
      </c>
      <c r="AE27" s="349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</row>
    <row r="28" spans="1:47" s="319" customFormat="1" ht="14.65" hidden="1" outlineLevel="1" thickBot="1" x14ac:dyDescent="0.5">
      <c r="A28" s="320" t="s">
        <v>40</v>
      </c>
      <c r="B28" s="321"/>
      <c r="C28" s="322"/>
      <c r="D28" s="323"/>
      <c r="E28" s="324"/>
      <c r="F28" s="325"/>
      <c r="G28" s="326"/>
      <c r="H28" s="327"/>
      <c r="I28" s="328"/>
      <c r="J28" s="325"/>
      <c r="K28" s="330"/>
      <c r="L28" s="331">
        <v>8767.9699999999993</v>
      </c>
      <c r="M28" s="332"/>
      <c r="N28" s="343"/>
      <c r="O28" s="334">
        <v>16602</v>
      </c>
      <c r="P28" s="335">
        <v>16659.14</v>
      </c>
      <c r="Q28" s="336"/>
      <c r="R28" s="337"/>
      <c r="S28" s="338"/>
      <c r="T28" s="339"/>
      <c r="U28" s="340"/>
      <c r="V28" s="341">
        <v>0</v>
      </c>
      <c r="W28" s="342"/>
      <c r="X28" s="343"/>
      <c r="Y28" s="344"/>
      <c r="Z28" s="345">
        <v>0</v>
      </c>
      <c r="AA28" s="346"/>
      <c r="AB28" s="343"/>
      <c r="AC28" s="347"/>
      <c r="AD28" s="348">
        <v>0</v>
      </c>
      <c r="AE28" s="349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</row>
    <row r="29" spans="1:47" s="319" customFormat="1" ht="14.65" hidden="1" outlineLevel="1" thickBot="1" x14ac:dyDescent="0.5">
      <c r="A29" s="320" t="s">
        <v>41</v>
      </c>
      <c r="B29" s="321"/>
      <c r="C29" s="322"/>
      <c r="D29" s="323"/>
      <c r="E29" s="324"/>
      <c r="F29" s="325"/>
      <c r="G29" s="326">
        <v>156249</v>
      </c>
      <c r="H29" s="327">
        <v>74656</v>
      </c>
      <c r="I29" s="328"/>
      <c r="J29" s="325"/>
      <c r="K29" s="330">
        <v>17544</v>
      </c>
      <c r="L29" s="331">
        <v>17544</v>
      </c>
      <c r="M29" s="332"/>
      <c r="N29" s="343"/>
      <c r="O29" s="334">
        <v>6727</v>
      </c>
      <c r="P29" s="335">
        <v>6727</v>
      </c>
      <c r="Q29" s="336"/>
      <c r="R29" s="337"/>
      <c r="S29" s="338"/>
      <c r="T29" s="339"/>
      <c r="U29" s="340"/>
      <c r="V29" s="341">
        <v>34142</v>
      </c>
      <c r="W29" s="342"/>
      <c r="X29" s="343"/>
      <c r="Y29" s="344"/>
      <c r="Z29" s="345">
        <v>0</v>
      </c>
      <c r="AA29" s="346"/>
      <c r="AB29" s="343"/>
      <c r="AC29" s="347"/>
      <c r="AD29" s="348">
        <v>0</v>
      </c>
      <c r="AE29" s="349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</row>
    <row r="30" spans="1:47" s="319" customFormat="1" ht="14.65" hidden="1" outlineLevel="1" thickBot="1" x14ac:dyDescent="0.5">
      <c r="A30" s="353" t="s">
        <v>42</v>
      </c>
      <c r="B30" s="354"/>
      <c r="C30" s="322"/>
      <c r="D30" s="323"/>
      <c r="E30" s="324"/>
      <c r="F30" s="325"/>
      <c r="G30" s="326">
        <v>1134497</v>
      </c>
      <c r="H30" s="327">
        <v>1043138</v>
      </c>
      <c r="I30" s="328"/>
      <c r="J30" s="325"/>
      <c r="K30" s="330"/>
      <c r="L30" s="331">
        <v>123376</v>
      </c>
      <c r="M30" s="332"/>
      <c r="N30" s="343"/>
      <c r="O30" s="334">
        <v>120247</v>
      </c>
      <c r="P30" s="335">
        <v>120247</v>
      </c>
      <c r="Q30" s="336"/>
      <c r="R30" s="337"/>
      <c r="S30" s="338"/>
      <c r="T30" s="339"/>
      <c r="U30" s="340">
        <f>357331+120000</f>
        <v>477331</v>
      </c>
      <c r="V30" s="341">
        <v>518229.01</v>
      </c>
      <c r="W30" s="342"/>
      <c r="X30" s="343"/>
      <c r="Y30" s="344">
        <v>1560000</v>
      </c>
      <c r="Z30" s="345">
        <v>2217692</v>
      </c>
      <c r="AA30" s="346"/>
      <c r="AB30" s="343"/>
      <c r="AC30" s="347">
        <v>200000</v>
      </c>
      <c r="AD30" s="348">
        <v>367837</v>
      </c>
      <c r="AE30" s="349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</row>
    <row r="31" spans="1:47" s="319" customFormat="1" ht="14.65" hidden="1" outlineLevel="1" thickBot="1" x14ac:dyDescent="0.5">
      <c r="A31" s="320" t="s">
        <v>43</v>
      </c>
      <c r="B31" s="321"/>
      <c r="C31" s="322"/>
      <c r="D31" s="323"/>
      <c r="E31" s="324"/>
      <c r="F31" s="325"/>
      <c r="G31" s="326">
        <v>329000</v>
      </c>
      <c r="H31" s="327">
        <v>156177</v>
      </c>
      <c r="I31" s="328"/>
      <c r="J31" s="325"/>
      <c r="K31" s="330">
        <v>81922</v>
      </c>
      <c r="L31" s="331">
        <v>81922</v>
      </c>
      <c r="M31" s="332"/>
      <c r="N31" s="343"/>
      <c r="O31" s="334">
        <v>132096</v>
      </c>
      <c r="P31" s="335">
        <v>141000</v>
      </c>
      <c r="Q31" s="336"/>
      <c r="R31" s="337"/>
      <c r="S31" s="338"/>
      <c r="T31" s="339"/>
      <c r="U31" s="340"/>
      <c r="V31" s="341">
        <v>0</v>
      </c>
      <c r="W31" s="342"/>
      <c r="X31" s="343"/>
      <c r="Y31" s="344"/>
      <c r="Z31" s="345">
        <v>0</v>
      </c>
      <c r="AA31" s="346"/>
      <c r="AB31" s="343"/>
      <c r="AC31" s="347"/>
      <c r="AD31" s="348">
        <v>0</v>
      </c>
      <c r="AE31" s="349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</row>
    <row r="32" spans="1:47" s="319" customFormat="1" ht="14.65" hidden="1" outlineLevel="1" thickBot="1" x14ac:dyDescent="0.5">
      <c r="A32" s="320" t="s">
        <v>44</v>
      </c>
      <c r="B32" s="321"/>
      <c r="C32" s="322"/>
      <c r="D32" s="323"/>
      <c r="E32" s="324"/>
      <c r="F32" s="325"/>
      <c r="G32" s="326">
        <v>48142</v>
      </c>
      <c r="H32" s="327">
        <v>48142</v>
      </c>
      <c r="I32" s="328"/>
      <c r="J32" s="325"/>
      <c r="K32" s="330">
        <v>19000</v>
      </c>
      <c r="L32" s="331">
        <v>18391</v>
      </c>
      <c r="M32" s="332"/>
      <c r="N32" s="343"/>
      <c r="O32" s="334">
        <v>17894</v>
      </c>
      <c r="P32" s="335">
        <v>17894</v>
      </c>
      <c r="Q32" s="336"/>
      <c r="R32" s="337"/>
      <c r="S32" s="338"/>
      <c r="T32" s="339"/>
      <c r="U32" s="340"/>
      <c r="V32" s="341">
        <v>0</v>
      </c>
      <c r="W32" s="342"/>
      <c r="X32" s="343"/>
      <c r="Y32" s="344"/>
      <c r="Z32" s="345">
        <v>0</v>
      </c>
      <c r="AA32" s="346"/>
      <c r="AB32" s="343"/>
      <c r="AC32" s="347"/>
      <c r="AD32" s="348">
        <v>0</v>
      </c>
      <c r="AE32" s="349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</row>
    <row r="33" spans="1:47" s="319" customFormat="1" ht="14.65" hidden="1" outlineLevel="1" thickBot="1" x14ac:dyDescent="0.5">
      <c r="A33" s="350" t="s">
        <v>45</v>
      </c>
      <c r="B33" s="351"/>
      <c r="C33" s="322"/>
      <c r="D33" s="323"/>
      <c r="E33" s="324"/>
      <c r="F33" s="325"/>
      <c r="G33" s="326"/>
      <c r="H33" s="327"/>
      <c r="I33" s="328"/>
      <c r="J33" s="325"/>
      <c r="K33" s="330"/>
      <c r="L33" s="331">
        <v>0</v>
      </c>
      <c r="M33" s="332"/>
      <c r="N33" s="343"/>
      <c r="O33" s="334"/>
      <c r="P33" s="335">
        <v>0</v>
      </c>
      <c r="Q33" s="336"/>
      <c r="R33" s="337"/>
      <c r="S33" s="338"/>
      <c r="T33" s="339"/>
      <c r="U33" s="340"/>
      <c r="V33" s="341">
        <v>0</v>
      </c>
      <c r="W33" s="342"/>
      <c r="X33" s="343"/>
      <c r="Y33" s="344"/>
      <c r="Z33" s="345">
        <v>87740</v>
      </c>
      <c r="AA33" s="346"/>
      <c r="AB33" s="343"/>
      <c r="AC33" s="347"/>
      <c r="AD33" s="348">
        <v>50000</v>
      </c>
      <c r="AE33" s="349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</row>
    <row r="34" spans="1:47" s="319" customFormat="1" ht="14.65" hidden="1" outlineLevel="1" thickBot="1" x14ac:dyDescent="0.5">
      <c r="A34" s="350" t="s">
        <v>46</v>
      </c>
      <c r="B34" s="351"/>
      <c r="C34" s="322"/>
      <c r="D34" s="323"/>
      <c r="E34" s="324"/>
      <c r="F34" s="325"/>
      <c r="G34" s="326"/>
      <c r="H34" s="327"/>
      <c r="I34" s="328"/>
      <c r="J34" s="325"/>
      <c r="K34" s="330"/>
      <c r="L34" s="331">
        <v>0</v>
      </c>
      <c r="M34" s="332"/>
      <c r="N34" s="343"/>
      <c r="O34" s="334"/>
      <c r="P34" s="335">
        <v>0</v>
      </c>
      <c r="Q34" s="336"/>
      <c r="R34" s="337"/>
      <c r="S34" s="338"/>
      <c r="T34" s="339"/>
      <c r="U34" s="340">
        <v>60000</v>
      </c>
      <c r="V34" s="341">
        <v>60000</v>
      </c>
      <c r="W34" s="342"/>
      <c r="X34" s="343"/>
      <c r="Y34" s="344"/>
      <c r="Z34" s="345">
        <v>0</v>
      </c>
      <c r="AA34" s="346"/>
      <c r="AB34" s="343"/>
      <c r="AC34" s="347"/>
      <c r="AD34" s="348">
        <v>0</v>
      </c>
      <c r="AE34" s="349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</row>
    <row r="35" spans="1:47" s="319" customFormat="1" ht="14.65" hidden="1" outlineLevel="1" thickBot="1" x14ac:dyDescent="0.5">
      <c r="A35" s="320" t="s">
        <v>47</v>
      </c>
      <c r="B35" s="321"/>
      <c r="C35" s="322"/>
      <c r="D35" s="323"/>
      <c r="E35" s="324"/>
      <c r="F35" s="325"/>
      <c r="G35" s="326"/>
      <c r="H35" s="327"/>
      <c r="I35" s="328"/>
      <c r="J35" s="325"/>
      <c r="K35" s="330">
        <v>32193</v>
      </c>
      <c r="L35" s="331">
        <v>29640</v>
      </c>
      <c r="M35" s="332"/>
      <c r="N35" s="343"/>
      <c r="O35" s="334">
        <v>68444</v>
      </c>
      <c r="P35" s="335">
        <v>66810</v>
      </c>
      <c r="Q35" s="336">
        <v>66810</v>
      </c>
      <c r="R35" s="337"/>
      <c r="S35" s="338"/>
      <c r="T35" s="339"/>
      <c r="U35" s="340"/>
      <c r="V35" s="341">
        <v>0</v>
      </c>
      <c r="W35" s="342"/>
      <c r="X35" s="343"/>
      <c r="Y35" s="344"/>
      <c r="Z35" s="345">
        <v>0</v>
      </c>
      <c r="AA35" s="346"/>
      <c r="AB35" s="343"/>
      <c r="AC35" s="347"/>
      <c r="AD35" s="348">
        <v>0</v>
      </c>
      <c r="AE35" s="349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</row>
    <row r="36" spans="1:47" s="319" customFormat="1" ht="14.65" hidden="1" outlineLevel="1" thickBot="1" x14ac:dyDescent="0.5">
      <c r="A36" s="320" t="s">
        <v>48</v>
      </c>
      <c r="B36" s="321"/>
      <c r="C36" s="322"/>
      <c r="D36" s="323"/>
      <c r="E36" s="324"/>
      <c r="F36" s="325"/>
      <c r="G36" s="326"/>
      <c r="H36" s="327"/>
      <c r="I36" s="328"/>
      <c r="J36" s="325"/>
      <c r="K36" s="330">
        <v>500</v>
      </c>
      <c r="L36" s="331">
        <v>781</v>
      </c>
      <c r="M36" s="332">
        <v>809.3</v>
      </c>
      <c r="N36" s="343"/>
      <c r="O36" s="334">
        <v>500</v>
      </c>
      <c r="P36" s="335">
        <v>500</v>
      </c>
      <c r="Q36" s="336">
        <v>500</v>
      </c>
      <c r="R36" s="337"/>
      <c r="S36" s="338"/>
      <c r="T36" s="339"/>
      <c r="U36" s="340"/>
      <c r="V36" s="341">
        <v>0</v>
      </c>
      <c r="W36" s="342"/>
      <c r="X36" s="343"/>
      <c r="Y36" s="344"/>
      <c r="Z36" s="345">
        <v>0</v>
      </c>
      <c r="AA36" s="346"/>
      <c r="AB36" s="343"/>
      <c r="AC36" s="347"/>
      <c r="AD36" s="348">
        <v>0</v>
      </c>
      <c r="AE36" s="349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</row>
    <row r="37" spans="1:47" s="319" customFormat="1" ht="14.65" hidden="1" outlineLevel="1" thickBot="1" x14ac:dyDescent="0.5">
      <c r="A37" s="320" t="s">
        <v>49</v>
      </c>
      <c r="B37" s="321"/>
      <c r="C37" s="322"/>
      <c r="D37" s="323"/>
      <c r="E37" s="324"/>
      <c r="F37" s="325"/>
      <c r="G37" s="326"/>
      <c r="H37" s="327"/>
      <c r="I37" s="328"/>
      <c r="J37" s="325"/>
      <c r="K37" s="330">
        <v>8000</v>
      </c>
      <c r="L37" s="331">
        <v>0</v>
      </c>
      <c r="M37" s="332"/>
      <c r="N37" s="343"/>
      <c r="O37" s="334">
        <v>15000</v>
      </c>
      <c r="P37" s="335">
        <v>0</v>
      </c>
      <c r="Q37" s="336"/>
      <c r="R37" s="337"/>
      <c r="S37" s="338"/>
      <c r="T37" s="339"/>
      <c r="U37" s="340"/>
      <c r="V37" s="341">
        <v>0</v>
      </c>
      <c r="W37" s="342"/>
      <c r="X37" s="343"/>
      <c r="Y37" s="344"/>
      <c r="Z37" s="345">
        <v>0</v>
      </c>
      <c r="AA37" s="346"/>
      <c r="AB37" s="343"/>
      <c r="AC37" s="347"/>
      <c r="AD37" s="348">
        <v>0</v>
      </c>
      <c r="AE37" s="349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</row>
    <row r="38" spans="1:47" s="319" customFormat="1" ht="14.65" hidden="1" outlineLevel="1" thickBot="1" x14ac:dyDescent="0.5">
      <c r="A38" s="320" t="s">
        <v>50</v>
      </c>
      <c r="B38" s="321"/>
      <c r="C38" s="322"/>
      <c r="D38" s="323"/>
      <c r="E38" s="324"/>
      <c r="F38" s="325"/>
      <c r="G38" s="326">
        <v>105373</v>
      </c>
      <c r="H38" s="327">
        <v>105373</v>
      </c>
      <c r="I38" s="328"/>
      <c r="J38" s="325"/>
      <c r="K38" s="330">
        <v>9878</v>
      </c>
      <c r="L38" s="331">
        <v>6388</v>
      </c>
      <c r="M38" s="332">
        <v>6965</v>
      </c>
      <c r="N38" s="343"/>
      <c r="O38" s="334">
        <v>14000</v>
      </c>
      <c r="P38" s="335">
        <v>8873</v>
      </c>
      <c r="Q38" s="336">
        <v>9680.64</v>
      </c>
      <c r="R38" s="337"/>
      <c r="S38" s="338"/>
      <c r="T38" s="339"/>
      <c r="U38" s="340"/>
      <c r="V38" s="341">
        <v>0</v>
      </c>
      <c r="W38" s="342"/>
      <c r="X38" s="343"/>
      <c r="Y38" s="344"/>
      <c r="Z38" s="345">
        <v>0</v>
      </c>
      <c r="AA38" s="346"/>
      <c r="AB38" s="343"/>
      <c r="AC38" s="347"/>
      <c r="AD38" s="348">
        <v>0</v>
      </c>
      <c r="AE38" s="349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</row>
    <row r="39" spans="1:47" s="319" customFormat="1" ht="14.65" hidden="1" outlineLevel="1" thickBot="1" x14ac:dyDescent="0.5">
      <c r="A39" s="320" t="s">
        <v>51</v>
      </c>
      <c r="B39" s="321"/>
      <c r="C39" s="322"/>
      <c r="D39" s="323"/>
      <c r="E39" s="324"/>
      <c r="F39" s="325"/>
      <c r="G39" s="326"/>
      <c r="H39" s="327">
        <v>0</v>
      </c>
      <c r="I39" s="328"/>
      <c r="J39" s="325"/>
      <c r="K39" s="330">
        <v>630</v>
      </c>
      <c r="L39" s="331">
        <v>630</v>
      </c>
      <c r="M39" s="332"/>
      <c r="N39" s="343"/>
      <c r="O39" s="334">
        <v>293</v>
      </c>
      <c r="P39" s="335">
        <v>293</v>
      </c>
      <c r="Q39" s="336"/>
      <c r="R39" s="337"/>
      <c r="S39" s="338"/>
      <c r="T39" s="339"/>
      <c r="U39" s="340"/>
      <c r="V39" s="341">
        <v>0</v>
      </c>
      <c r="W39" s="342"/>
      <c r="X39" s="343"/>
      <c r="Y39" s="344"/>
      <c r="Z39" s="345">
        <v>0</v>
      </c>
      <c r="AA39" s="346"/>
      <c r="AB39" s="343"/>
      <c r="AC39" s="347"/>
      <c r="AD39" s="348">
        <v>0</v>
      </c>
      <c r="AE39" s="349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</row>
    <row r="40" spans="1:47" s="319" customFormat="1" ht="14.65" hidden="1" outlineLevel="1" thickBot="1" x14ac:dyDescent="0.5">
      <c r="A40" s="320" t="s">
        <v>52</v>
      </c>
      <c r="B40" s="321"/>
      <c r="C40" s="322"/>
      <c r="D40" s="323"/>
      <c r="E40" s="324"/>
      <c r="F40" s="325"/>
      <c r="G40" s="326"/>
      <c r="H40" s="327">
        <v>0</v>
      </c>
      <c r="I40" s="328"/>
      <c r="J40" s="325"/>
      <c r="K40" s="330"/>
      <c r="L40" s="331">
        <v>1484</v>
      </c>
      <c r="M40" s="332"/>
      <c r="N40" s="343"/>
      <c r="O40" s="334">
        <v>3763</v>
      </c>
      <c r="P40" s="335">
        <v>3763</v>
      </c>
      <c r="Q40" s="336"/>
      <c r="R40" s="337"/>
      <c r="S40" s="338"/>
      <c r="T40" s="339"/>
      <c r="U40" s="340"/>
      <c r="V40" s="341">
        <v>0</v>
      </c>
      <c r="W40" s="342"/>
      <c r="X40" s="343"/>
      <c r="Y40" s="344"/>
      <c r="Z40" s="345">
        <v>0</v>
      </c>
      <c r="AA40" s="346"/>
      <c r="AB40" s="343"/>
      <c r="AC40" s="347"/>
      <c r="AD40" s="348">
        <v>0</v>
      </c>
      <c r="AE40" s="349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</row>
    <row r="41" spans="1:47" s="319" customFormat="1" ht="14.65" hidden="1" outlineLevel="1" thickBot="1" x14ac:dyDescent="0.5">
      <c r="A41" s="320" t="s">
        <v>53</v>
      </c>
      <c r="B41" s="321"/>
      <c r="C41" s="322"/>
      <c r="D41" s="323"/>
      <c r="E41" s="324">
        <f>E80</f>
        <v>0</v>
      </c>
      <c r="F41" s="325"/>
      <c r="G41" s="326"/>
      <c r="H41" s="327">
        <v>35610</v>
      </c>
      <c r="I41" s="328"/>
      <c r="J41" s="325"/>
      <c r="K41" s="330">
        <v>35160</v>
      </c>
      <c r="L41" s="331">
        <v>31963</v>
      </c>
      <c r="M41" s="332"/>
      <c r="N41" s="333"/>
      <c r="O41" s="334"/>
      <c r="P41" s="335">
        <v>36568</v>
      </c>
      <c r="Q41" s="336"/>
      <c r="R41" s="337"/>
      <c r="S41" s="338"/>
      <c r="T41" s="339"/>
      <c r="U41" s="340"/>
      <c r="V41" s="341">
        <v>0</v>
      </c>
      <c r="W41" s="342"/>
      <c r="X41" s="343"/>
      <c r="Y41" s="344"/>
      <c r="Z41" s="345">
        <v>0</v>
      </c>
      <c r="AA41" s="346"/>
      <c r="AB41" s="343"/>
      <c r="AC41" s="347"/>
      <c r="AD41" s="348">
        <v>0</v>
      </c>
      <c r="AE41" s="349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</row>
    <row r="42" spans="1:47" s="319" customFormat="1" ht="14.65" hidden="1" outlineLevel="1" thickBot="1" x14ac:dyDescent="0.5">
      <c r="A42" s="320" t="s">
        <v>54</v>
      </c>
      <c r="B42" s="321"/>
      <c r="C42" s="322"/>
      <c r="D42" s="323"/>
      <c r="E42" s="324"/>
      <c r="F42" s="325"/>
      <c r="G42" s="326">
        <v>30000</v>
      </c>
      <c r="H42" s="327">
        <v>30000</v>
      </c>
      <c r="I42" s="328"/>
      <c r="J42" s="329"/>
      <c r="K42" s="330"/>
      <c r="L42" s="331">
        <v>0</v>
      </c>
      <c r="M42" s="332"/>
      <c r="N42" s="343"/>
      <c r="O42" s="334"/>
      <c r="P42" s="335">
        <v>0</v>
      </c>
      <c r="Q42" s="336"/>
      <c r="R42" s="337"/>
      <c r="S42" s="338"/>
      <c r="T42" s="339"/>
      <c r="U42" s="340"/>
      <c r="V42" s="341">
        <v>0</v>
      </c>
      <c r="W42" s="342"/>
      <c r="X42" s="343"/>
      <c r="Y42" s="344"/>
      <c r="Z42" s="345">
        <v>0</v>
      </c>
      <c r="AA42" s="346"/>
      <c r="AB42" s="343"/>
      <c r="AC42" s="347"/>
      <c r="AD42" s="348">
        <v>0</v>
      </c>
      <c r="AE42" s="349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</row>
    <row r="43" spans="1:47" s="319" customFormat="1" ht="14.65" hidden="1" outlineLevel="1" thickBot="1" x14ac:dyDescent="0.5">
      <c r="A43" s="355" t="s">
        <v>55</v>
      </c>
      <c r="B43" s="356"/>
      <c r="C43" s="357"/>
      <c r="D43" s="358"/>
      <c r="E43" s="359"/>
      <c r="F43" s="360"/>
      <c r="G43" s="361"/>
      <c r="H43" s="362"/>
      <c r="I43" s="363"/>
      <c r="J43" s="360"/>
      <c r="K43" s="364"/>
      <c r="L43" s="365">
        <v>0</v>
      </c>
      <c r="M43" s="366"/>
      <c r="N43" s="367"/>
      <c r="O43" s="368"/>
      <c r="P43" s="369">
        <v>0</v>
      </c>
      <c r="Q43" s="370"/>
      <c r="R43" s="371"/>
      <c r="S43" s="372"/>
      <c r="T43" s="373"/>
      <c r="U43" s="374"/>
      <c r="V43" s="375">
        <v>0</v>
      </c>
      <c r="W43" s="376"/>
      <c r="X43" s="367"/>
      <c r="Y43" s="377"/>
      <c r="Z43" s="378">
        <v>0</v>
      </c>
      <c r="AA43" s="379"/>
      <c r="AB43" s="380"/>
      <c r="AC43" s="381">
        <v>147123</v>
      </c>
      <c r="AD43" s="382">
        <v>147123</v>
      </c>
      <c r="AE43" s="383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</row>
    <row r="44" spans="1:47" s="289" customFormat="1" ht="14.65" collapsed="1" thickBot="1" x14ac:dyDescent="0.5">
      <c r="A44" s="278" t="s">
        <v>56</v>
      </c>
      <c r="B44" s="279"/>
      <c r="C44" s="384">
        <f>SUM(C15:C43)</f>
        <v>500000</v>
      </c>
      <c r="D44" s="385">
        <f t="shared" ref="D44:AE44" si="3">SUM(D15:D43)</f>
        <v>1339000</v>
      </c>
      <c r="E44" s="386">
        <f t="shared" si="3"/>
        <v>2399000</v>
      </c>
      <c r="F44" s="387">
        <f t="shared" si="3"/>
        <v>0</v>
      </c>
      <c r="G44" s="388">
        <f t="shared" si="3"/>
        <v>2338820</v>
      </c>
      <c r="H44" s="389">
        <f t="shared" si="3"/>
        <v>2053295.34</v>
      </c>
      <c r="I44" s="390">
        <f t="shared" si="3"/>
        <v>156506.35</v>
      </c>
      <c r="J44" s="387">
        <f t="shared" si="3"/>
        <v>0</v>
      </c>
      <c r="K44" s="388">
        <f t="shared" si="3"/>
        <v>866663</v>
      </c>
      <c r="L44" s="389">
        <f t="shared" si="3"/>
        <v>743634.74</v>
      </c>
      <c r="M44" s="390">
        <f t="shared" si="3"/>
        <v>33537.78</v>
      </c>
      <c r="N44" s="391">
        <f t="shared" si="3"/>
        <v>0</v>
      </c>
      <c r="O44" s="388">
        <f t="shared" si="3"/>
        <v>907314</v>
      </c>
      <c r="P44" s="389">
        <f t="shared" si="3"/>
        <v>1063957.92</v>
      </c>
      <c r="Q44" s="390">
        <f t="shared" si="3"/>
        <v>126703.28</v>
      </c>
      <c r="R44" s="391">
        <f t="shared" si="3"/>
        <v>0</v>
      </c>
      <c r="S44" s="389">
        <f t="shared" si="3"/>
        <v>0</v>
      </c>
      <c r="T44" s="392">
        <f t="shared" si="3"/>
        <v>0</v>
      </c>
      <c r="U44" s="388">
        <f t="shared" si="3"/>
        <v>729861</v>
      </c>
      <c r="V44" s="389">
        <f t="shared" si="3"/>
        <v>895847.01</v>
      </c>
      <c r="W44" s="390">
        <f t="shared" si="3"/>
        <v>0</v>
      </c>
      <c r="X44" s="391">
        <f t="shared" si="3"/>
        <v>0</v>
      </c>
      <c r="Y44" s="388">
        <f t="shared" si="3"/>
        <v>2759399</v>
      </c>
      <c r="Z44" s="389">
        <f t="shared" si="3"/>
        <v>3649761</v>
      </c>
      <c r="AA44" s="390">
        <f t="shared" si="3"/>
        <v>0</v>
      </c>
      <c r="AB44" s="391">
        <f t="shared" si="3"/>
        <v>0</v>
      </c>
      <c r="AC44" s="388">
        <f t="shared" si="3"/>
        <v>2046504</v>
      </c>
      <c r="AD44" s="389">
        <f t="shared" si="3"/>
        <v>2140966</v>
      </c>
      <c r="AE44" s="390">
        <f t="shared" si="3"/>
        <v>0</v>
      </c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</row>
    <row r="45" spans="1:47" s="319" customFormat="1" ht="14.65" hidden="1" outlineLevel="1" thickBot="1" x14ac:dyDescent="0.5">
      <c r="A45" s="290" t="s">
        <v>57</v>
      </c>
      <c r="B45" s="291"/>
      <c r="C45" s="292"/>
      <c r="D45" s="293"/>
      <c r="E45" s="294"/>
      <c r="F45" s="295"/>
      <c r="G45" s="296"/>
      <c r="H45" s="297"/>
      <c r="I45" s="393"/>
      <c r="J45" s="394"/>
      <c r="K45" s="300"/>
      <c r="L45" s="301">
        <v>850000</v>
      </c>
      <c r="M45" s="302"/>
      <c r="N45" s="295"/>
      <c r="O45" s="304"/>
      <c r="P45" s="305">
        <v>0</v>
      </c>
      <c r="Q45" s="395"/>
      <c r="R45" s="307"/>
      <c r="S45" s="308"/>
      <c r="T45" s="309"/>
      <c r="U45" s="310"/>
      <c r="V45" s="311">
        <v>0</v>
      </c>
      <c r="W45" s="312"/>
      <c r="X45" s="295"/>
      <c r="Y45" s="313"/>
      <c r="Z45" s="314">
        <v>0</v>
      </c>
      <c r="AA45" s="315"/>
      <c r="AB45" s="396"/>
      <c r="AC45" s="316"/>
      <c r="AD45" s="317">
        <v>0</v>
      </c>
      <c r="AE45" s="318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</row>
    <row r="46" spans="1:47" s="319" customFormat="1" ht="14.65" hidden="1" outlineLevel="1" thickBot="1" x14ac:dyDescent="0.5">
      <c r="A46" s="320" t="s">
        <v>58</v>
      </c>
      <c r="B46" s="321"/>
      <c r="C46" s="397"/>
      <c r="D46" s="398"/>
      <c r="E46" s="399"/>
      <c r="F46" s="343"/>
      <c r="G46" s="326"/>
      <c r="H46" s="327"/>
      <c r="I46" s="328"/>
      <c r="J46" s="325"/>
      <c r="K46" s="330"/>
      <c r="L46" s="331">
        <v>30000</v>
      </c>
      <c r="M46" s="332"/>
      <c r="N46" s="343"/>
      <c r="O46" s="334"/>
      <c r="P46" s="335">
        <v>0</v>
      </c>
      <c r="Q46" s="336"/>
      <c r="R46" s="337"/>
      <c r="S46" s="338"/>
      <c r="T46" s="339"/>
      <c r="U46" s="340"/>
      <c r="V46" s="341"/>
      <c r="W46" s="342"/>
      <c r="X46" s="343"/>
      <c r="Y46" s="344"/>
      <c r="Z46" s="345">
        <v>0</v>
      </c>
      <c r="AA46" s="346"/>
      <c r="AB46" s="400"/>
      <c r="AC46" s="347"/>
      <c r="AD46" s="348">
        <v>0</v>
      </c>
      <c r="AE46" s="349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</row>
    <row r="47" spans="1:47" s="319" customFormat="1" ht="14.65" hidden="1" outlineLevel="1" thickBot="1" x14ac:dyDescent="0.5">
      <c r="A47" s="320" t="s">
        <v>59</v>
      </c>
      <c r="B47" s="321"/>
      <c r="C47" s="322"/>
      <c r="D47" s="323"/>
      <c r="E47" s="324"/>
      <c r="F47" s="325"/>
      <c r="G47" s="326"/>
      <c r="H47" s="327"/>
      <c r="I47" s="328"/>
      <c r="J47" s="325"/>
      <c r="K47" s="330"/>
      <c r="L47" s="331">
        <v>0</v>
      </c>
      <c r="M47" s="332"/>
      <c r="N47" s="343"/>
      <c r="O47" s="334"/>
      <c r="P47" s="335">
        <v>0</v>
      </c>
      <c r="Q47" s="336"/>
      <c r="R47" s="337"/>
      <c r="S47" s="338"/>
      <c r="T47" s="339"/>
      <c r="U47" s="340"/>
      <c r="V47" s="341"/>
      <c r="W47" s="342"/>
      <c r="X47" s="343"/>
      <c r="Y47" s="344"/>
      <c r="Z47" s="345">
        <v>0</v>
      </c>
      <c r="AA47" s="346"/>
      <c r="AB47" s="400"/>
      <c r="AC47" s="347"/>
      <c r="AD47" s="348">
        <v>0</v>
      </c>
      <c r="AE47" s="349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</row>
    <row r="48" spans="1:47" s="319" customFormat="1" ht="14.65" hidden="1" outlineLevel="1" thickBot="1" x14ac:dyDescent="0.5">
      <c r="A48" s="320" t="s">
        <v>60</v>
      </c>
      <c r="B48" s="321"/>
      <c r="C48" s="322">
        <v>200000</v>
      </c>
      <c r="D48" s="323">
        <v>200000</v>
      </c>
      <c r="E48" s="324"/>
      <c r="F48" s="325"/>
      <c r="G48" s="326"/>
      <c r="H48" s="327"/>
      <c r="I48" s="328"/>
      <c r="J48" s="325"/>
      <c r="K48" s="330"/>
      <c r="L48" s="331"/>
      <c r="M48" s="332"/>
      <c r="N48" s="343"/>
      <c r="O48" s="334"/>
      <c r="P48" s="335"/>
      <c r="Q48" s="336"/>
      <c r="R48" s="337"/>
      <c r="S48" s="338"/>
      <c r="T48" s="339"/>
      <c r="U48" s="340"/>
      <c r="V48" s="341"/>
      <c r="W48" s="342"/>
      <c r="X48" s="343"/>
      <c r="Y48" s="344"/>
      <c r="Z48" s="345"/>
      <c r="AA48" s="346"/>
      <c r="AB48" s="400"/>
      <c r="AC48" s="347"/>
      <c r="AD48" s="348"/>
      <c r="AE48" s="349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</row>
    <row r="49" spans="1:47" s="319" customFormat="1" ht="14.65" hidden="1" outlineLevel="1" thickBot="1" x14ac:dyDescent="0.5">
      <c r="A49" s="350" t="s">
        <v>61</v>
      </c>
      <c r="B49" s="351"/>
      <c r="C49" s="322"/>
      <c r="D49" s="323"/>
      <c r="E49" s="324">
        <f>17375.71</f>
        <v>17375.71</v>
      </c>
      <c r="F49" s="325"/>
      <c r="G49" s="326"/>
      <c r="H49" s="327"/>
      <c r="I49" s="328">
        <v>14778.91</v>
      </c>
      <c r="J49" s="325"/>
      <c r="K49" s="330"/>
      <c r="L49" s="331">
        <v>0</v>
      </c>
      <c r="M49" s="332">
        <f>16291.4+22239.13+3484+8990.89</f>
        <v>51005.42</v>
      </c>
      <c r="N49" s="333"/>
      <c r="O49" s="334"/>
      <c r="P49" s="335">
        <v>0</v>
      </c>
      <c r="Q49" s="336">
        <f>448.8+8335-64.95+25999.76</f>
        <v>34718.61</v>
      </c>
      <c r="R49" s="337"/>
      <c r="S49" s="338"/>
      <c r="T49" s="339"/>
      <c r="U49" s="340">
        <v>27250</v>
      </c>
      <c r="V49" s="341">
        <v>27250</v>
      </c>
      <c r="W49" s="342"/>
      <c r="X49" s="343"/>
      <c r="Y49" s="344">
        <v>70000</v>
      </c>
      <c r="Z49" s="345">
        <v>70000</v>
      </c>
      <c r="AA49" s="346"/>
      <c r="AB49" s="400"/>
      <c r="AC49" s="347">
        <v>80000</v>
      </c>
      <c r="AD49" s="348">
        <v>0</v>
      </c>
      <c r="AE49" s="349">
        <v>210.42</v>
      </c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</row>
    <row r="50" spans="1:47" s="319" customFormat="1" ht="14.65" hidden="1" outlineLevel="1" thickBot="1" x14ac:dyDescent="0.5">
      <c r="A50" s="350" t="s">
        <v>62</v>
      </c>
      <c r="B50" s="351"/>
      <c r="C50" s="397"/>
      <c r="D50" s="398"/>
      <c r="E50" s="399"/>
      <c r="F50" s="343"/>
      <c r="G50" s="401"/>
      <c r="H50" s="402"/>
      <c r="I50" s="403"/>
      <c r="J50" s="343"/>
      <c r="K50" s="330"/>
      <c r="L50" s="331">
        <v>0</v>
      </c>
      <c r="M50" s="332"/>
      <c r="N50" s="343"/>
      <c r="O50" s="334"/>
      <c r="P50" s="335">
        <v>0</v>
      </c>
      <c r="Q50" s="336"/>
      <c r="R50" s="337"/>
      <c r="S50" s="338"/>
      <c r="T50" s="339"/>
      <c r="U50" s="340"/>
      <c r="V50" s="341"/>
      <c r="W50" s="342"/>
      <c r="X50" s="343"/>
      <c r="Y50" s="344"/>
      <c r="Z50" s="345">
        <v>0</v>
      </c>
      <c r="AA50" s="346"/>
      <c r="AB50" s="400"/>
      <c r="AC50" s="347"/>
      <c r="AD50" s="348">
        <v>489040</v>
      </c>
      <c r="AE50" s="349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</row>
    <row r="51" spans="1:47" s="319" customFormat="1" ht="14.65" hidden="1" outlineLevel="1" thickBot="1" x14ac:dyDescent="0.5">
      <c r="A51" s="404" t="s">
        <v>63</v>
      </c>
      <c r="B51" s="405"/>
      <c r="C51" s="406">
        <f>'[1]Network FY23-FY27  Budget'!D5+'[1]Network FY23-FY27  Budget'!D6+'[1]Network FY23-FY27  Budget'!D7+'[1]Network FY23-FY27  Budget'!D8+'[1]Network FY23-FY27  Budget'!D9+'[1]Network FY23-FY27  Budget'!D10</f>
        <v>5350000</v>
      </c>
      <c r="D51" s="407">
        <f>H88+L88+P88+V88+Z88+AD88</f>
        <v>6665178.9624595186</v>
      </c>
      <c r="E51" s="408"/>
      <c r="F51" s="367"/>
      <c r="G51" s="409"/>
      <c r="H51" s="410"/>
      <c r="I51" s="411"/>
      <c r="J51" s="367"/>
      <c r="K51" s="364"/>
      <c r="L51" s="365">
        <v>0</v>
      </c>
      <c r="M51" s="366"/>
      <c r="N51" s="367"/>
      <c r="O51" s="368"/>
      <c r="P51" s="369"/>
      <c r="Q51" s="370"/>
      <c r="R51" s="371"/>
      <c r="S51" s="372"/>
      <c r="T51" s="412"/>
      <c r="U51" s="374"/>
      <c r="V51" s="375">
        <v>0</v>
      </c>
      <c r="W51" s="376"/>
      <c r="X51" s="380"/>
      <c r="Y51" s="377"/>
      <c r="Z51" s="378">
        <v>0</v>
      </c>
      <c r="AA51" s="379"/>
      <c r="AB51" s="380"/>
      <c r="AC51" s="381"/>
      <c r="AD51" s="348">
        <v>0</v>
      </c>
      <c r="AE51" s="383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</row>
    <row r="52" spans="1:47" s="319" customFormat="1" ht="14.65" hidden="1" outlineLevel="1" thickBot="1" x14ac:dyDescent="0.5">
      <c r="A52" s="404" t="s">
        <v>64</v>
      </c>
      <c r="B52" s="405"/>
      <c r="C52" s="406"/>
      <c r="D52" s="407">
        <f>-(H52+P52+V52+Z52+AD52+L52)</f>
        <v>-1299687</v>
      </c>
      <c r="E52" s="408"/>
      <c r="F52" s="367"/>
      <c r="G52" s="409"/>
      <c r="H52" s="410"/>
      <c r="I52" s="411"/>
      <c r="J52" s="367"/>
      <c r="K52" s="364"/>
      <c r="L52" s="365">
        <v>0</v>
      </c>
      <c r="M52" s="366"/>
      <c r="N52" s="367"/>
      <c r="O52" s="368"/>
      <c r="P52" s="369">
        <f>162838+430000</f>
        <v>592838</v>
      </c>
      <c r="Q52" s="370"/>
      <c r="R52" s="371"/>
      <c r="S52" s="372"/>
      <c r="T52" s="412"/>
      <c r="U52" s="374"/>
      <c r="V52" s="375">
        <v>0</v>
      </c>
      <c r="W52" s="376"/>
      <c r="X52" s="380"/>
      <c r="Y52" s="377"/>
      <c r="Z52" s="378">
        <v>0</v>
      </c>
      <c r="AA52" s="379"/>
      <c r="AB52" s="380"/>
      <c r="AC52" s="381"/>
      <c r="AD52" s="413">
        <v>706849</v>
      </c>
      <c r="AE52" s="383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</row>
    <row r="53" spans="1:47" s="289" customFormat="1" ht="14.65" collapsed="1" thickBot="1" x14ac:dyDescent="0.5">
      <c r="A53" s="414" t="s">
        <v>65</v>
      </c>
      <c r="B53" s="415"/>
      <c r="C53" s="416">
        <f>SUM(C45:C52)</f>
        <v>5550000</v>
      </c>
      <c r="D53" s="417">
        <f t="shared" ref="D53:AE53" si="4">SUM(D45:D52)</f>
        <v>5565491.9624595186</v>
      </c>
      <c r="E53" s="418">
        <f t="shared" si="4"/>
        <v>17375.71</v>
      </c>
      <c r="F53" s="419">
        <f t="shared" si="4"/>
        <v>0</v>
      </c>
      <c r="G53" s="420">
        <f t="shared" si="4"/>
        <v>0</v>
      </c>
      <c r="H53" s="421">
        <f t="shared" si="4"/>
        <v>0</v>
      </c>
      <c r="I53" s="422">
        <f t="shared" si="4"/>
        <v>14778.91</v>
      </c>
      <c r="J53" s="419">
        <f t="shared" si="4"/>
        <v>0</v>
      </c>
      <c r="K53" s="420">
        <f t="shared" si="4"/>
        <v>0</v>
      </c>
      <c r="L53" s="421">
        <f t="shared" si="4"/>
        <v>880000</v>
      </c>
      <c r="M53" s="422">
        <f t="shared" si="4"/>
        <v>51005.42</v>
      </c>
      <c r="N53" s="419">
        <f t="shared" si="4"/>
        <v>0</v>
      </c>
      <c r="O53" s="420">
        <f t="shared" si="4"/>
        <v>0</v>
      </c>
      <c r="P53" s="421">
        <f t="shared" si="4"/>
        <v>592838</v>
      </c>
      <c r="Q53" s="422">
        <f t="shared" si="4"/>
        <v>34718.61</v>
      </c>
      <c r="R53" s="419">
        <f t="shared" si="4"/>
        <v>0</v>
      </c>
      <c r="S53" s="421">
        <f t="shared" si="4"/>
        <v>0</v>
      </c>
      <c r="T53" s="423">
        <f t="shared" si="4"/>
        <v>0</v>
      </c>
      <c r="U53" s="420">
        <f t="shared" si="4"/>
        <v>27250</v>
      </c>
      <c r="V53" s="421">
        <f t="shared" si="4"/>
        <v>27250</v>
      </c>
      <c r="W53" s="422">
        <f t="shared" si="4"/>
        <v>0</v>
      </c>
      <c r="X53" s="419">
        <f t="shared" si="4"/>
        <v>0</v>
      </c>
      <c r="Y53" s="420">
        <f t="shared" si="4"/>
        <v>70000</v>
      </c>
      <c r="Z53" s="421">
        <f t="shared" si="4"/>
        <v>70000</v>
      </c>
      <c r="AA53" s="422">
        <f t="shared" si="4"/>
        <v>0</v>
      </c>
      <c r="AB53" s="419">
        <f t="shared" si="4"/>
        <v>0</v>
      </c>
      <c r="AC53" s="420">
        <f t="shared" si="4"/>
        <v>80000</v>
      </c>
      <c r="AD53" s="421">
        <f t="shared" si="4"/>
        <v>1195889</v>
      </c>
      <c r="AE53" s="422">
        <f t="shared" si="4"/>
        <v>210.42</v>
      </c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 s="434" customFormat="1" ht="18.399999999999999" thickBot="1" x14ac:dyDescent="0.6">
      <c r="A54" s="424" t="s">
        <v>66</v>
      </c>
      <c r="B54" s="425"/>
      <c r="C54" s="426">
        <f>C14+C44+C53</f>
        <v>6050000</v>
      </c>
      <c r="D54" s="427">
        <f t="shared" ref="D54:AD54" si="5">D14+D44+D53</f>
        <v>6904491.9624595186</v>
      </c>
      <c r="E54" s="428">
        <f t="shared" si="5"/>
        <v>2416375.71</v>
      </c>
      <c r="F54" s="429">
        <f t="shared" si="5"/>
        <v>0</v>
      </c>
      <c r="G54" s="430">
        <f t="shared" si="5"/>
        <v>14167731</v>
      </c>
      <c r="H54" s="431">
        <f t="shared" si="5"/>
        <v>12344572.100000001</v>
      </c>
      <c r="I54" s="432">
        <f t="shared" si="5"/>
        <v>6005525.2599999998</v>
      </c>
      <c r="J54" s="429">
        <f t="shared" si="5"/>
        <v>0</v>
      </c>
      <c r="K54" s="430">
        <f>K14+K44+K53</f>
        <v>3127607</v>
      </c>
      <c r="L54" s="431">
        <f t="shared" si="5"/>
        <v>3526369.74</v>
      </c>
      <c r="M54" s="432">
        <f t="shared" si="5"/>
        <v>1024581.2400000001</v>
      </c>
      <c r="N54" s="429">
        <f t="shared" si="5"/>
        <v>0</v>
      </c>
      <c r="O54" s="430">
        <f>O14+O44+O53</f>
        <v>5204398</v>
      </c>
      <c r="P54" s="431">
        <f t="shared" si="5"/>
        <v>4663790.92</v>
      </c>
      <c r="Q54" s="432">
        <f t="shared" si="5"/>
        <v>2048563.77</v>
      </c>
      <c r="R54" s="429">
        <f t="shared" si="5"/>
        <v>0</v>
      </c>
      <c r="S54" s="431">
        <f t="shared" si="5"/>
        <v>0</v>
      </c>
      <c r="T54" s="433">
        <f t="shared" si="5"/>
        <v>0</v>
      </c>
      <c r="U54" s="430">
        <f>U14+U44+U53</f>
        <v>5472534</v>
      </c>
      <c r="V54" s="431">
        <f t="shared" si="5"/>
        <v>6033597.6781222699</v>
      </c>
      <c r="W54" s="432">
        <f t="shared" si="5"/>
        <v>1755033.04</v>
      </c>
      <c r="X54" s="429">
        <f t="shared" si="5"/>
        <v>0</v>
      </c>
      <c r="Y54" s="430">
        <f t="shared" si="5"/>
        <v>17554868</v>
      </c>
      <c r="Z54" s="431">
        <f t="shared" si="5"/>
        <v>18447775.339730192</v>
      </c>
      <c r="AA54" s="432">
        <f t="shared" si="5"/>
        <v>6505762.2999999998</v>
      </c>
      <c r="AB54" s="429">
        <f t="shared" si="5"/>
        <v>0</v>
      </c>
      <c r="AC54" s="430">
        <f t="shared" si="5"/>
        <v>5815979</v>
      </c>
      <c r="AD54" s="431">
        <f t="shared" si="5"/>
        <v>5558935.0820035459</v>
      </c>
      <c r="AE54" s="432">
        <f>AE53+AE44+AE14</f>
        <v>1378870.42</v>
      </c>
      <c r="AG54" s="435"/>
      <c r="AH54" s="435"/>
      <c r="AI54" s="435"/>
      <c r="AJ54" s="435"/>
      <c r="AK54" s="435"/>
      <c r="AL54" s="435"/>
      <c r="AM54" s="435"/>
      <c r="AN54" s="435"/>
      <c r="AO54" s="435"/>
      <c r="AP54" s="435"/>
      <c r="AQ54" s="435"/>
      <c r="AR54" s="435"/>
      <c r="AS54" s="435"/>
      <c r="AT54" s="435"/>
      <c r="AU54" s="435"/>
    </row>
    <row r="55" spans="1:47" s="190" customFormat="1" ht="21.4" thickBot="1" x14ac:dyDescent="0.7">
      <c r="A55" s="184" t="s">
        <v>67</v>
      </c>
      <c r="B55" s="185"/>
      <c r="C55" s="436"/>
      <c r="D55" s="436"/>
      <c r="E55" s="436"/>
      <c r="F55" s="185"/>
      <c r="G55" s="186"/>
      <c r="H55" s="186"/>
      <c r="I55" s="186"/>
      <c r="J55" s="186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437"/>
      <c r="AC55" s="185"/>
      <c r="AD55" s="185"/>
      <c r="AE55" s="189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</row>
    <row r="56" spans="1:47" s="445" customFormat="1" ht="14.65" hidden="1" outlineLevel="2" thickBot="1" x14ac:dyDescent="0.5">
      <c r="A56" s="438" t="s">
        <v>68</v>
      </c>
      <c r="B56" s="439"/>
      <c r="C56" s="292"/>
      <c r="D56" s="293"/>
      <c r="E56" s="294"/>
      <c r="F56" s="295"/>
      <c r="G56" s="440">
        <v>3778000</v>
      </c>
      <c r="H56" s="441">
        <v>3601000</v>
      </c>
      <c r="I56" s="442">
        <f>1853747.31-103543.06-20000</f>
        <v>1730204.25</v>
      </c>
      <c r="J56" s="299"/>
      <c r="K56" s="300">
        <v>1410000</v>
      </c>
      <c r="L56" s="301">
        <f>'[1]C2 FY23 Staffing'!F26</f>
        <v>1339000</v>
      </c>
      <c r="M56" s="302">
        <f>569026.5-30107.61-53560</f>
        <v>485358.89</v>
      </c>
      <c r="N56" s="303"/>
      <c r="O56" s="304">
        <v>1899000</v>
      </c>
      <c r="P56" s="305">
        <f>+(1648000-69000)</f>
        <v>1579000</v>
      </c>
      <c r="Q56" s="395">
        <f>788538.6-33323.65-70000-65920</f>
        <v>619294.94999999995</v>
      </c>
      <c r="R56" s="307"/>
      <c r="S56" s="443"/>
      <c r="T56" s="444"/>
      <c r="U56" s="310">
        <v>2421000</v>
      </c>
      <c r="V56" s="311">
        <f>'[1]SHES FY23 Staffing '!F31</f>
        <v>2541000</v>
      </c>
      <c r="W56" s="312">
        <v>937640.78</v>
      </c>
      <c r="X56" s="303"/>
      <c r="Y56" s="313">
        <v>6579000</v>
      </c>
      <c r="Z56" s="314">
        <f>'[1]Ector FY23 Staffing'!F30</f>
        <v>6057000</v>
      </c>
      <c r="AA56" s="315">
        <v>1913615.86</v>
      </c>
      <c r="AB56" s="396"/>
      <c r="AC56" s="316">
        <v>2022000</v>
      </c>
      <c r="AD56" s="317">
        <f>'[1]Mendez FY23 Staffing'!F20</f>
        <v>1844000</v>
      </c>
      <c r="AE56" s="318">
        <v>901535.14</v>
      </c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</row>
    <row r="57" spans="1:47" s="445" customFormat="1" ht="14.65" hidden="1" outlineLevel="2" thickBot="1" x14ac:dyDescent="0.5">
      <c r="A57" s="446" t="s">
        <v>69</v>
      </c>
      <c r="B57" s="447"/>
      <c r="C57" s="397"/>
      <c r="D57" s="398"/>
      <c r="E57" s="399"/>
      <c r="F57" s="343"/>
      <c r="G57" s="401">
        <v>20000</v>
      </c>
      <c r="H57" s="402">
        <v>20000</v>
      </c>
      <c r="I57" s="403">
        <v>20000</v>
      </c>
      <c r="J57" s="343"/>
      <c r="K57" s="330"/>
      <c r="L57" s="448">
        <v>53560</v>
      </c>
      <c r="M57" s="332">
        <v>53560</v>
      </c>
      <c r="N57" s="343"/>
      <c r="O57" s="334"/>
      <c r="P57" s="335">
        <v>65920</v>
      </c>
      <c r="Q57" s="336">
        <v>65920</v>
      </c>
      <c r="R57" s="337"/>
      <c r="S57" s="449"/>
      <c r="T57" s="450"/>
      <c r="U57" s="340"/>
      <c r="V57" s="341">
        <v>0</v>
      </c>
      <c r="W57" s="342"/>
      <c r="X57" s="343"/>
      <c r="Y57" s="344">
        <v>26400</v>
      </c>
      <c r="Z57" s="345">
        <v>26400</v>
      </c>
      <c r="AA57" s="346"/>
      <c r="AB57" s="343"/>
      <c r="AC57" s="347">
        <v>15000</v>
      </c>
      <c r="AD57" s="348">
        <v>15000</v>
      </c>
      <c r="AE57" s="349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</row>
    <row r="58" spans="1:47" s="445" customFormat="1" ht="14.65" hidden="1" outlineLevel="2" thickBot="1" x14ac:dyDescent="0.5">
      <c r="A58" s="446" t="s">
        <v>70</v>
      </c>
      <c r="B58" s="447"/>
      <c r="C58" s="397"/>
      <c r="D58" s="398"/>
      <c r="E58" s="399"/>
      <c r="F58" s="343"/>
      <c r="G58" s="401">
        <v>118520</v>
      </c>
      <c r="H58" s="402">
        <f>H56*0.04</f>
        <v>144040</v>
      </c>
      <c r="I58" s="403"/>
      <c r="J58" s="343"/>
      <c r="K58" s="330">
        <v>47280</v>
      </c>
      <c r="L58" s="448">
        <v>0</v>
      </c>
      <c r="M58" s="451"/>
      <c r="N58" s="343"/>
      <c r="O58" s="334">
        <v>57400</v>
      </c>
      <c r="P58" s="335">
        <v>0</v>
      </c>
      <c r="Q58" s="336"/>
      <c r="R58" s="337"/>
      <c r="S58" s="449"/>
      <c r="T58" s="450"/>
      <c r="U58" s="340">
        <v>77920</v>
      </c>
      <c r="V58" s="341">
        <f>V56*0.04</f>
        <v>101640</v>
      </c>
      <c r="W58" s="342"/>
      <c r="X58" s="333"/>
      <c r="Y58" s="344">
        <v>182840</v>
      </c>
      <c r="Z58" s="345">
        <f>Z56*0.04</f>
        <v>242280</v>
      </c>
      <c r="AA58" s="346"/>
      <c r="AB58" s="343"/>
      <c r="AC58" s="347"/>
      <c r="AD58" s="348">
        <v>0</v>
      </c>
      <c r="AE58" s="349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</row>
    <row r="59" spans="1:47" s="445" customFormat="1" ht="14.65" hidden="1" outlineLevel="2" thickBot="1" x14ac:dyDescent="0.5">
      <c r="A59" s="452" t="s">
        <v>71</v>
      </c>
      <c r="B59" s="453"/>
      <c r="C59" s="406"/>
      <c r="D59" s="407"/>
      <c r="E59" s="408">
        <f>3454.1+11132.17+9565.8+29009.43+22960.4+1087.5+242+1616.66</f>
        <v>79068.06</v>
      </c>
      <c r="F59" s="367"/>
      <c r="G59" s="409">
        <v>1281476</v>
      </c>
      <c r="H59" s="410">
        <v>1192082</v>
      </c>
      <c r="I59" s="411">
        <f>374+26510.56+374530.37+119565.9+9507.3+1540.45+5379.08+28696</f>
        <v>566103.65999999992</v>
      </c>
      <c r="J59" s="454"/>
      <c r="K59" s="364">
        <v>466844</v>
      </c>
      <c r="L59" s="365">
        <f>'[1]C2 FY23 Staffing'!N26</f>
        <v>452192.90800000005</v>
      </c>
      <c r="M59" s="366">
        <f>128419.12+2677.5+347.25</f>
        <v>131443.87</v>
      </c>
      <c r="N59" s="455"/>
      <c r="O59" s="368">
        <v>637744</v>
      </c>
      <c r="P59" s="369">
        <f>+(562402-22885)</f>
        <v>539517</v>
      </c>
      <c r="Q59" s="370">
        <f>231462.32+2660.15-24950</f>
        <v>209172.47</v>
      </c>
      <c r="R59" s="371"/>
      <c r="S59" s="456"/>
      <c r="T59" s="457"/>
      <c r="U59" s="374">
        <v>351203</v>
      </c>
      <c r="V59" s="375">
        <f>'[1]SHES FY23 Staffing '!N31</f>
        <v>367202.42399999994</v>
      </c>
      <c r="W59" s="376">
        <v>27393.58</v>
      </c>
      <c r="X59" s="367"/>
      <c r="Y59" s="377">
        <v>872374</v>
      </c>
      <c r="Z59" s="378">
        <f>'[1]Ector FY23 Staffing'!N30</f>
        <v>462390.19680000003</v>
      </c>
      <c r="AA59" s="379">
        <f>58015.28</f>
        <v>58015.28</v>
      </c>
      <c r="AB59" s="367"/>
      <c r="AC59" s="381">
        <v>325088</v>
      </c>
      <c r="AD59" s="382">
        <f>'[1]Mendez FY23 Staffing'!N20</f>
        <v>268627.74400000001</v>
      </c>
      <c r="AE59" s="383">
        <v>26899.35</v>
      </c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</row>
    <row r="60" spans="1:47" s="458" customFormat="1" ht="14.65" hidden="1" outlineLevel="1" thickBot="1" x14ac:dyDescent="0.5">
      <c r="A60" s="278" t="s">
        <v>72</v>
      </c>
      <c r="B60" s="279"/>
      <c r="C60" s="280">
        <f>SUM(C56:C59)</f>
        <v>0</v>
      </c>
      <c r="D60" s="281">
        <f t="shared" ref="D60:I60" si="6">SUM(D56:D59)</f>
        <v>0</v>
      </c>
      <c r="E60" s="282">
        <f t="shared" si="6"/>
        <v>79068.06</v>
      </c>
      <c r="F60" s="283">
        <f t="shared" si="6"/>
        <v>0</v>
      </c>
      <c r="G60" s="284">
        <f t="shared" si="6"/>
        <v>5197996</v>
      </c>
      <c r="H60" s="285">
        <f t="shared" si="6"/>
        <v>4957122</v>
      </c>
      <c r="I60" s="286">
        <f t="shared" si="6"/>
        <v>2316307.91</v>
      </c>
      <c r="J60" s="283"/>
      <c r="K60" s="284">
        <f t="shared" ref="K60:M60" si="7">SUM(K56:K59)</f>
        <v>1924124</v>
      </c>
      <c r="L60" s="285">
        <f t="shared" si="7"/>
        <v>1844752.9080000001</v>
      </c>
      <c r="M60" s="286">
        <f t="shared" si="7"/>
        <v>670362.76</v>
      </c>
      <c r="N60" s="283"/>
      <c r="O60" s="284">
        <f t="shared" ref="O60:AE60" si="8">SUM(O56:O59)</f>
        <v>2594144</v>
      </c>
      <c r="P60" s="285">
        <f t="shared" si="8"/>
        <v>2184437</v>
      </c>
      <c r="Q60" s="286">
        <f t="shared" si="8"/>
        <v>894387.41999999993</v>
      </c>
      <c r="R60" s="283">
        <f t="shared" si="8"/>
        <v>0</v>
      </c>
      <c r="S60" s="285">
        <f t="shared" si="8"/>
        <v>0</v>
      </c>
      <c r="T60" s="285">
        <f t="shared" si="8"/>
        <v>0</v>
      </c>
      <c r="U60" s="284">
        <f t="shared" si="8"/>
        <v>2850123</v>
      </c>
      <c r="V60" s="285">
        <f t="shared" si="8"/>
        <v>3009842.4240000001</v>
      </c>
      <c r="W60" s="286">
        <f t="shared" si="8"/>
        <v>965034.36</v>
      </c>
      <c r="X60" s="283">
        <f t="shared" si="8"/>
        <v>0</v>
      </c>
      <c r="Y60" s="284">
        <f t="shared" si="8"/>
        <v>7660614</v>
      </c>
      <c r="Z60" s="285">
        <f t="shared" si="8"/>
        <v>6788070.1968</v>
      </c>
      <c r="AA60" s="286">
        <f t="shared" si="8"/>
        <v>1971631.1400000001</v>
      </c>
      <c r="AB60" s="283">
        <f t="shared" si="8"/>
        <v>0</v>
      </c>
      <c r="AC60" s="284">
        <f t="shared" si="8"/>
        <v>2362088</v>
      </c>
      <c r="AD60" s="285">
        <f t="shared" si="8"/>
        <v>2127627.7439999999</v>
      </c>
      <c r="AE60" s="286">
        <f t="shared" si="8"/>
        <v>928434.49</v>
      </c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</row>
    <row r="61" spans="1:47" s="445" customFormat="1" ht="14.65" hidden="1" outlineLevel="2" thickBot="1" x14ac:dyDescent="0.5">
      <c r="A61" s="438" t="s">
        <v>73</v>
      </c>
      <c r="B61" s="439"/>
      <c r="C61" s="292"/>
      <c r="D61" s="293"/>
      <c r="E61" s="294"/>
      <c r="F61" s="295"/>
      <c r="G61" s="440">
        <v>207000</v>
      </c>
      <c r="H61" s="441">
        <f>'[1]AAL FY 23 Staffing'!F43</f>
        <v>207000</v>
      </c>
      <c r="I61" s="442">
        <v>163657.46</v>
      </c>
      <c r="J61" s="299"/>
      <c r="K61" s="300"/>
      <c r="L61" s="301">
        <v>0</v>
      </c>
      <c r="M61" s="302"/>
      <c r="N61" s="295"/>
      <c r="O61" s="304">
        <v>69000</v>
      </c>
      <c r="P61" s="305">
        <f>'[1]C3 FY 23 Staffing'!F29</f>
        <v>69000</v>
      </c>
      <c r="Q61" s="395"/>
      <c r="R61" s="459"/>
      <c r="S61" s="443"/>
      <c r="T61" s="460"/>
      <c r="U61" s="310">
        <v>144000</v>
      </c>
      <c r="V61" s="311">
        <f>'[1]SHES FY23 Staffing '!F33</f>
        <v>144000</v>
      </c>
      <c r="W61" s="312"/>
      <c r="X61" s="295"/>
      <c r="Y61" s="313">
        <v>376000</v>
      </c>
      <c r="Z61" s="314">
        <f>'[1]Ector FY23 Staffing'!F36</f>
        <v>457000</v>
      </c>
      <c r="AA61" s="315">
        <v>21000</v>
      </c>
      <c r="AB61" s="303"/>
      <c r="AC61" s="316">
        <v>318000</v>
      </c>
      <c r="AD61" s="317">
        <f>'[1]Mendez FY23 Staffing'!F25</f>
        <v>248000</v>
      </c>
      <c r="AE61" s="318">
        <v>49077.51</v>
      </c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</row>
    <row r="62" spans="1:47" s="445" customFormat="1" ht="14.65" hidden="1" outlineLevel="2" thickBot="1" x14ac:dyDescent="0.5">
      <c r="A62" s="446" t="s">
        <v>74</v>
      </c>
      <c r="B62" s="447"/>
      <c r="C62" s="397"/>
      <c r="D62" s="398"/>
      <c r="E62" s="399"/>
      <c r="F62" s="343"/>
      <c r="G62" s="401">
        <v>47300</v>
      </c>
      <c r="H62" s="402">
        <f>'[1]AAL FY 23 Staffing'!N43</f>
        <v>68654.843999999997</v>
      </c>
      <c r="I62" s="403">
        <f>2350.74+34299.39+16+8009.85+488.8+129.7</f>
        <v>45294.479999999996</v>
      </c>
      <c r="J62" s="329"/>
      <c r="K62" s="330"/>
      <c r="L62" s="331">
        <v>0</v>
      </c>
      <c r="M62" s="332"/>
      <c r="N62" s="343"/>
      <c r="O62" s="334">
        <v>15767</v>
      </c>
      <c r="P62" s="335">
        <f>'[1]C3 FY 23 Staffing'!N29</f>
        <v>22884.948000000004</v>
      </c>
      <c r="Q62" s="336"/>
      <c r="R62" s="461"/>
      <c r="S62" s="449"/>
      <c r="T62" s="462"/>
      <c r="U62" s="340">
        <v>7646</v>
      </c>
      <c r="V62" s="341">
        <f>'[1]SHES FY23 Staffing '!N33</f>
        <v>20030.496000000003</v>
      </c>
      <c r="W62" s="342"/>
      <c r="X62" s="343"/>
      <c r="Y62" s="344">
        <v>19966</v>
      </c>
      <c r="Z62" s="345">
        <f>'[1]Ector FY23 Staffing'!N36</f>
        <v>34956.353600000002</v>
      </c>
      <c r="AA62" s="346">
        <v>805.1</v>
      </c>
      <c r="AB62" s="343"/>
      <c r="AC62" s="347">
        <v>16886</v>
      </c>
      <c r="AD62" s="348">
        <f>'[1]Mendez FY23 Staffing'!N25</f>
        <v>37316.991999999998</v>
      </c>
      <c r="AE62" s="349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</row>
    <row r="63" spans="1:47" s="445" customFormat="1" ht="14.65" hidden="1" outlineLevel="2" thickBot="1" x14ac:dyDescent="0.5">
      <c r="A63" s="446" t="s">
        <v>75</v>
      </c>
      <c r="B63" s="447"/>
      <c r="C63" s="397"/>
      <c r="D63" s="398"/>
      <c r="E63" s="399"/>
      <c r="F63" s="343"/>
      <c r="G63" s="401"/>
      <c r="H63" s="402"/>
      <c r="I63" s="403"/>
      <c r="J63" s="343"/>
      <c r="K63" s="330"/>
      <c r="L63" s="331">
        <v>0</v>
      </c>
      <c r="M63" s="332"/>
      <c r="N63" s="343"/>
      <c r="O63" s="334"/>
      <c r="P63" s="335">
        <v>0</v>
      </c>
      <c r="Q63" s="336"/>
      <c r="R63" s="461"/>
      <c r="S63" s="449"/>
      <c r="T63" s="462"/>
      <c r="U63" s="340"/>
      <c r="V63" s="341">
        <v>0</v>
      </c>
      <c r="W63" s="342"/>
      <c r="X63" s="343"/>
      <c r="Y63" s="344"/>
      <c r="Z63" s="345">
        <v>0</v>
      </c>
      <c r="AA63" s="346"/>
      <c r="AB63" s="343"/>
      <c r="AC63" s="347"/>
      <c r="AD63" s="348">
        <f>'[1]Mendez FY23 Staffing'!F47</f>
        <v>421000</v>
      </c>
      <c r="AE63" s="349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</row>
    <row r="64" spans="1:47" s="445" customFormat="1" ht="14.65" hidden="1" outlineLevel="2" thickBot="1" x14ac:dyDescent="0.5">
      <c r="A64" s="452" t="s">
        <v>76</v>
      </c>
      <c r="B64" s="453"/>
      <c r="C64" s="406"/>
      <c r="D64" s="407"/>
      <c r="E64" s="408"/>
      <c r="F64" s="367"/>
      <c r="G64" s="409"/>
      <c r="H64" s="410"/>
      <c r="I64" s="411"/>
      <c r="J64" s="367"/>
      <c r="K64" s="364"/>
      <c r="L64" s="365">
        <v>0</v>
      </c>
      <c r="M64" s="366"/>
      <c r="N64" s="367"/>
      <c r="O64" s="368"/>
      <c r="P64" s="369">
        <v>0</v>
      </c>
      <c r="Q64" s="370"/>
      <c r="R64" s="463"/>
      <c r="S64" s="456"/>
      <c r="T64" s="464"/>
      <c r="U64" s="374"/>
      <c r="V64" s="375">
        <v>0</v>
      </c>
      <c r="W64" s="376"/>
      <c r="X64" s="367"/>
      <c r="Y64" s="377"/>
      <c r="Z64" s="378">
        <v>0</v>
      </c>
      <c r="AA64" s="379"/>
      <c r="AB64" s="367"/>
      <c r="AC64" s="381"/>
      <c r="AD64" s="382">
        <f>'[1]Mendez FY23 Staffing'!N47</f>
        <v>74565.032000000007</v>
      </c>
      <c r="AE64" s="383">
        <v>676.42</v>
      </c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</row>
    <row r="65" spans="1:47" s="458" customFormat="1" ht="14.65" hidden="1" outlineLevel="1" thickBot="1" x14ac:dyDescent="0.5">
      <c r="A65" s="278" t="s">
        <v>77</v>
      </c>
      <c r="B65" s="279"/>
      <c r="C65" s="280">
        <f>SUM(C61:C64)</f>
        <v>0</v>
      </c>
      <c r="D65" s="281">
        <f>SUM(D61:D64)</f>
        <v>0</v>
      </c>
      <c r="E65" s="282">
        <f>SUM(E61:E64)</f>
        <v>0</v>
      </c>
      <c r="F65" s="283">
        <f t="shared" ref="F65:I65" si="9">SUM(F61:F64)</f>
        <v>0</v>
      </c>
      <c r="G65" s="284">
        <f t="shared" si="9"/>
        <v>254300</v>
      </c>
      <c r="H65" s="285">
        <f t="shared" si="9"/>
        <v>275654.84399999998</v>
      </c>
      <c r="I65" s="286">
        <f t="shared" si="9"/>
        <v>208951.94</v>
      </c>
      <c r="J65" s="283"/>
      <c r="K65" s="284">
        <f t="shared" ref="K65:M65" si="10">SUM(K61:K64)</f>
        <v>0</v>
      </c>
      <c r="L65" s="285">
        <f t="shared" si="10"/>
        <v>0</v>
      </c>
      <c r="M65" s="286">
        <f t="shared" si="10"/>
        <v>0</v>
      </c>
      <c r="N65" s="283"/>
      <c r="O65" s="284">
        <f t="shared" ref="O65:AE65" si="11">SUM(O61:O64)</f>
        <v>84767</v>
      </c>
      <c r="P65" s="285">
        <f t="shared" si="11"/>
        <v>91884.948000000004</v>
      </c>
      <c r="Q65" s="286">
        <f t="shared" si="11"/>
        <v>0</v>
      </c>
      <c r="R65" s="283">
        <f t="shared" si="11"/>
        <v>0</v>
      </c>
      <c r="S65" s="285">
        <f t="shared" si="11"/>
        <v>0</v>
      </c>
      <c r="T65" s="285">
        <f t="shared" si="11"/>
        <v>0</v>
      </c>
      <c r="U65" s="284">
        <f t="shared" si="11"/>
        <v>151646</v>
      </c>
      <c r="V65" s="285">
        <f t="shared" si="11"/>
        <v>164030.49600000001</v>
      </c>
      <c r="W65" s="286">
        <f t="shared" si="11"/>
        <v>0</v>
      </c>
      <c r="X65" s="283">
        <f t="shared" si="11"/>
        <v>0</v>
      </c>
      <c r="Y65" s="284">
        <f t="shared" si="11"/>
        <v>395966</v>
      </c>
      <c r="Z65" s="285">
        <f t="shared" si="11"/>
        <v>491956.35360000003</v>
      </c>
      <c r="AA65" s="286">
        <f t="shared" si="11"/>
        <v>21805.1</v>
      </c>
      <c r="AB65" s="283">
        <f t="shared" si="11"/>
        <v>0</v>
      </c>
      <c r="AC65" s="284">
        <f t="shared" si="11"/>
        <v>334886</v>
      </c>
      <c r="AD65" s="285">
        <f t="shared" si="11"/>
        <v>780882.02399999998</v>
      </c>
      <c r="AE65" s="286">
        <f t="shared" si="11"/>
        <v>49753.93</v>
      </c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</row>
    <row r="66" spans="1:47" s="445" customFormat="1" ht="14.65" hidden="1" outlineLevel="2" thickBot="1" x14ac:dyDescent="0.5">
      <c r="A66" s="438" t="s">
        <v>78</v>
      </c>
      <c r="B66" s="439"/>
      <c r="C66" s="292">
        <v>2154550</v>
      </c>
      <c r="D66" s="465">
        <v>2529717</v>
      </c>
      <c r="E66" s="294">
        <f>929929.86+185785.48+98380.1-140000-9000</f>
        <v>1065095.4400000002</v>
      </c>
      <c r="F66" s="295"/>
      <c r="G66" s="440">
        <v>715000</v>
      </c>
      <c r="H66" s="441">
        <v>805000</v>
      </c>
      <c r="I66" s="442">
        <f>294142.68-20000</f>
        <v>274142.68</v>
      </c>
      <c r="J66" s="299"/>
      <c r="K66" s="300">
        <v>255000</v>
      </c>
      <c r="L66" s="301">
        <f>'[1]C2 FY23 Staffing'!C37</f>
        <v>350000</v>
      </c>
      <c r="M66" s="302">
        <f>114261.71+26543.64-10000</f>
        <v>130805.35</v>
      </c>
      <c r="N66" s="303"/>
      <c r="O66" s="304">
        <v>375000</v>
      </c>
      <c r="P66" s="305">
        <f>'[1]C3 FY 23 Staffing'!C41</f>
        <v>380000</v>
      </c>
      <c r="Q66" s="395">
        <f>144201.85+17473-10000</f>
        <v>151674.85</v>
      </c>
      <c r="R66" s="459"/>
      <c r="S66" s="443"/>
      <c r="T66" s="460"/>
      <c r="U66" s="310">
        <v>484500</v>
      </c>
      <c r="V66" s="311">
        <f>'[1]SHES FY23 Staffing '!F46</f>
        <v>505000</v>
      </c>
      <c r="W66" s="312">
        <v>216678.62</v>
      </c>
      <c r="X66" s="303"/>
      <c r="Y66" s="313">
        <v>1227000</v>
      </c>
      <c r="Z66" s="314">
        <f>'[1]Ector FY23 Staffing'!F49</f>
        <v>1225000</v>
      </c>
      <c r="AA66" s="315">
        <f>172087.19+370484.86</f>
        <v>542572.05000000005</v>
      </c>
      <c r="AB66" s="303"/>
      <c r="AC66" s="316">
        <v>487500</v>
      </c>
      <c r="AD66" s="317">
        <f>'[1]Mendez FY23 Staffing'!F36</f>
        <v>497500</v>
      </c>
      <c r="AE66" s="318">
        <v>172477.14</v>
      </c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  <c r="AS66" s="191"/>
      <c r="AT66" s="191"/>
      <c r="AU66" s="191"/>
    </row>
    <row r="67" spans="1:47" s="445" customFormat="1" ht="14.65" hidden="1" outlineLevel="2" thickBot="1" x14ac:dyDescent="0.5">
      <c r="A67" s="446" t="s">
        <v>79</v>
      </c>
      <c r="B67" s="447"/>
      <c r="C67" s="397">
        <v>120000</v>
      </c>
      <c r="D67" s="398">
        <f>'[1]Network FY23 Staffing'!K30</f>
        <v>140000</v>
      </c>
      <c r="E67" s="399">
        <v>140000</v>
      </c>
      <c r="F67" s="343"/>
      <c r="G67" s="401">
        <v>20000</v>
      </c>
      <c r="H67" s="402">
        <v>20000</v>
      </c>
      <c r="I67" s="403">
        <v>20000</v>
      </c>
      <c r="J67" s="343"/>
      <c r="K67" s="330">
        <v>10000</v>
      </c>
      <c r="L67" s="331">
        <v>10000</v>
      </c>
      <c r="M67" s="332">
        <v>10000</v>
      </c>
      <c r="N67" s="343"/>
      <c r="O67" s="334">
        <v>10000</v>
      </c>
      <c r="P67" s="335">
        <v>10000</v>
      </c>
      <c r="Q67" s="336">
        <v>10000</v>
      </c>
      <c r="R67" s="461"/>
      <c r="S67" s="449"/>
      <c r="T67" s="462"/>
      <c r="U67" s="340"/>
      <c r="V67" s="341">
        <v>0</v>
      </c>
      <c r="W67" s="342"/>
      <c r="X67" s="343"/>
      <c r="Y67" s="344">
        <v>30000</v>
      </c>
      <c r="Z67" s="345">
        <v>30000</v>
      </c>
      <c r="AA67" s="346"/>
      <c r="AB67" s="343"/>
      <c r="AC67" s="347"/>
      <c r="AD67" s="348">
        <v>0</v>
      </c>
      <c r="AE67" s="349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</row>
    <row r="68" spans="1:47" s="445" customFormat="1" ht="14.65" hidden="1" outlineLevel="2" thickBot="1" x14ac:dyDescent="0.5">
      <c r="A68" s="446" t="s">
        <v>80</v>
      </c>
      <c r="B68" s="447"/>
      <c r="C68" s="397">
        <v>9000</v>
      </c>
      <c r="D68" s="398">
        <v>9000</v>
      </c>
      <c r="E68" s="399">
        <v>9000</v>
      </c>
      <c r="F68" s="343"/>
      <c r="G68" s="401"/>
      <c r="H68" s="402"/>
      <c r="I68" s="403"/>
      <c r="J68" s="343"/>
      <c r="K68" s="330"/>
      <c r="L68" s="331"/>
      <c r="M68" s="332"/>
      <c r="N68" s="343"/>
      <c r="O68" s="334"/>
      <c r="P68" s="335"/>
      <c r="Q68" s="336"/>
      <c r="R68" s="461"/>
      <c r="S68" s="449"/>
      <c r="T68" s="462"/>
      <c r="U68" s="340"/>
      <c r="V68" s="341">
        <v>0</v>
      </c>
      <c r="W68" s="342"/>
      <c r="X68" s="343"/>
      <c r="Y68" s="344"/>
      <c r="Z68" s="345">
        <v>0</v>
      </c>
      <c r="AA68" s="346"/>
      <c r="AB68" s="343"/>
      <c r="AC68" s="347"/>
      <c r="AD68" s="348">
        <v>0</v>
      </c>
      <c r="AE68" s="349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</row>
    <row r="69" spans="1:47" s="445" customFormat="1" ht="14.65" hidden="1" outlineLevel="2" thickBot="1" x14ac:dyDescent="0.5">
      <c r="A69" s="446" t="s">
        <v>81</v>
      </c>
      <c r="B69" s="447"/>
      <c r="C69" s="397">
        <v>550754</v>
      </c>
      <c r="D69" s="466">
        <f>'[1]Network FY23 Staffing'!M30</f>
        <v>873233.3899999999</v>
      </c>
      <c r="E69" s="399">
        <f>13189.57+192879.78+25609.25+1507.5+272.25+20711.4+522920.84+2641.9</f>
        <v>779732.49000000011</v>
      </c>
      <c r="F69" s="343"/>
      <c r="G69" s="401">
        <v>163378</v>
      </c>
      <c r="H69" s="402">
        <v>263607</v>
      </c>
      <c r="I69" s="403">
        <v>95450.04</v>
      </c>
      <c r="J69" s="329"/>
      <c r="K69" s="330">
        <v>58268</v>
      </c>
      <c r="L69" s="331">
        <f>'[1]C2 FY23 Staffing'!N37</f>
        <v>115715.23999999999</v>
      </c>
      <c r="M69" s="332">
        <v>67194.710000000006</v>
      </c>
      <c r="N69" s="333"/>
      <c r="O69" s="334">
        <v>85688</v>
      </c>
      <c r="P69" s="335">
        <f>'[1]C3 FY 23 Staffing'!N41</f>
        <v>128534.28799999999</v>
      </c>
      <c r="Q69" s="336">
        <v>40085.86</v>
      </c>
      <c r="R69" s="461"/>
      <c r="S69" s="449"/>
      <c r="T69" s="462"/>
      <c r="U69" s="340">
        <v>25847</v>
      </c>
      <c r="V69" s="341">
        <f>'[1]SHES FY23 Staffing '!N46</f>
        <v>70175.335999999996</v>
      </c>
      <c r="W69" s="342">
        <v>152.5</v>
      </c>
      <c r="X69" s="343"/>
      <c r="Y69" s="344">
        <v>65654</v>
      </c>
      <c r="Z69" s="345">
        <f>'[1]Ector FY23 Staffing'!N49</f>
        <v>92792.801599999992</v>
      </c>
      <c r="AA69" s="346">
        <v>8645.7800000000007</v>
      </c>
      <c r="AB69" s="343"/>
      <c r="AC69" s="347">
        <v>26886</v>
      </c>
      <c r="AD69" s="348">
        <f>'[1]Mendez FY23 Staffing'!N36</f>
        <v>77274.907999999996</v>
      </c>
      <c r="AE69" s="349">
        <v>4939.67</v>
      </c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</row>
    <row r="70" spans="1:47" s="445" customFormat="1" ht="14.65" hidden="1" outlineLevel="2" thickBot="1" x14ac:dyDescent="0.5">
      <c r="A70" s="446" t="s">
        <v>82</v>
      </c>
      <c r="B70" s="447"/>
      <c r="C70" s="397">
        <v>85000</v>
      </c>
      <c r="D70" s="398">
        <v>85000</v>
      </c>
      <c r="E70" s="399"/>
      <c r="F70" s="343"/>
      <c r="G70" s="401"/>
      <c r="H70" s="402"/>
      <c r="I70" s="403"/>
      <c r="J70" s="343"/>
      <c r="K70" s="330"/>
      <c r="L70" s="331">
        <v>0</v>
      </c>
      <c r="M70" s="332"/>
      <c r="N70" s="343"/>
      <c r="O70" s="334"/>
      <c r="P70" s="335">
        <v>0</v>
      </c>
      <c r="Q70" s="336"/>
      <c r="R70" s="461"/>
      <c r="S70" s="449"/>
      <c r="T70" s="462"/>
      <c r="U70" s="340"/>
      <c r="V70" s="341">
        <v>0</v>
      </c>
      <c r="W70" s="342"/>
      <c r="X70" s="343"/>
      <c r="Y70" s="344"/>
      <c r="Z70" s="345">
        <v>0</v>
      </c>
      <c r="AA70" s="346"/>
      <c r="AB70" s="343"/>
      <c r="AC70" s="347"/>
      <c r="AD70" s="348">
        <v>0</v>
      </c>
      <c r="AE70" s="349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</row>
    <row r="71" spans="1:47" s="445" customFormat="1" ht="14.65" hidden="1" outlineLevel="2" thickBot="1" x14ac:dyDescent="0.5">
      <c r="A71" s="446" t="s">
        <v>83</v>
      </c>
      <c r="B71" s="447"/>
      <c r="C71" s="397">
        <v>1350000</v>
      </c>
      <c r="D71" s="398">
        <f>'[1]Network FY23 Staffing'!D41</f>
        <v>1442500</v>
      </c>
      <c r="E71" s="399">
        <f>56651.2+45000+135558.13</f>
        <v>237209.33000000002</v>
      </c>
      <c r="F71" s="343"/>
      <c r="G71" s="401"/>
      <c r="H71" s="402"/>
      <c r="I71" s="403"/>
      <c r="J71" s="343"/>
      <c r="K71" s="330"/>
      <c r="L71" s="331">
        <v>0</v>
      </c>
      <c r="M71" s="332"/>
      <c r="N71" s="343"/>
      <c r="O71" s="334"/>
      <c r="P71" s="335">
        <v>0</v>
      </c>
      <c r="Q71" s="336"/>
      <c r="R71" s="461"/>
      <c r="S71" s="449"/>
      <c r="T71" s="462"/>
      <c r="U71" s="340"/>
      <c r="V71" s="341">
        <v>0</v>
      </c>
      <c r="W71" s="342"/>
      <c r="X71" s="343"/>
      <c r="Y71" s="344"/>
      <c r="Z71" s="345">
        <v>0</v>
      </c>
      <c r="AA71" s="346"/>
      <c r="AB71" s="343"/>
      <c r="AC71" s="347"/>
      <c r="AD71" s="348">
        <v>0</v>
      </c>
      <c r="AE71" s="349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1"/>
      <c r="AU71" s="191"/>
    </row>
    <row r="72" spans="1:47" s="445" customFormat="1" ht="14.65" hidden="1" outlineLevel="2" thickBot="1" x14ac:dyDescent="0.5">
      <c r="A72" s="446" t="s">
        <v>84</v>
      </c>
      <c r="B72" s="447"/>
      <c r="C72" s="397">
        <v>379620</v>
      </c>
      <c r="D72" s="398">
        <f>'[1]Network FY23 Staffing'!M41</f>
        <v>492825.49</v>
      </c>
      <c r="E72" s="399"/>
      <c r="F72" s="343"/>
      <c r="G72" s="401"/>
      <c r="H72" s="402"/>
      <c r="I72" s="403"/>
      <c r="J72" s="343"/>
      <c r="K72" s="330"/>
      <c r="L72" s="331">
        <v>0</v>
      </c>
      <c r="M72" s="332"/>
      <c r="N72" s="343"/>
      <c r="O72" s="334"/>
      <c r="P72" s="335">
        <v>0</v>
      </c>
      <c r="Q72" s="336"/>
      <c r="R72" s="461"/>
      <c r="S72" s="449"/>
      <c r="T72" s="462"/>
      <c r="U72" s="340"/>
      <c r="V72" s="341">
        <v>0</v>
      </c>
      <c r="W72" s="342"/>
      <c r="X72" s="343"/>
      <c r="Y72" s="344"/>
      <c r="Z72" s="345">
        <v>0</v>
      </c>
      <c r="AA72" s="346"/>
      <c r="AB72" s="343"/>
      <c r="AC72" s="347"/>
      <c r="AD72" s="348">
        <v>0</v>
      </c>
      <c r="AE72" s="349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1"/>
      <c r="AU72" s="191"/>
    </row>
    <row r="73" spans="1:47" s="445" customFormat="1" ht="14.65" hidden="1" outlineLevel="2" thickBot="1" x14ac:dyDescent="0.5">
      <c r="A73" s="446" t="s">
        <v>85</v>
      </c>
      <c r="B73" s="447"/>
      <c r="C73" s="397">
        <v>260000</v>
      </c>
      <c r="D73" s="398">
        <v>250000</v>
      </c>
      <c r="E73" s="399">
        <v>70000</v>
      </c>
      <c r="F73" s="343"/>
      <c r="G73" s="401"/>
      <c r="H73" s="402"/>
      <c r="I73" s="403"/>
      <c r="J73" s="343"/>
      <c r="K73" s="330"/>
      <c r="L73" s="331">
        <v>0</v>
      </c>
      <c r="M73" s="332"/>
      <c r="N73" s="343"/>
      <c r="O73" s="334"/>
      <c r="P73" s="335">
        <v>0</v>
      </c>
      <c r="Q73" s="336"/>
      <c r="R73" s="461"/>
      <c r="S73" s="449"/>
      <c r="T73" s="462"/>
      <c r="U73" s="340"/>
      <c r="V73" s="341">
        <v>0</v>
      </c>
      <c r="W73" s="342"/>
      <c r="X73" s="343"/>
      <c r="Y73" s="344"/>
      <c r="Z73" s="345">
        <v>0</v>
      </c>
      <c r="AA73" s="346"/>
      <c r="AB73" s="343"/>
      <c r="AC73" s="347"/>
      <c r="AD73" s="348">
        <v>0</v>
      </c>
      <c r="AE73" s="349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/>
      <c r="AR73" s="191"/>
      <c r="AS73" s="191"/>
      <c r="AT73" s="191"/>
      <c r="AU73" s="191"/>
    </row>
    <row r="74" spans="1:47" s="445" customFormat="1" ht="14.65" hidden="1" outlineLevel="2" thickBot="1" x14ac:dyDescent="0.5">
      <c r="A74" s="452" t="s">
        <v>86</v>
      </c>
      <c r="B74" s="453"/>
      <c r="C74" s="406">
        <v>80840</v>
      </c>
      <c r="D74" s="407">
        <f>'[1]Network FY23 Staffing'!M39</f>
        <v>98672.24000000002</v>
      </c>
      <c r="E74" s="399">
        <v>24950</v>
      </c>
      <c r="F74" s="367"/>
      <c r="G74" s="409"/>
      <c r="H74" s="410"/>
      <c r="I74" s="411"/>
      <c r="J74" s="367"/>
      <c r="K74" s="364"/>
      <c r="L74" s="365">
        <v>0</v>
      </c>
      <c r="M74" s="366"/>
      <c r="N74" s="367"/>
      <c r="O74" s="368"/>
      <c r="P74" s="369">
        <v>0</v>
      </c>
      <c r="Q74" s="370"/>
      <c r="R74" s="463"/>
      <c r="S74" s="456"/>
      <c r="T74" s="464"/>
      <c r="U74" s="374"/>
      <c r="V74" s="375">
        <v>0</v>
      </c>
      <c r="W74" s="376"/>
      <c r="X74" s="367"/>
      <c r="Y74" s="377"/>
      <c r="Z74" s="378">
        <v>0</v>
      </c>
      <c r="AA74" s="379"/>
      <c r="AB74" s="367"/>
      <c r="AC74" s="381"/>
      <c r="AD74" s="382">
        <v>0</v>
      </c>
      <c r="AE74" s="383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  <c r="AS74" s="191"/>
      <c r="AT74" s="191"/>
      <c r="AU74" s="191"/>
    </row>
    <row r="75" spans="1:47" s="458" customFormat="1" ht="14.65" hidden="1" outlineLevel="1" thickBot="1" x14ac:dyDescent="0.5">
      <c r="A75" s="414" t="s">
        <v>87</v>
      </c>
      <c r="B75" s="415"/>
      <c r="C75" s="416">
        <f>SUM(C66:C74)</f>
        <v>4989764</v>
      </c>
      <c r="D75" s="417">
        <f t="shared" ref="D75:I75" si="12">SUM(D66:D74)</f>
        <v>5920948.1200000001</v>
      </c>
      <c r="E75" s="418">
        <f t="shared" si="12"/>
        <v>2325987.2600000002</v>
      </c>
      <c r="F75" s="467">
        <f t="shared" si="12"/>
        <v>0</v>
      </c>
      <c r="G75" s="420">
        <f t="shared" si="12"/>
        <v>898378</v>
      </c>
      <c r="H75" s="421">
        <f t="shared" si="12"/>
        <v>1088607</v>
      </c>
      <c r="I75" s="422">
        <f t="shared" si="12"/>
        <v>389592.72</v>
      </c>
      <c r="J75" s="467"/>
      <c r="K75" s="420">
        <f t="shared" ref="K75" si="13">SUM(K66:K74)</f>
        <v>323268</v>
      </c>
      <c r="L75" s="421">
        <f>SUM(L66:L74)</f>
        <v>475715.24</v>
      </c>
      <c r="M75" s="422">
        <f>SUM(M66:M74)</f>
        <v>208000.06</v>
      </c>
      <c r="N75" s="467"/>
      <c r="O75" s="420">
        <f t="shared" ref="O75:Q75" si="14">SUM(O66:O74)</f>
        <v>470688</v>
      </c>
      <c r="P75" s="421">
        <f t="shared" si="14"/>
        <v>518534.288</v>
      </c>
      <c r="Q75" s="422">
        <f t="shared" si="14"/>
        <v>201760.71000000002</v>
      </c>
      <c r="R75" s="467"/>
      <c r="S75" s="421"/>
      <c r="T75" s="421"/>
      <c r="U75" s="420">
        <f t="shared" ref="U75:W75" si="15">SUM(U66:U74)</f>
        <v>510347</v>
      </c>
      <c r="V75" s="421">
        <f t="shared" si="15"/>
        <v>575175.33600000001</v>
      </c>
      <c r="W75" s="422">
        <f t="shared" si="15"/>
        <v>216831.12</v>
      </c>
      <c r="X75" s="467"/>
      <c r="Y75" s="420">
        <f t="shared" ref="Y75:AA75" si="16">SUM(Y66:Y74)</f>
        <v>1322654</v>
      </c>
      <c r="Z75" s="421">
        <f t="shared" si="16"/>
        <v>1347792.8015999999</v>
      </c>
      <c r="AA75" s="422">
        <f t="shared" si="16"/>
        <v>551217.83000000007</v>
      </c>
      <c r="AB75" s="467"/>
      <c r="AC75" s="420">
        <f t="shared" ref="AC75:AE75" si="17">SUM(AC66:AC74)</f>
        <v>514386</v>
      </c>
      <c r="AD75" s="421">
        <f t="shared" si="17"/>
        <v>574774.90800000005</v>
      </c>
      <c r="AE75" s="422">
        <f t="shared" si="17"/>
        <v>177416.81000000003</v>
      </c>
      <c r="AG75" s="191"/>
      <c r="AH75" s="191"/>
      <c r="AI75" s="191"/>
      <c r="AJ75" s="191"/>
      <c r="AK75" s="191"/>
      <c r="AL75" s="191"/>
      <c r="AM75" s="191"/>
      <c r="AN75" s="191"/>
      <c r="AO75" s="191"/>
      <c r="AP75" s="191"/>
      <c r="AQ75" s="191"/>
      <c r="AR75" s="191"/>
      <c r="AS75" s="191"/>
      <c r="AT75" s="191"/>
      <c r="AU75" s="191"/>
    </row>
    <row r="76" spans="1:47" s="458" customFormat="1" ht="14.65" collapsed="1" thickBot="1" x14ac:dyDescent="0.5">
      <c r="A76" s="278" t="s">
        <v>88</v>
      </c>
      <c r="B76" s="279"/>
      <c r="C76" s="280">
        <f>C75+C65+C60</f>
        <v>4989764</v>
      </c>
      <c r="D76" s="281">
        <f t="shared" ref="D76:I76" si="18">D75+D65+D60</f>
        <v>5920948.1200000001</v>
      </c>
      <c r="E76" s="282">
        <f t="shared" si="18"/>
        <v>2405055.3200000003</v>
      </c>
      <c r="F76" s="283">
        <f t="shared" si="18"/>
        <v>0</v>
      </c>
      <c r="G76" s="284">
        <f t="shared" si="18"/>
        <v>6350674</v>
      </c>
      <c r="H76" s="285">
        <f t="shared" si="18"/>
        <v>6321383.8440000005</v>
      </c>
      <c r="I76" s="286">
        <f t="shared" si="18"/>
        <v>2914852.5700000003</v>
      </c>
      <c r="J76" s="283"/>
      <c r="K76" s="284">
        <f t="shared" ref="K76:M76" si="19">K75+K65+K60</f>
        <v>2247392</v>
      </c>
      <c r="L76" s="285">
        <f t="shared" si="19"/>
        <v>2320468.148</v>
      </c>
      <c r="M76" s="286">
        <f t="shared" si="19"/>
        <v>878362.82000000007</v>
      </c>
      <c r="N76" s="283"/>
      <c r="O76" s="284">
        <f t="shared" ref="O76:Q76" si="20">O75+O65+O60</f>
        <v>3149599</v>
      </c>
      <c r="P76" s="285">
        <f t="shared" si="20"/>
        <v>2794856.236</v>
      </c>
      <c r="Q76" s="286">
        <f t="shared" si="20"/>
        <v>1096148.1299999999</v>
      </c>
      <c r="R76" s="283"/>
      <c r="S76" s="285"/>
      <c r="T76" s="285"/>
      <c r="U76" s="284">
        <f t="shared" ref="U76:W76" si="21">U75+U65+U60</f>
        <v>3512116</v>
      </c>
      <c r="V76" s="285">
        <f t="shared" si="21"/>
        <v>3749048.2560000001</v>
      </c>
      <c r="W76" s="286">
        <f t="shared" si="21"/>
        <v>1181865.48</v>
      </c>
      <c r="X76" s="283"/>
      <c r="Y76" s="284">
        <f t="shared" ref="Y76:AA76" si="22">Y75+Y65+Y60</f>
        <v>9379234</v>
      </c>
      <c r="Z76" s="285">
        <f t="shared" si="22"/>
        <v>8627819.352</v>
      </c>
      <c r="AA76" s="286">
        <f t="shared" si="22"/>
        <v>2544654.0700000003</v>
      </c>
      <c r="AB76" s="283"/>
      <c r="AC76" s="284">
        <f t="shared" ref="AC76:AE76" si="23">AC75+AC65+AC60</f>
        <v>3211360</v>
      </c>
      <c r="AD76" s="285">
        <f t="shared" si="23"/>
        <v>3483284.676</v>
      </c>
      <c r="AE76" s="286">
        <f t="shared" si="23"/>
        <v>1155605.23</v>
      </c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</row>
    <row r="77" spans="1:47" s="319" customFormat="1" ht="14.65" hidden="1" outlineLevel="1" thickBot="1" x14ac:dyDescent="0.5">
      <c r="A77" s="290" t="s">
        <v>89</v>
      </c>
      <c r="B77" s="291"/>
      <c r="C77" s="292"/>
      <c r="D77" s="293"/>
      <c r="E77" s="294"/>
      <c r="F77" s="295"/>
      <c r="G77" s="440"/>
      <c r="H77" s="441">
        <v>0</v>
      </c>
      <c r="I77" s="442"/>
      <c r="J77" s="295"/>
      <c r="K77" s="300"/>
      <c r="L77" s="301">
        <v>0</v>
      </c>
      <c r="M77" s="302"/>
      <c r="N77" s="295"/>
      <c r="O77" s="304"/>
      <c r="P77" s="305">
        <v>0</v>
      </c>
      <c r="Q77" s="395"/>
      <c r="R77" s="459"/>
      <c r="S77" s="308"/>
      <c r="T77" s="468"/>
      <c r="U77" s="310"/>
      <c r="V77" s="311">
        <v>0</v>
      </c>
      <c r="W77" s="312"/>
      <c r="X77" s="295"/>
      <c r="Y77" s="313">
        <v>50000</v>
      </c>
      <c r="Z77" s="346">
        <v>50000</v>
      </c>
      <c r="AA77" s="315"/>
      <c r="AB77" s="295"/>
      <c r="AC77" s="316"/>
      <c r="AD77" s="317">
        <v>0</v>
      </c>
      <c r="AE77" s="318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</row>
    <row r="78" spans="1:47" s="319" customFormat="1" ht="14.65" hidden="1" outlineLevel="1" thickBot="1" x14ac:dyDescent="0.5">
      <c r="A78" s="446" t="s">
        <v>90</v>
      </c>
      <c r="B78" s="447"/>
      <c r="C78" s="397"/>
      <c r="D78" s="398"/>
      <c r="E78" s="399"/>
      <c r="F78" s="343"/>
      <c r="G78" s="401">
        <v>170000</v>
      </c>
      <c r="H78" s="402">
        <v>170000</v>
      </c>
      <c r="I78" s="403">
        <v>211891.5</v>
      </c>
      <c r="J78" s="329"/>
      <c r="K78" s="330">
        <v>60000</v>
      </c>
      <c r="L78" s="331">
        <f>60000+35000</f>
        <v>95000</v>
      </c>
      <c r="M78" s="332">
        <v>67671</v>
      </c>
      <c r="N78" s="343"/>
      <c r="O78" s="334">
        <v>140000</v>
      </c>
      <c r="P78" s="335">
        <v>140000</v>
      </c>
      <c r="Q78" s="336">
        <v>110666.3</v>
      </c>
      <c r="R78" s="461"/>
      <c r="S78" s="338"/>
      <c r="T78" s="469"/>
      <c r="U78" s="340">
        <v>130000</v>
      </c>
      <c r="V78" s="341">
        <v>130000</v>
      </c>
      <c r="W78" s="342">
        <v>117476.22</v>
      </c>
      <c r="X78" s="343"/>
      <c r="Y78" s="344">
        <v>225000</v>
      </c>
      <c r="Z78" s="345">
        <v>225000</v>
      </c>
      <c r="AA78" s="346">
        <v>250714.11</v>
      </c>
      <c r="AB78" s="343"/>
      <c r="AC78" s="347">
        <v>250000</v>
      </c>
      <c r="AD78" s="348">
        <v>100000</v>
      </c>
      <c r="AE78" s="349">
        <v>109067.33</v>
      </c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</row>
    <row r="79" spans="1:47" s="319" customFormat="1" ht="14.65" hidden="1" outlineLevel="1" thickBot="1" x14ac:dyDescent="0.5">
      <c r="A79" s="320" t="s">
        <v>91</v>
      </c>
      <c r="B79" s="321"/>
      <c r="C79" s="397"/>
      <c r="D79" s="398"/>
      <c r="E79" s="399"/>
      <c r="F79" s="343"/>
      <c r="G79" s="401"/>
      <c r="H79" s="402"/>
      <c r="I79" s="403"/>
      <c r="J79" s="329"/>
      <c r="K79" s="330"/>
      <c r="L79" s="331">
        <v>0</v>
      </c>
      <c r="M79" s="332"/>
      <c r="N79" s="343"/>
      <c r="O79" s="334"/>
      <c r="P79" s="335">
        <v>0</v>
      </c>
      <c r="Q79" s="336"/>
      <c r="R79" s="461"/>
      <c r="S79" s="338"/>
      <c r="T79" s="469"/>
      <c r="U79" s="340">
        <v>60000</v>
      </c>
      <c r="V79" s="341">
        <v>60000</v>
      </c>
      <c r="W79" s="342"/>
      <c r="X79" s="343"/>
      <c r="Y79" s="344">
        <v>75000</v>
      </c>
      <c r="Z79" s="346">
        <v>75000</v>
      </c>
      <c r="AA79" s="346"/>
      <c r="AB79" s="343"/>
      <c r="AC79" s="347"/>
      <c r="AD79" s="348">
        <v>0</v>
      </c>
      <c r="AE79" s="349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</row>
    <row r="80" spans="1:47" s="319" customFormat="1" ht="14.65" hidden="1" outlineLevel="1" thickBot="1" x14ac:dyDescent="0.5">
      <c r="A80" s="320" t="s">
        <v>92</v>
      </c>
      <c r="B80" s="321"/>
      <c r="C80" s="397"/>
      <c r="D80" s="398"/>
      <c r="E80" s="399"/>
      <c r="F80" s="343"/>
      <c r="G80" s="401">
        <v>35160</v>
      </c>
      <c r="H80" s="402">
        <v>35160</v>
      </c>
      <c r="I80" s="403">
        <v>1306</v>
      </c>
      <c r="J80" s="329"/>
      <c r="K80" s="330">
        <v>35160</v>
      </c>
      <c r="L80" s="331">
        <v>31963</v>
      </c>
      <c r="M80" s="332">
        <v>1000</v>
      </c>
      <c r="N80" s="333"/>
      <c r="O80" s="334"/>
      <c r="P80" s="335">
        <v>36568</v>
      </c>
      <c r="Q80" s="336">
        <v>1000</v>
      </c>
      <c r="R80" s="461"/>
      <c r="S80" s="338"/>
      <c r="T80" s="469"/>
      <c r="U80" s="340"/>
      <c r="V80" s="341">
        <v>0</v>
      </c>
      <c r="W80" s="342">
        <v>760.49</v>
      </c>
      <c r="X80" s="343"/>
      <c r="Y80" s="344"/>
      <c r="Z80" s="345">
        <v>0</v>
      </c>
      <c r="AA80" s="346">
        <v>1165.8699999999999</v>
      </c>
      <c r="AB80" s="343"/>
      <c r="AC80" s="347"/>
      <c r="AD80" s="348">
        <v>0</v>
      </c>
      <c r="AE80" s="349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</row>
    <row r="81" spans="1:47" s="319" customFormat="1" ht="14.65" hidden="1" outlineLevel="1" thickBot="1" x14ac:dyDescent="0.5">
      <c r="A81" s="320" t="s">
        <v>93</v>
      </c>
      <c r="B81" s="321"/>
      <c r="C81" s="397"/>
      <c r="D81" s="398"/>
      <c r="E81" s="399"/>
      <c r="F81" s="343"/>
      <c r="G81" s="401">
        <v>25000</v>
      </c>
      <c r="H81" s="402">
        <v>120000</v>
      </c>
      <c r="I81" s="403">
        <f>67711.97+50</f>
        <v>67761.97</v>
      </c>
      <c r="J81" s="329"/>
      <c r="K81" s="330"/>
      <c r="L81" s="331">
        <v>0</v>
      </c>
      <c r="M81" s="332"/>
      <c r="N81" s="343"/>
      <c r="O81" s="334">
        <v>200000</v>
      </c>
      <c r="P81" s="335">
        <v>85000</v>
      </c>
      <c r="Q81" s="336">
        <f>82326.34+121.24+105.97</f>
        <v>82553.55</v>
      </c>
      <c r="R81" s="461"/>
      <c r="S81" s="338"/>
      <c r="T81" s="469"/>
      <c r="U81" s="340">
        <v>200000</v>
      </c>
      <c r="V81" s="341">
        <v>120000</v>
      </c>
      <c r="W81" s="342">
        <f>83823</f>
        <v>83823</v>
      </c>
      <c r="X81" s="333"/>
      <c r="Y81" s="344">
        <v>250000</v>
      </c>
      <c r="Z81" s="345">
        <v>140000</v>
      </c>
      <c r="AA81" s="346">
        <v>138058</v>
      </c>
      <c r="AB81" s="333"/>
      <c r="AC81" s="347">
        <v>50000</v>
      </c>
      <c r="AD81" s="348">
        <v>0</v>
      </c>
      <c r="AE81" s="349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</row>
    <row r="82" spans="1:47" s="319" customFormat="1" ht="14.65" hidden="1" outlineLevel="1" thickBot="1" x14ac:dyDescent="0.5">
      <c r="A82" s="320" t="s">
        <v>94</v>
      </c>
      <c r="B82" s="321"/>
      <c r="C82" s="397">
        <v>4000</v>
      </c>
      <c r="D82" s="398">
        <f>4000+25000</f>
        <v>29000</v>
      </c>
      <c r="E82" s="399">
        <f>3700+36789.02+20+6812.48+10565-22000-10000</f>
        <v>25886.5</v>
      </c>
      <c r="F82" s="343"/>
      <c r="G82" s="401">
        <v>10000</v>
      </c>
      <c r="H82" s="402"/>
      <c r="I82" s="403"/>
      <c r="J82" s="329"/>
      <c r="K82" s="330">
        <v>2000</v>
      </c>
      <c r="L82" s="331">
        <v>2000</v>
      </c>
      <c r="M82" s="332">
        <f>3521.43-3073</f>
        <v>448.42999999999984</v>
      </c>
      <c r="N82" s="343"/>
      <c r="O82" s="334">
        <v>2600</v>
      </c>
      <c r="P82" s="335">
        <v>2600</v>
      </c>
      <c r="Q82" s="336">
        <v>69.989999999999995</v>
      </c>
      <c r="R82" s="461"/>
      <c r="S82" s="338"/>
      <c r="T82" s="469"/>
      <c r="U82" s="340">
        <v>2000</v>
      </c>
      <c r="V82" s="341">
        <v>2000</v>
      </c>
      <c r="W82" s="342"/>
      <c r="X82" s="343"/>
      <c r="Y82" s="344">
        <v>10000</v>
      </c>
      <c r="Z82" s="345">
        <v>10000</v>
      </c>
      <c r="AA82" s="346"/>
      <c r="AB82" s="343"/>
      <c r="AC82" s="347"/>
      <c r="AD82" s="348">
        <v>0</v>
      </c>
      <c r="AE82" s="349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1"/>
      <c r="AT82" s="191"/>
      <c r="AU82" s="191"/>
    </row>
    <row r="83" spans="1:47" s="319" customFormat="1" ht="14.65" hidden="1" outlineLevel="1" thickBot="1" x14ac:dyDescent="0.5">
      <c r="A83" s="320" t="s">
        <v>95</v>
      </c>
      <c r="B83" s="321"/>
      <c r="C83" s="397"/>
      <c r="D83" s="398"/>
      <c r="E83" s="399"/>
      <c r="F83" s="343"/>
      <c r="G83" s="401">
        <v>5000</v>
      </c>
      <c r="H83" s="402"/>
      <c r="I83" s="402">
        <v>0</v>
      </c>
      <c r="J83" s="329"/>
      <c r="K83" s="330"/>
      <c r="L83" s="331">
        <v>0</v>
      </c>
      <c r="M83" s="332"/>
      <c r="N83" s="343"/>
      <c r="O83" s="334"/>
      <c r="P83" s="335">
        <v>0</v>
      </c>
      <c r="Q83" s="336"/>
      <c r="R83" s="461"/>
      <c r="S83" s="338"/>
      <c r="T83" s="469"/>
      <c r="U83" s="340"/>
      <c r="V83" s="341">
        <v>0</v>
      </c>
      <c r="W83" s="342"/>
      <c r="X83" s="343"/>
      <c r="Y83" s="344"/>
      <c r="Z83" s="345"/>
      <c r="AA83" s="346"/>
      <c r="AB83" s="343"/>
      <c r="AC83" s="347"/>
      <c r="AD83" s="348">
        <v>29000</v>
      </c>
      <c r="AE83" s="349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</row>
    <row r="84" spans="1:47" s="319" customFormat="1" ht="14.65" hidden="1" outlineLevel="1" thickBot="1" x14ac:dyDescent="0.5">
      <c r="A84" s="320" t="s">
        <v>96</v>
      </c>
      <c r="B84" s="321"/>
      <c r="C84" s="397"/>
      <c r="D84" s="398"/>
      <c r="E84" s="399"/>
      <c r="F84" s="343"/>
      <c r="G84" s="401">
        <v>3500</v>
      </c>
      <c r="H84" s="402">
        <v>10209</v>
      </c>
      <c r="I84" s="403">
        <v>5104.74</v>
      </c>
      <c r="J84" s="329"/>
      <c r="K84" s="330">
        <v>10000</v>
      </c>
      <c r="L84" s="331">
        <v>10000</v>
      </c>
      <c r="M84" s="332">
        <f>1750+1323.1</f>
        <v>3073.1</v>
      </c>
      <c r="N84" s="333"/>
      <c r="O84" s="334">
        <v>6800</v>
      </c>
      <c r="P84" s="335">
        <v>6800</v>
      </c>
      <c r="Q84" s="336">
        <f>104464.77-89198.02</f>
        <v>15266.75</v>
      </c>
      <c r="R84" s="461"/>
      <c r="S84" s="338"/>
      <c r="T84" s="469"/>
      <c r="U84" s="340"/>
      <c r="V84" s="341">
        <v>0</v>
      </c>
      <c r="W84" s="342"/>
      <c r="X84" s="343"/>
      <c r="Y84" s="344"/>
      <c r="Z84" s="345">
        <v>0</v>
      </c>
      <c r="AA84" s="346"/>
      <c r="AB84" s="343"/>
      <c r="AC84" s="347"/>
      <c r="AD84" s="348">
        <v>0</v>
      </c>
      <c r="AE84" s="349"/>
      <c r="AG84" s="191"/>
      <c r="AH84" s="191"/>
      <c r="AI84" s="191"/>
      <c r="AJ84" s="191"/>
      <c r="AK84" s="191"/>
      <c r="AL84" s="191"/>
      <c r="AM84" s="191"/>
      <c r="AN84" s="191"/>
      <c r="AO84" s="191"/>
      <c r="AP84" s="191"/>
      <c r="AQ84" s="191"/>
      <c r="AR84" s="191"/>
      <c r="AS84" s="191"/>
      <c r="AT84" s="191"/>
      <c r="AU84" s="191"/>
    </row>
    <row r="85" spans="1:47" s="319" customFormat="1" ht="14.65" hidden="1" outlineLevel="1" thickBot="1" x14ac:dyDescent="0.5">
      <c r="A85" s="320" t="s">
        <v>97</v>
      </c>
      <c r="B85" s="321"/>
      <c r="C85" s="397"/>
      <c r="D85" s="398"/>
      <c r="E85" s="399"/>
      <c r="F85" s="343"/>
      <c r="G85" s="401">
        <v>514788</v>
      </c>
      <c r="H85" s="402">
        <v>515916</v>
      </c>
      <c r="I85" s="403">
        <v>257958</v>
      </c>
      <c r="J85" s="329"/>
      <c r="K85" s="330"/>
      <c r="L85" s="331">
        <v>0</v>
      </c>
      <c r="M85" s="332"/>
      <c r="N85" s="343"/>
      <c r="O85" s="334"/>
      <c r="P85" s="335">
        <v>0</v>
      </c>
      <c r="Q85" s="336"/>
      <c r="R85" s="461"/>
      <c r="S85" s="338"/>
      <c r="T85" s="469"/>
      <c r="U85" s="340"/>
      <c r="V85" s="341">
        <v>0</v>
      </c>
      <c r="W85" s="342"/>
      <c r="X85" s="343"/>
      <c r="Y85" s="344"/>
      <c r="Z85" s="345">
        <v>0</v>
      </c>
      <c r="AA85" s="346"/>
      <c r="AB85" s="343"/>
      <c r="AC85" s="347"/>
      <c r="AD85" s="348">
        <v>38459</v>
      </c>
      <c r="AE85" s="349"/>
      <c r="AG85" s="191"/>
      <c r="AH85" s="191"/>
      <c r="AI85" s="191"/>
      <c r="AJ85" s="191"/>
      <c r="AK85" s="191"/>
      <c r="AL85" s="191"/>
      <c r="AM85" s="191"/>
      <c r="AN85" s="191"/>
      <c r="AO85" s="191"/>
      <c r="AP85" s="191"/>
      <c r="AQ85" s="191"/>
      <c r="AR85" s="191"/>
      <c r="AS85" s="191"/>
      <c r="AT85" s="191"/>
      <c r="AU85" s="191"/>
    </row>
    <row r="86" spans="1:47" s="319" customFormat="1" ht="14.65" hidden="1" outlineLevel="1" thickBot="1" x14ac:dyDescent="0.5">
      <c r="A86" s="320" t="s">
        <v>98</v>
      </c>
      <c r="B86" s="321"/>
      <c r="C86" s="397"/>
      <c r="D86" s="398"/>
      <c r="E86" s="399"/>
      <c r="F86" s="343"/>
      <c r="G86" s="401">
        <v>161000</v>
      </c>
      <c r="H86" s="402">
        <v>164124</v>
      </c>
      <c r="I86" s="403">
        <v>82062</v>
      </c>
      <c r="J86" s="329"/>
      <c r="K86" s="330"/>
      <c r="L86" s="331">
        <v>60139</v>
      </c>
      <c r="M86" s="332"/>
      <c r="N86" s="333"/>
      <c r="O86" s="334">
        <v>104160</v>
      </c>
      <c r="P86" s="335">
        <v>112812</v>
      </c>
      <c r="Q86" s="336">
        <v>51793</v>
      </c>
      <c r="R86" s="461"/>
      <c r="S86" s="338"/>
      <c r="T86" s="469"/>
      <c r="U86" s="340">
        <v>40000</v>
      </c>
      <c r="V86" s="341">
        <v>459002</v>
      </c>
      <c r="W86" s="342"/>
      <c r="X86" s="343"/>
      <c r="Y86" s="344">
        <f>1269000</f>
        <v>1269000</v>
      </c>
      <c r="Z86" s="345">
        <v>1145395</v>
      </c>
      <c r="AA86" s="346"/>
      <c r="AB86" s="343"/>
      <c r="AC86" s="347">
        <v>100000</v>
      </c>
      <c r="AD86" s="348">
        <v>100000</v>
      </c>
      <c r="AE86" s="349"/>
      <c r="AG86" s="191"/>
      <c r="AH86" s="191"/>
      <c r="AI86" s="191"/>
      <c r="AJ86" s="191"/>
      <c r="AK86" s="191"/>
      <c r="AL86" s="191"/>
      <c r="AM86" s="191"/>
      <c r="AN86" s="191"/>
      <c r="AO86" s="191"/>
      <c r="AP86" s="191"/>
      <c r="AQ86" s="191"/>
      <c r="AR86" s="191"/>
      <c r="AS86" s="191"/>
      <c r="AT86" s="191"/>
      <c r="AU86" s="191"/>
    </row>
    <row r="87" spans="1:47" s="319" customFormat="1" ht="14.65" hidden="1" outlineLevel="1" thickBot="1" x14ac:dyDescent="0.5">
      <c r="A87" s="320" t="s">
        <v>99</v>
      </c>
      <c r="B87" s="321"/>
      <c r="C87" s="397"/>
      <c r="D87" s="398"/>
      <c r="E87" s="399"/>
      <c r="F87" s="343"/>
      <c r="G87" s="401">
        <v>221000</v>
      </c>
      <c r="H87" s="402">
        <v>231579</v>
      </c>
      <c r="I87" s="403">
        <v>115789.5</v>
      </c>
      <c r="J87" s="329"/>
      <c r="K87" s="330"/>
      <c r="L87" s="331">
        <v>0</v>
      </c>
      <c r="M87" s="332"/>
      <c r="N87" s="343"/>
      <c r="O87" s="334"/>
      <c r="P87" s="335">
        <v>0</v>
      </c>
      <c r="Q87" s="336"/>
      <c r="R87" s="461"/>
      <c r="S87" s="338"/>
      <c r="T87" s="469"/>
      <c r="U87" s="340">
        <v>365000</v>
      </c>
      <c r="V87" s="341">
        <v>251000</v>
      </c>
      <c r="W87" s="342"/>
      <c r="X87" s="343"/>
      <c r="Y87" s="344">
        <v>598050</v>
      </c>
      <c r="Z87" s="345">
        <v>758980</v>
      </c>
      <c r="AA87" s="346"/>
      <c r="AB87" s="333"/>
      <c r="AC87" s="347">
        <v>80000</v>
      </c>
      <c r="AD87" s="348">
        <v>80000</v>
      </c>
      <c r="AE87" s="349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</row>
    <row r="88" spans="1:47" s="319" customFormat="1" ht="14.65" hidden="1" outlineLevel="1" thickBot="1" x14ac:dyDescent="0.5">
      <c r="A88" s="470" t="s">
        <v>100</v>
      </c>
      <c r="B88" s="471"/>
      <c r="C88" s="406"/>
      <c r="D88" s="407"/>
      <c r="E88" s="408"/>
      <c r="F88" s="367"/>
      <c r="G88" s="409">
        <v>1700000</v>
      </c>
      <c r="H88" s="410">
        <f>'[1]Network fees'!G3</f>
        <v>1234457.2100000002</v>
      </c>
      <c r="I88" s="411"/>
      <c r="J88" s="367"/>
      <c r="K88" s="364">
        <v>0</v>
      </c>
      <c r="L88" s="365">
        <f>'[1]Network fees'!G5</f>
        <v>141054.78960000002</v>
      </c>
      <c r="M88" s="366"/>
      <c r="N88" s="367"/>
      <c r="O88" s="368">
        <v>100000</v>
      </c>
      <c r="P88" s="369">
        <f>'[1]Network fees'!G4</f>
        <v>186551.63680000001</v>
      </c>
      <c r="Q88" s="370"/>
      <c r="R88" s="463"/>
      <c r="S88" s="372"/>
      <c r="T88" s="472"/>
      <c r="U88" s="374">
        <v>750000</v>
      </c>
      <c r="V88" s="375">
        <f>'[1]Network fees'!G6</f>
        <v>784367.69815589511</v>
      </c>
      <c r="W88" s="376"/>
      <c r="X88" s="367"/>
      <c r="Y88" s="377">
        <v>2017493</v>
      </c>
      <c r="Z88" s="378">
        <f>'[1]Network fees'!G8</f>
        <v>3874032.82134334</v>
      </c>
      <c r="AA88" s="379"/>
      <c r="AB88" s="367"/>
      <c r="AC88" s="381">
        <v>300000</v>
      </c>
      <c r="AD88" s="382">
        <f>'[1]Network fees'!G7</f>
        <v>444714.8065602837</v>
      </c>
      <c r="AE88" s="383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/>
      <c r="AU88" s="191"/>
    </row>
    <row r="89" spans="1:47" s="458" customFormat="1" ht="14.65" collapsed="1" thickBot="1" x14ac:dyDescent="0.5">
      <c r="A89" s="278" t="s">
        <v>101</v>
      </c>
      <c r="B89" s="279"/>
      <c r="C89" s="280">
        <f>SUM(C77:C88)</f>
        <v>4000</v>
      </c>
      <c r="D89" s="281">
        <f t="shared" ref="D89:I89" si="24">SUM(D77:D88)</f>
        <v>29000</v>
      </c>
      <c r="E89" s="282">
        <f t="shared" si="24"/>
        <v>25886.5</v>
      </c>
      <c r="F89" s="283">
        <f t="shared" si="24"/>
        <v>0</v>
      </c>
      <c r="G89" s="284">
        <f t="shared" si="24"/>
        <v>2845448</v>
      </c>
      <c r="H89" s="285">
        <f t="shared" si="24"/>
        <v>2481445.21</v>
      </c>
      <c r="I89" s="286">
        <f t="shared" si="24"/>
        <v>741873.71</v>
      </c>
      <c r="J89" s="283"/>
      <c r="K89" s="284">
        <f t="shared" ref="K89:M89" si="25">SUM(K77:K88)</f>
        <v>107160</v>
      </c>
      <c r="L89" s="285">
        <f t="shared" si="25"/>
        <v>340156.78960000002</v>
      </c>
      <c r="M89" s="286">
        <f t="shared" si="25"/>
        <v>72192.53</v>
      </c>
      <c r="N89" s="283"/>
      <c r="O89" s="284">
        <f t="shared" ref="O89:Q89" si="26">SUM(O77:O88)</f>
        <v>553560</v>
      </c>
      <c r="P89" s="285">
        <f t="shared" si="26"/>
        <v>570331.63679999998</v>
      </c>
      <c r="Q89" s="286">
        <f t="shared" si="26"/>
        <v>261349.59</v>
      </c>
      <c r="R89" s="283"/>
      <c r="S89" s="285"/>
      <c r="T89" s="285"/>
      <c r="U89" s="284">
        <f t="shared" ref="U89:W89" si="27">SUM(U77:U88)</f>
        <v>1547000</v>
      </c>
      <c r="V89" s="285">
        <f t="shared" si="27"/>
        <v>1806369.6981558951</v>
      </c>
      <c r="W89" s="286">
        <f t="shared" si="27"/>
        <v>202059.71000000002</v>
      </c>
      <c r="X89" s="283"/>
      <c r="Y89" s="284">
        <f t="shared" ref="Y89:AA89" si="28">SUM(Y77:Y88)</f>
        <v>4494543</v>
      </c>
      <c r="Z89" s="285">
        <f t="shared" si="28"/>
        <v>6278407.82134334</v>
      </c>
      <c r="AA89" s="286">
        <f t="shared" si="28"/>
        <v>389937.98</v>
      </c>
      <c r="AB89" s="283"/>
      <c r="AC89" s="284">
        <f t="shared" ref="AC89:AE89" si="29">SUM(AC77:AC88)</f>
        <v>780000</v>
      </c>
      <c r="AD89" s="285">
        <f t="shared" si="29"/>
        <v>792173.80656028376</v>
      </c>
      <c r="AE89" s="286">
        <f t="shared" si="29"/>
        <v>109067.33</v>
      </c>
      <c r="AG89" s="191"/>
      <c r="AH89" s="191"/>
      <c r="AI89" s="191"/>
      <c r="AJ89" s="191"/>
      <c r="AK89" s="191"/>
      <c r="AL89" s="191"/>
      <c r="AM89" s="191"/>
      <c r="AN89" s="191"/>
      <c r="AO89" s="191"/>
      <c r="AP89" s="191"/>
      <c r="AQ89" s="191"/>
      <c r="AR89" s="191"/>
      <c r="AS89" s="191"/>
      <c r="AT89" s="191"/>
      <c r="AU89" s="191"/>
    </row>
    <row r="90" spans="1:47" s="319" customFormat="1" ht="14.65" hidden="1" outlineLevel="1" thickBot="1" x14ac:dyDescent="0.5">
      <c r="A90" s="290" t="s">
        <v>102</v>
      </c>
      <c r="B90" s="291"/>
      <c r="C90" s="292"/>
      <c r="D90" s="293"/>
      <c r="E90" s="294"/>
      <c r="F90" s="295"/>
      <c r="G90" s="440">
        <v>2000</v>
      </c>
      <c r="H90" s="441">
        <v>4119</v>
      </c>
      <c r="I90" s="442">
        <v>225</v>
      </c>
      <c r="J90" s="299"/>
      <c r="K90" s="300"/>
      <c r="L90" s="301">
        <v>0</v>
      </c>
      <c r="M90" s="302"/>
      <c r="N90" s="295"/>
      <c r="O90" s="304"/>
      <c r="P90" s="305">
        <v>0</v>
      </c>
      <c r="Q90" s="395"/>
      <c r="R90" s="459"/>
      <c r="S90" s="308"/>
      <c r="T90" s="468"/>
      <c r="U90" s="310"/>
      <c r="V90" s="311">
        <v>0</v>
      </c>
      <c r="W90" s="312"/>
      <c r="X90" s="295"/>
      <c r="Y90" s="313"/>
      <c r="Z90" s="314">
        <v>0</v>
      </c>
      <c r="AA90" s="315"/>
      <c r="AB90" s="295"/>
      <c r="AC90" s="316"/>
      <c r="AD90" s="317">
        <v>0</v>
      </c>
      <c r="AE90" s="318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</row>
    <row r="91" spans="1:47" s="319" customFormat="1" ht="14.65" hidden="1" outlineLevel="1" thickBot="1" x14ac:dyDescent="0.5">
      <c r="A91" s="320" t="s">
        <v>103</v>
      </c>
      <c r="B91" s="321"/>
      <c r="C91" s="397"/>
      <c r="D91" s="398"/>
      <c r="E91" s="399"/>
      <c r="F91" s="343"/>
      <c r="G91" s="401"/>
      <c r="H91" s="402"/>
      <c r="I91" s="403"/>
      <c r="J91" s="343"/>
      <c r="K91" s="330">
        <v>20000</v>
      </c>
      <c r="L91" s="331">
        <v>20046</v>
      </c>
      <c r="M91" s="332">
        <v>5179.29</v>
      </c>
      <c r="N91" s="333"/>
      <c r="O91" s="334">
        <v>30000</v>
      </c>
      <c r="P91" s="335">
        <v>37604</v>
      </c>
      <c r="Q91" s="336">
        <v>10358.61</v>
      </c>
      <c r="R91" s="461"/>
      <c r="S91" s="338"/>
      <c r="T91" s="469"/>
      <c r="U91" s="340"/>
      <c r="V91" s="341">
        <v>0</v>
      </c>
      <c r="W91" s="342"/>
      <c r="X91" s="343"/>
      <c r="Y91" s="344"/>
      <c r="Z91" s="345">
        <v>0</v>
      </c>
      <c r="AA91" s="346"/>
      <c r="AB91" s="343"/>
      <c r="AC91" s="347"/>
      <c r="AD91" s="348">
        <v>0</v>
      </c>
      <c r="AE91" s="349"/>
      <c r="AG91" s="191"/>
      <c r="AH91" s="191"/>
      <c r="AI91" s="191"/>
      <c r="AJ91" s="191"/>
      <c r="AK91" s="191"/>
      <c r="AL91" s="191"/>
      <c r="AM91" s="191"/>
      <c r="AN91" s="191"/>
      <c r="AO91" s="191"/>
      <c r="AP91" s="191"/>
      <c r="AQ91" s="191"/>
      <c r="AR91" s="191"/>
      <c r="AS91" s="191"/>
      <c r="AT91" s="191"/>
      <c r="AU91" s="191"/>
    </row>
    <row r="92" spans="1:47" s="319" customFormat="1" ht="14.65" hidden="1" outlineLevel="1" thickBot="1" x14ac:dyDescent="0.5">
      <c r="A92" s="320" t="s">
        <v>104</v>
      </c>
      <c r="B92" s="321"/>
      <c r="C92" s="397"/>
      <c r="D92" s="398"/>
      <c r="E92" s="399"/>
      <c r="F92" s="343"/>
      <c r="G92" s="401"/>
      <c r="H92" s="402"/>
      <c r="I92" s="403"/>
      <c r="J92" s="343"/>
      <c r="K92" s="330"/>
      <c r="L92" s="331">
        <v>0</v>
      </c>
      <c r="M92" s="332"/>
      <c r="N92" s="343"/>
      <c r="O92" s="334"/>
      <c r="P92" s="335">
        <v>0</v>
      </c>
      <c r="Q92" s="336"/>
      <c r="R92" s="461"/>
      <c r="S92" s="338"/>
      <c r="T92" s="469"/>
      <c r="U92" s="340"/>
      <c r="V92" s="341">
        <v>0</v>
      </c>
      <c r="W92" s="342"/>
      <c r="X92" s="343"/>
      <c r="Y92" s="344"/>
      <c r="Z92" s="345">
        <v>0</v>
      </c>
      <c r="AA92" s="346"/>
      <c r="AB92" s="343"/>
      <c r="AC92" s="347"/>
      <c r="AD92" s="348">
        <v>0</v>
      </c>
      <c r="AE92" s="349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</row>
    <row r="93" spans="1:47" s="319" customFormat="1" ht="14.65" hidden="1" outlineLevel="1" thickBot="1" x14ac:dyDescent="0.5">
      <c r="A93" s="320" t="s">
        <v>105</v>
      </c>
      <c r="B93" s="321"/>
      <c r="C93" s="397">
        <v>100000</v>
      </c>
      <c r="D93" s="398">
        <v>50000</v>
      </c>
      <c r="E93" s="399"/>
      <c r="F93" s="343"/>
      <c r="G93" s="401"/>
      <c r="H93" s="402"/>
      <c r="I93" s="403"/>
      <c r="J93" s="343"/>
      <c r="K93" s="330"/>
      <c r="L93" s="331">
        <v>0</v>
      </c>
      <c r="M93" s="332"/>
      <c r="N93" s="343"/>
      <c r="O93" s="334"/>
      <c r="P93" s="335">
        <v>0</v>
      </c>
      <c r="Q93" s="336"/>
      <c r="R93" s="461"/>
      <c r="S93" s="338"/>
      <c r="T93" s="469"/>
      <c r="U93" s="340"/>
      <c r="V93" s="341">
        <v>0</v>
      </c>
      <c r="W93" s="342"/>
      <c r="X93" s="343"/>
      <c r="Y93" s="344"/>
      <c r="Z93" s="345">
        <v>0</v>
      </c>
      <c r="AA93" s="346"/>
      <c r="AB93" s="343"/>
      <c r="AC93" s="347"/>
      <c r="AD93" s="348">
        <v>0</v>
      </c>
      <c r="AE93" s="349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  <c r="AS93" s="191"/>
      <c r="AT93" s="191"/>
      <c r="AU93" s="191"/>
    </row>
    <row r="94" spans="1:47" s="319" customFormat="1" ht="14.65" hidden="1" outlineLevel="1" thickBot="1" x14ac:dyDescent="0.5">
      <c r="A94" s="320" t="s">
        <v>106</v>
      </c>
      <c r="B94" s="321"/>
      <c r="C94" s="397">
        <v>100000</v>
      </c>
      <c r="D94" s="398"/>
      <c r="E94" s="399"/>
      <c r="F94" s="343"/>
      <c r="G94" s="401"/>
      <c r="H94" s="402"/>
      <c r="I94" s="403"/>
      <c r="J94" s="343"/>
      <c r="K94" s="330"/>
      <c r="L94" s="331">
        <v>0</v>
      </c>
      <c r="M94" s="332"/>
      <c r="N94" s="343"/>
      <c r="O94" s="334"/>
      <c r="P94" s="335">
        <v>0</v>
      </c>
      <c r="Q94" s="335"/>
      <c r="R94" s="461"/>
      <c r="S94" s="338"/>
      <c r="T94" s="469"/>
      <c r="U94" s="340"/>
      <c r="V94" s="341">
        <v>20000</v>
      </c>
      <c r="W94" s="342"/>
      <c r="X94" s="343"/>
      <c r="Y94" s="344">
        <v>50000</v>
      </c>
      <c r="Z94" s="346">
        <v>80000</v>
      </c>
      <c r="AA94" s="346">
        <v>23.99</v>
      </c>
      <c r="AB94" s="343"/>
      <c r="AC94" s="347">
        <v>100000</v>
      </c>
      <c r="AD94" s="348">
        <v>25000</v>
      </c>
      <c r="AE94" s="349"/>
      <c r="AG94" s="191"/>
      <c r="AH94" s="191"/>
      <c r="AI94" s="191"/>
      <c r="AJ94" s="191"/>
      <c r="AK94" s="191"/>
      <c r="AL94" s="191"/>
      <c r="AM94" s="191"/>
      <c r="AN94" s="191"/>
      <c r="AO94" s="191"/>
      <c r="AP94" s="191"/>
      <c r="AQ94" s="191"/>
      <c r="AR94" s="191"/>
      <c r="AS94" s="191"/>
      <c r="AT94" s="191"/>
      <c r="AU94" s="191"/>
    </row>
    <row r="95" spans="1:47" s="319" customFormat="1" ht="14.65" hidden="1" outlineLevel="1" thickBot="1" x14ac:dyDescent="0.5">
      <c r="A95" s="320" t="s">
        <v>107</v>
      </c>
      <c r="B95" s="321"/>
      <c r="C95" s="397"/>
      <c r="D95" s="398"/>
      <c r="E95" s="399">
        <v>2508.25</v>
      </c>
      <c r="F95" s="343"/>
      <c r="G95" s="401"/>
      <c r="H95" s="402">
        <v>40000</v>
      </c>
      <c r="I95" s="403">
        <f>29231.47+4893</f>
        <v>34124.47</v>
      </c>
      <c r="J95" s="329"/>
      <c r="K95" s="330"/>
      <c r="L95" s="331">
        <f>12000-10000</f>
        <v>2000</v>
      </c>
      <c r="M95" s="332">
        <v>58.88</v>
      </c>
      <c r="N95" s="343"/>
      <c r="O95" s="334">
        <v>94006</v>
      </c>
      <c r="P95" s="335">
        <v>20000</v>
      </c>
      <c r="Q95" s="335">
        <v>14380</v>
      </c>
      <c r="R95" s="461"/>
      <c r="S95" s="338"/>
      <c r="T95" s="469"/>
      <c r="U95" s="340"/>
      <c r="V95" s="341">
        <v>0</v>
      </c>
      <c r="W95" s="342"/>
      <c r="X95" s="343"/>
      <c r="Y95" s="344"/>
      <c r="Z95" s="345">
        <v>0</v>
      </c>
      <c r="AA95" s="346"/>
      <c r="AB95" s="343"/>
      <c r="AC95" s="347"/>
      <c r="AD95" s="348">
        <v>0</v>
      </c>
      <c r="AE95" s="349">
        <v>127130.7</v>
      </c>
      <c r="AG95" s="191"/>
      <c r="AH95" s="191"/>
      <c r="AI95" s="191"/>
      <c r="AJ95" s="191"/>
      <c r="AK95" s="191"/>
      <c r="AL95" s="191"/>
      <c r="AM95" s="191"/>
      <c r="AN95" s="191"/>
      <c r="AO95" s="191"/>
      <c r="AP95" s="191"/>
      <c r="AQ95" s="191"/>
      <c r="AR95" s="191"/>
      <c r="AS95" s="191"/>
      <c r="AT95" s="191"/>
      <c r="AU95" s="191"/>
    </row>
    <row r="96" spans="1:47" s="319" customFormat="1" ht="14.65" hidden="1" outlineLevel="1" thickBot="1" x14ac:dyDescent="0.5">
      <c r="A96" s="320" t="s">
        <v>108</v>
      </c>
      <c r="B96" s="321"/>
      <c r="C96" s="397"/>
      <c r="D96" s="398"/>
      <c r="E96" s="399"/>
      <c r="F96" s="343"/>
      <c r="G96" s="401">
        <v>15000</v>
      </c>
      <c r="H96" s="402">
        <v>0</v>
      </c>
      <c r="I96" s="403"/>
      <c r="J96" s="343"/>
      <c r="K96" s="330"/>
      <c r="L96" s="331">
        <v>0</v>
      </c>
      <c r="M96" s="332"/>
      <c r="N96" s="343"/>
      <c r="O96" s="334">
        <v>5000</v>
      </c>
      <c r="P96" s="335">
        <v>5000</v>
      </c>
      <c r="Q96" s="335"/>
      <c r="R96" s="461"/>
      <c r="S96" s="338"/>
      <c r="T96" s="469"/>
      <c r="U96" s="340"/>
      <c r="V96" s="341">
        <v>0</v>
      </c>
      <c r="W96" s="342"/>
      <c r="X96" s="343"/>
      <c r="Y96" s="344"/>
      <c r="Z96" s="345">
        <v>0</v>
      </c>
      <c r="AA96" s="346"/>
      <c r="AB96" s="343"/>
      <c r="AC96" s="347"/>
      <c r="AD96" s="348">
        <v>0</v>
      </c>
      <c r="AE96" s="349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  <c r="AS96" s="191"/>
      <c r="AT96" s="191"/>
      <c r="AU96" s="191"/>
    </row>
    <row r="97" spans="1:47" s="319" customFormat="1" ht="14.65" hidden="1" outlineLevel="1" thickBot="1" x14ac:dyDescent="0.5">
      <c r="A97" s="320" t="s">
        <v>109</v>
      </c>
      <c r="B97" s="321"/>
      <c r="C97" s="397"/>
      <c r="D97" s="398"/>
      <c r="E97" s="399"/>
      <c r="F97" s="343"/>
      <c r="G97" s="401">
        <v>30000</v>
      </c>
      <c r="H97" s="402">
        <v>30000</v>
      </c>
      <c r="I97" s="403">
        <f>48809.11-20228.88</f>
        <v>28580.23</v>
      </c>
      <c r="J97" s="329"/>
      <c r="K97" s="330">
        <v>20000</v>
      </c>
      <c r="L97" s="331">
        <f>20000-5000</f>
        <v>15000</v>
      </c>
      <c r="M97" s="332">
        <v>87.75</v>
      </c>
      <c r="N97" s="343"/>
      <c r="O97" s="334">
        <v>30000</v>
      </c>
      <c r="P97" s="335"/>
      <c r="Q97" s="335"/>
      <c r="R97" s="461"/>
      <c r="S97" s="338"/>
      <c r="T97" s="469"/>
      <c r="U97" s="340"/>
      <c r="V97" s="341">
        <v>0</v>
      </c>
      <c r="W97" s="342"/>
      <c r="X97" s="343"/>
      <c r="Y97" s="344"/>
      <c r="Z97" s="345">
        <v>0</v>
      </c>
      <c r="AA97" s="346"/>
      <c r="AB97" s="343"/>
      <c r="AC97" s="347">
        <v>260000</v>
      </c>
      <c r="AD97" s="348">
        <v>70000</v>
      </c>
      <c r="AE97" s="349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</row>
    <row r="98" spans="1:47" s="319" customFormat="1" ht="14.65" hidden="1" outlineLevel="1" thickBot="1" x14ac:dyDescent="0.5">
      <c r="A98" s="473" t="s">
        <v>110</v>
      </c>
      <c r="B98" s="474"/>
      <c r="C98" s="397"/>
      <c r="D98" s="398"/>
      <c r="E98" s="399"/>
      <c r="F98" s="343"/>
      <c r="G98" s="401">
        <v>27000</v>
      </c>
      <c r="H98" s="402">
        <v>0</v>
      </c>
      <c r="I98" s="403"/>
      <c r="J98" s="343"/>
      <c r="K98" s="330"/>
      <c r="L98" s="331">
        <v>0</v>
      </c>
      <c r="M98" s="332"/>
      <c r="N98" s="343"/>
      <c r="O98" s="334"/>
      <c r="P98" s="335"/>
      <c r="Q98" s="335">
        <v>0</v>
      </c>
      <c r="R98" s="461"/>
      <c r="S98" s="338"/>
      <c r="T98" s="469"/>
      <c r="U98" s="340"/>
      <c r="V98" s="341">
        <v>0</v>
      </c>
      <c r="W98" s="342"/>
      <c r="X98" s="343"/>
      <c r="Y98" s="344">
        <v>350000</v>
      </c>
      <c r="Z98" s="475">
        <v>350000</v>
      </c>
      <c r="AA98" s="346"/>
      <c r="AB98" s="333"/>
      <c r="AC98" s="347"/>
      <c r="AD98" s="348">
        <v>0</v>
      </c>
      <c r="AE98" s="349"/>
      <c r="AG98" s="191"/>
      <c r="AH98" s="191"/>
      <c r="AI98" s="191"/>
      <c r="AJ98" s="191"/>
      <c r="AK98" s="191"/>
      <c r="AL98" s="191"/>
      <c r="AM98" s="191"/>
      <c r="AN98" s="191"/>
      <c r="AO98" s="191"/>
      <c r="AP98" s="191"/>
      <c r="AQ98" s="191"/>
      <c r="AR98" s="191"/>
      <c r="AS98" s="191"/>
      <c r="AT98" s="191"/>
      <c r="AU98" s="191"/>
    </row>
    <row r="99" spans="1:47" s="319" customFormat="1" ht="14.65" hidden="1" outlineLevel="1" thickBot="1" x14ac:dyDescent="0.5">
      <c r="A99" s="320" t="s">
        <v>111</v>
      </c>
      <c r="B99" s="321"/>
      <c r="C99" s="397"/>
      <c r="D99" s="398"/>
      <c r="E99" s="399"/>
      <c r="F99" s="343"/>
      <c r="G99" s="401"/>
      <c r="H99" s="403">
        <f>50000-22000-28000</f>
        <v>0</v>
      </c>
      <c r="I99" s="403"/>
      <c r="J99" s="343"/>
      <c r="K99" s="330"/>
      <c r="L99" s="331">
        <v>0</v>
      </c>
      <c r="M99" s="332"/>
      <c r="N99" s="343"/>
      <c r="O99" s="334"/>
      <c r="P99" s="335">
        <v>0</v>
      </c>
      <c r="Q99" s="336"/>
      <c r="R99" s="461"/>
      <c r="S99" s="338"/>
      <c r="T99" s="469"/>
      <c r="U99" s="340"/>
      <c r="V99" s="341">
        <v>0</v>
      </c>
      <c r="W99" s="342"/>
      <c r="X99" s="343"/>
      <c r="Y99" s="344"/>
      <c r="Z99" s="345">
        <v>0</v>
      </c>
      <c r="AA99" s="346"/>
      <c r="AB99" s="343"/>
      <c r="AC99" s="347"/>
      <c r="AD99" s="348">
        <v>0</v>
      </c>
      <c r="AE99" s="349"/>
      <c r="AG99" s="191"/>
      <c r="AH99" s="191"/>
      <c r="AI99" s="191"/>
      <c r="AJ99" s="191"/>
      <c r="AK99" s="191"/>
      <c r="AL99" s="191"/>
      <c r="AM99" s="191"/>
      <c r="AN99" s="191"/>
      <c r="AO99" s="191"/>
      <c r="AP99" s="191"/>
      <c r="AQ99" s="191"/>
      <c r="AR99" s="191"/>
      <c r="AS99" s="191"/>
      <c r="AT99" s="191"/>
      <c r="AU99" s="191"/>
    </row>
    <row r="100" spans="1:47" s="319" customFormat="1" ht="14.65" hidden="1" outlineLevel="1" thickBot="1" x14ac:dyDescent="0.5">
      <c r="A100" s="353" t="s">
        <v>112</v>
      </c>
      <c r="B100" s="354"/>
      <c r="C100" s="397"/>
      <c r="D100" s="398">
        <v>80000</v>
      </c>
      <c r="E100" s="399">
        <f>52177.83+10000</f>
        <v>62177.83</v>
      </c>
      <c r="F100" s="343"/>
      <c r="G100" s="401"/>
      <c r="H100" s="402"/>
      <c r="I100" s="403"/>
      <c r="J100" s="343"/>
      <c r="K100" s="330"/>
      <c r="L100" s="331">
        <v>0</v>
      </c>
      <c r="M100" s="332"/>
      <c r="N100" s="343"/>
      <c r="O100" s="334"/>
      <c r="P100" s="335">
        <v>0</v>
      </c>
      <c r="Q100" s="336"/>
      <c r="R100" s="461"/>
      <c r="S100" s="338"/>
      <c r="T100" s="469"/>
      <c r="U100" s="340"/>
      <c r="V100" s="341">
        <v>0</v>
      </c>
      <c r="W100" s="342"/>
      <c r="X100" s="343"/>
      <c r="Y100" s="344"/>
      <c r="Z100" s="345">
        <v>0</v>
      </c>
      <c r="AA100" s="346"/>
      <c r="AB100" s="343"/>
      <c r="AC100" s="347"/>
      <c r="AD100" s="348">
        <v>0</v>
      </c>
      <c r="AE100" s="349"/>
      <c r="AG100" s="191"/>
      <c r="AH100" s="191"/>
      <c r="AI100" s="191"/>
      <c r="AJ100" s="191"/>
      <c r="AK100" s="191"/>
      <c r="AL100" s="191"/>
      <c r="AM100" s="191"/>
      <c r="AN100" s="191"/>
      <c r="AO100" s="191"/>
      <c r="AP100" s="191"/>
      <c r="AQ100" s="191"/>
      <c r="AR100" s="191"/>
      <c r="AS100" s="191"/>
      <c r="AT100" s="191"/>
      <c r="AU100" s="191"/>
    </row>
    <row r="101" spans="1:47" s="319" customFormat="1" ht="14.65" hidden="1" outlineLevel="1" thickBot="1" x14ac:dyDescent="0.5">
      <c r="A101" s="320" t="s">
        <v>113</v>
      </c>
      <c r="B101" s="476" t="s">
        <v>114</v>
      </c>
      <c r="C101" s="397">
        <v>10000</v>
      </c>
      <c r="D101" s="398">
        <v>0</v>
      </c>
      <c r="E101" s="399"/>
      <c r="F101" s="343"/>
      <c r="G101" s="401"/>
      <c r="H101" s="402"/>
      <c r="I101" s="402">
        <v>0</v>
      </c>
      <c r="J101" s="343"/>
      <c r="K101" s="330"/>
      <c r="L101" s="330">
        <v>0</v>
      </c>
      <c r="M101" s="332"/>
      <c r="N101" s="343"/>
      <c r="O101" s="334"/>
      <c r="P101" s="335">
        <v>0</v>
      </c>
      <c r="Q101" s="336"/>
      <c r="R101" s="461"/>
      <c r="S101" s="338"/>
      <c r="T101" s="469"/>
      <c r="U101" s="340"/>
      <c r="V101" s="341">
        <v>0</v>
      </c>
      <c r="W101" s="342"/>
      <c r="X101" s="343"/>
      <c r="Y101" s="344"/>
      <c r="Z101" s="345">
        <v>0</v>
      </c>
      <c r="AA101" s="346"/>
      <c r="AB101" s="343"/>
      <c r="AC101" s="347"/>
      <c r="AD101" s="348">
        <v>0</v>
      </c>
      <c r="AE101" s="349"/>
      <c r="AG101" s="191"/>
      <c r="AH101" s="191"/>
      <c r="AI101" s="191"/>
      <c r="AJ101" s="191"/>
      <c r="AK101" s="191"/>
      <c r="AL101" s="191"/>
      <c r="AM101" s="191"/>
      <c r="AN101" s="191"/>
      <c r="AO101" s="191"/>
      <c r="AP101" s="191"/>
      <c r="AQ101" s="191"/>
      <c r="AR101" s="191"/>
      <c r="AS101" s="191"/>
      <c r="AT101" s="191"/>
      <c r="AU101" s="191"/>
    </row>
    <row r="102" spans="1:47" s="319" customFormat="1" ht="14.65" hidden="1" outlineLevel="1" thickBot="1" x14ac:dyDescent="0.5">
      <c r="A102" s="320" t="s">
        <v>115</v>
      </c>
      <c r="B102" s="321"/>
      <c r="C102" s="397"/>
      <c r="D102" s="398"/>
      <c r="E102" s="399"/>
      <c r="F102" s="343"/>
      <c r="G102" s="401">
        <v>10000</v>
      </c>
      <c r="H102" s="402">
        <v>10000</v>
      </c>
      <c r="I102" s="403"/>
      <c r="J102" s="329"/>
      <c r="K102" s="330">
        <v>5000</v>
      </c>
      <c r="L102" s="330">
        <f>5000-4000</f>
        <v>1000</v>
      </c>
      <c r="M102" s="332"/>
      <c r="N102" s="343"/>
      <c r="O102" s="334">
        <v>10000</v>
      </c>
      <c r="P102" s="335">
        <v>0</v>
      </c>
      <c r="Q102" s="336"/>
      <c r="R102" s="461"/>
      <c r="S102" s="338"/>
      <c r="T102" s="469"/>
      <c r="U102" s="340">
        <v>10000</v>
      </c>
      <c r="V102" s="341">
        <v>10000</v>
      </c>
      <c r="W102" s="342"/>
      <c r="X102" s="333"/>
      <c r="Y102" s="344">
        <v>50000</v>
      </c>
      <c r="Z102" s="345">
        <v>50000</v>
      </c>
      <c r="AA102" s="346"/>
      <c r="AB102" s="343"/>
      <c r="AC102" s="347">
        <v>150000</v>
      </c>
      <c r="AD102" s="348">
        <v>50000</v>
      </c>
      <c r="AE102" s="349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91"/>
      <c r="AS102" s="191"/>
      <c r="AT102" s="191"/>
      <c r="AU102" s="191"/>
    </row>
    <row r="103" spans="1:47" s="319" customFormat="1" ht="14.65" hidden="1" outlineLevel="1" thickBot="1" x14ac:dyDescent="0.5">
      <c r="A103" s="320" t="s">
        <v>116</v>
      </c>
      <c r="B103" s="321"/>
      <c r="C103" s="397"/>
      <c r="D103" s="398"/>
      <c r="E103" s="399"/>
      <c r="F103" s="343"/>
      <c r="G103" s="401">
        <v>10000</v>
      </c>
      <c r="H103" s="402">
        <v>10000</v>
      </c>
      <c r="I103" s="403"/>
      <c r="J103" s="343"/>
      <c r="K103" s="330"/>
      <c r="L103" s="331">
        <v>0</v>
      </c>
      <c r="M103" s="332"/>
      <c r="N103" s="343"/>
      <c r="O103" s="334">
        <v>20000</v>
      </c>
      <c r="P103" s="335">
        <v>8000</v>
      </c>
      <c r="Q103" s="336"/>
      <c r="R103" s="461"/>
      <c r="S103" s="338"/>
      <c r="T103" s="469"/>
      <c r="U103" s="340"/>
      <c r="V103" s="341">
        <v>0</v>
      </c>
      <c r="W103" s="342"/>
      <c r="X103" s="343"/>
      <c r="Y103" s="344"/>
      <c r="Z103" s="345">
        <v>0</v>
      </c>
      <c r="AA103" s="346"/>
      <c r="AB103" s="343"/>
      <c r="AC103" s="347"/>
      <c r="AD103" s="348">
        <v>0</v>
      </c>
      <c r="AE103" s="349">
        <v>2260.12</v>
      </c>
      <c r="AG103" s="191"/>
      <c r="AH103" s="191"/>
      <c r="AI103" s="191"/>
      <c r="AJ103" s="191"/>
      <c r="AK103" s="191"/>
      <c r="AL103" s="191"/>
      <c r="AM103" s="191"/>
      <c r="AN103" s="191"/>
      <c r="AO103" s="191"/>
      <c r="AP103" s="191"/>
      <c r="AQ103" s="191"/>
      <c r="AR103" s="191"/>
      <c r="AS103" s="191"/>
      <c r="AT103" s="191"/>
      <c r="AU103" s="191"/>
    </row>
    <row r="104" spans="1:47" s="319" customFormat="1" ht="14.65" hidden="1" outlineLevel="1" thickBot="1" x14ac:dyDescent="0.5">
      <c r="A104" s="353" t="s">
        <v>117</v>
      </c>
      <c r="B104" s="354"/>
      <c r="C104" s="397"/>
      <c r="D104" s="398"/>
      <c r="E104" s="399"/>
      <c r="F104" s="343"/>
      <c r="G104" s="401"/>
      <c r="H104" s="402"/>
      <c r="I104" s="403"/>
      <c r="J104" s="343"/>
      <c r="K104" s="330"/>
      <c r="L104" s="331">
        <v>0</v>
      </c>
      <c r="M104" s="332"/>
      <c r="N104" s="343"/>
      <c r="O104" s="334"/>
      <c r="P104" s="335">
        <v>0</v>
      </c>
      <c r="Q104" s="336"/>
      <c r="R104" s="461"/>
      <c r="S104" s="338"/>
      <c r="T104" s="469"/>
      <c r="U104" s="340"/>
      <c r="V104" s="341">
        <v>0</v>
      </c>
      <c r="W104" s="342"/>
      <c r="X104" s="343"/>
      <c r="Y104" s="344">
        <v>75000</v>
      </c>
      <c r="Z104" s="345">
        <v>75000</v>
      </c>
      <c r="AA104" s="346"/>
      <c r="AB104" s="343"/>
      <c r="AC104" s="347">
        <v>50000</v>
      </c>
      <c r="AD104" s="348">
        <v>50000</v>
      </c>
      <c r="AE104" s="349">
        <f>121.24+1302.39</f>
        <v>1423.63</v>
      </c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</row>
    <row r="105" spans="1:47" s="319" customFormat="1" ht="14.65" hidden="1" outlineLevel="1" thickBot="1" x14ac:dyDescent="0.5">
      <c r="A105" s="353" t="s">
        <v>118</v>
      </c>
      <c r="B105" s="354"/>
      <c r="C105" s="397"/>
      <c r="D105" s="398"/>
      <c r="E105" s="399"/>
      <c r="F105" s="343"/>
      <c r="G105" s="401"/>
      <c r="H105" s="402"/>
      <c r="I105" s="403"/>
      <c r="J105" s="343"/>
      <c r="K105" s="330"/>
      <c r="L105" s="331">
        <v>0</v>
      </c>
      <c r="M105" s="332"/>
      <c r="N105" s="343"/>
      <c r="O105" s="334"/>
      <c r="P105" s="335">
        <v>0</v>
      </c>
      <c r="Q105" s="336"/>
      <c r="R105" s="461"/>
      <c r="S105" s="338"/>
      <c r="T105" s="469"/>
      <c r="U105" s="340"/>
      <c r="V105" s="341">
        <v>0</v>
      </c>
      <c r="W105" s="342"/>
      <c r="X105" s="343"/>
      <c r="Y105" s="344">
        <v>30000</v>
      </c>
      <c r="Z105" s="345">
        <v>30000</v>
      </c>
      <c r="AA105" s="346"/>
      <c r="AB105" s="343"/>
      <c r="AC105" s="347">
        <v>20000</v>
      </c>
      <c r="AD105" s="348">
        <v>20000</v>
      </c>
      <c r="AE105" s="349"/>
      <c r="AG105" s="191"/>
      <c r="AH105" s="191"/>
      <c r="AI105" s="191"/>
      <c r="AJ105" s="191"/>
      <c r="AK105" s="191"/>
      <c r="AL105" s="191"/>
      <c r="AM105" s="191"/>
      <c r="AN105" s="191"/>
      <c r="AO105" s="191"/>
      <c r="AP105" s="191"/>
      <c r="AQ105" s="191"/>
      <c r="AR105" s="191"/>
      <c r="AS105" s="191"/>
      <c r="AT105" s="191"/>
      <c r="AU105" s="191"/>
    </row>
    <row r="106" spans="1:47" s="319" customFormat="1" ht="14.65" hidden="1" outlineLevel="1" thickBot="1" x14ac:dyDescent="0.5">
      <c r="A106" s="353" t="s">
        <v>119</v>
      </c>
      <c r="B106" s="354"/>
      <c r="C106" s="397"/>
      <c r="D106" s="398"/>
      <c r="E106" s="399"/>
      <c r="F106" s="343"/>
      <c r="G106" s="401"/>
      <c r="H106" s="402"/>
      <c r="I106" s="403"/>
      <c r="J106" s="343"/>
      <c r="K106" s="330"/>
      <c r="L106" s="331">
        <v>0</v>
      </c>
      <c r="M106" s="332"/>
      <c r="N106" s="343"/>
      <c r="O106" s="334"/>
      <c r="P106" s="335">
        <v>0</v>
      </c>
      <c r="Q106" s="336"/>
      <c r="R106" s="461"/>
      <c r="S106" s="338"/>
      <c r="T106" s="469"/>
      <c r="U106" s="340"/>
      <c r="V106" s="341">
        <v>0</v>
      </c>
      <c r="W106" s="342">
        <f>113.7</f>
        <v>113.7</v>
      </c>
      <c r="X106" s="343"/>
      <c r="Y106" s="344">
        <v>20000</v>
      </c>
      <c r="Z106" s="345">
        <v>20000</v>
      </c>
      <c r="AA106" s="346"/>
      <c r="AB106" s="343"/>
      <c r="AC106" s="347">
        <v>10000</v>
      </c>
      <c r="AD106" s="348">
        <v>10000</v>
      </c>
      <c r="AE106" s="349">
        <v>999.27</v>
      </c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  <c r="AS106" s="191"/>
      <c r="AT106" s="191"/>
      <c r="AU106" s="191"/>
    </row>
    <row r="107" spans="1:47" s="319" customFormat="1" ht="14.65" hidden="1" outlineLevel="1" thickBot="1" x14ac:dyDescent="0.5">
      <c r="A107" s="320" t="s">
        <v>120</v>
      </c>
      <c r="B107" s="321"/>
      <c r="C107" s="397"/>
      <c r="D107" s="398"/>
      <c r="E107" s="399"/>
      <c r="F107" s="343"/>
      <c r="G107" s="401"/>
      <c r="H107" s="402"/>
      <c r="I107" s="403"/>
      <c r="J107" s="343"/>
      <c r="K107" s="330"/>
      <c r="L107" s="331">
        <v>0</v>
      </c>
      <c r="M107" s="330"/>
      <c r="N107" s="343"/>
      <c r="O107" s="334">
        <v>5000</v>
      </c>
      <c r="P107" s="335">
        <v>5000</v>
      </c>
      <c r="Q107" s="336"/>
      <c r="R107" s="461"/>
      <c r="S107" s="338"/>
      <c r="T107" s="469"/>
      <c r="U107" s="340"/>
      <c r="V107" s="341">
        <v>0</v>
      </c>
      <c r="W107" s="342"/>
      <c r="X107" s="343"/>
      <c r="Y107" s="344"/>
      <c r="Z107" s="345">
        <v>0</v>
      </c>
      <c r="AA107" s="346"/>
      <c r="AB107" s="343"/>
      <c r="AC107" s="347"/>
      <c r="AD107" s="348">
        <v>0</v>
      </c>
      <c r="AE107" s="349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  <c r="AS107" s="191"/>
      <c r="AT107" s="191"/>
      <c r="AU107" s="191"/>
    </row>
    <row r="108" spans="1:47" s="319" customFormat="1" ht="14.65" hidden="1" outlineLevel="1" thickBot="1" x14ac:dyDescent="0.5">
      <c r="A108" s="320" t="s">
        <v>121</v>
      </c>
      <c r="B108" s="321" t="s">
        <v>122</v>
      </c>
      <c r="C108" s="397"/>
      <c r="D108" s="398">
        <v>5000</v>
      </c>
      <c r="E108" s="399">
        <f>1733.99+2666</f>
        <v>4399.99</v>
      </c>
      <c r="F108" s="343"/>
      <c r="G108" s="401">
        <v>40000</v>
      </c>
      <c r="H108" s="402">
        <v>40000</v>
      </c>
      <c r="I108" s="403">
        <f>29419.5+8787.15</f>
        <v>38206.65</v>
      </c>
      <c r="J108" s="329"/>
      <c r="K108" s="330">
        <v>15000</v>
      </c>
      <c r="L108" s="331">
        <f>15000+5000</f>
        <v>20000</v>
      </c>
      <c r="M108" s="332">
        <f>9794.75+11500-1500</f>
        <v>19794.75</v>
      </c>
      <c r="N108" s="333"/>
      <c r="O108" s="334">
        <v>30000</v>
      </c>
      <c r="P108" s="335">
        <v>20000</v>
      </c>
      <c r="Q108" s="336">
        <f>11500</f>
        <v>11500</v>
      </c>
      <c r="R108" s="461"/>
      <c r="S108" s="338"/>
      <c r="T108" s="469"/>
      <c r="U108" s="340">
        <v>44550</v>
      </c>
      <c r="V108" s="341">
        <v>44550</v>
      </c>
      <c r="W108" s="342">
        <v>3991.85</v>
      </c>
      <c r="X108" s="333"/>
      <c r="Y108" s="344">
        <v>80000</v>
      </c>
      <c r="Z108" s="345">
        <v>80000</v>
      </c>
      <c r="AA108" s="346">
        <v>46264</v>
      </c>
      <c r="AB108" s="333"/>
      <c r="AC108" s="347">
        <v>50000</v>
      </c>
      <c r="AD108" s="348">
        <v>50000</v>
      </c>
      <c r="AE108" s="349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</row>
    <row r="109" spans="1:47" s="319" customFormat="1" ht="14.65" hidden="1" outlineLevel="1" thickBot="1" x14ac:dyDescent="0.5">
      <c r="A109" s="353" t="s">
        <v>123</v>
      </c>
      <c r="B109" s="354"/>
      <c r="C109" s="397"/>
      <c r="D109" s="398"/>
      <c r="E109" s="399"/>
      <c r="F109" s="343"/>
      <c r="G109" s="401"/>
      <c r="H109" s="402"/>
      <c r="I109" s="403"/>
      <c r="J109" s="343"/>
      <c r="K109" s="330"/>
      <c r="L109" s="331">
        <v>10000</v>
      </c>
      <c r="M109" s="330">
        <f>6144.09+1500</f>
        <v>7644.09</v>
      </c>
      <c r="N109" s="343"/>
      <c r="O109" s="334"/>
      <c r="P109" s="335">
        <v>10000</v>
      </c>
      <c r="Q109" s="336">
        <v>9730.91</v>
      </c>
      <c r="R109" s="461"/>
      <c r="S109" s="338"/>
      <c r="T109" s="469"/>
      <c r="U109" s="340">
        <v>6125</v>
      </c>
      <c r="V109" s="341">
        <v>6125</v>
      </c>
      <c r="W109" s="342">
        <f>14000+14513</f>
        <v>28513</v>
      </c>
      <c r="X109" s="343"/>
      <c r="Y109" s="344">
        <v>25000</v>
      </c>
      <c r="Z109" s="345">
        <v>25000</v>
      </c>
      <c r="AA109" s="346">
        <f>16500+43706.06</f>
        <v>60206.06</v>
      </c>
      <c r="AB109" s="343"/>
      <c r="AC109" s="347">
        <v>20000</v>
      </c>
      <c r="AD109" s="348">
        <v>20000</v>
      </c>
      <c r="AE109" s="349">
        <f>11775+6775.1</f>
        <v>18550.099999999999</v>
      </c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</row>
    <row r="110" spans="1:47" s="319" customFormat="1" ht="14.65" hidden="1" outlineLevel="1" thickBot="1" x14ac:dyDescent="0.5">
      <c r="A110" s="353" t="s">
        <v>124</v>
      </c>
      <c r="B110" s="354"/>
      <c r="C110" s="397"/>
      <c r="D110" s="398">
        <v>5000</v>
      </c>
      <c r="E110" s="399">
        <f>90.82+6156.98</f>
        <v>6247.7999999999993</v>
      </c>
      <c r="F110" s="343"/>
      <c r="G110" s="401"/>
      <c r="H110" s="402"/>
      <c r="I110" s="403"/>
      <c r="J110" s="343"/>
      <c r="K110" s="330"/>
      <c r="L110" s="331">
        <v>0</v>
      </c>
      <c r="M110" s="330"/>
      <c r="N110" s="343"/>
      <c r="O110" s="334"/>
      <c r="P110" s="335">
        <v>0</v>
      </c>
      <c r="Q110" s="336"/>
      <c r="R110" s="461"/>
      <c r="S110" s="338"/>
      <c r="T110" s="469"/>
      <c r="U110" s="340"/>
      <c r="V110" s="341">
        <v>30000</v>
      </c>
      <c r="W110" s="342">
        <f>35602.67+15000</f>
        <v>50602.67</v>
      </c>
      <c r="X110" s="343"/>
      <c r="Y110" s="344">
        <v>30000</v>
      </c>
      <c r="Z110" s="345">
        <v>30000</v>
      </c>
      <c r="AA110" s="346">
        <f>28395.15+35603</f>
        <v>63998.15</v>
      </c>
      <c r="AB110" s="333"/>
      <c r="AC110" s="347">
        <v>10000</v>
      </c>
      <c r="AD110" s="348">
        <v>17000</v>
      </c>
      <c r="AE110" s="349">
        <f>13291.55+15603</f>
        <v>28894.55</v>
      </c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</row>
    <row r="111" spans="1:47" s="319" customFormat="1" ht="14.65" hidden="1" outlineLevel="1" thickBot="1" x14ac:dyDescent="0.5">
      <c r="A111" s="320" t="s">
        <v>125</v>
      </c>
      <c r="B111" s="321"/>
      <c r="C111" s="397"/>
      <c r="D111" s="398"/>
      <c r="E111" s="399"/>
      <c r="F111" s="343"/>
      <c r="G111" s="401">
        <v>40000</v>
      </c>
      <c r="H111" s="402">
        <v>58000</v>
      </c>
      <c r="I111" s="403">
        <v>44736.61</v>
      </c>
      <c r="J111" s="329"/>
      <c r="K111" s="330"/>
      <c r="L111" s="331">
        <f>4000+20000</f>
        <v>24000</v>
      </c>
      <c r="M111" s="330">
        <f>23374.26</f>
        <v>23374.26</v>
      </c>
      <c r="N111" s="343"/>
      <c r="O111" s="334">
        <v>20000</v>
      </c>
      <c r="P111" s="335">
        <f>20000+13000</f>
        <v>33000</v>
      </c>
      <c r="Q111" s="336">
        <v>33090.14</v>
      </c>
      <c r="R111" s="461"/>
      <c r="S111" s="338"/>
      <c r="T111" s="469"/>
      <c r="U111" s="340">
        <v>20000</v>
      </c>
      <c r="V111" s="341">
        <v>20000</v>
      </c>
      <c r="W111" s="342"/>
      <c r="X111" s="343"/>
      <c r="Y111" s="344">
        <v>70000</v>
      </c>
      <c r="Z111" s="345">
        <v>70000</v>
      </c>
      <c r="AA111" s="346"/>
      <c r="AB111" s="343"/>
      <c r="AC111" s="347">
        <v>15000</v>
      </c>
      <c r="AD111" s="348">
        <v>15000</v>
      </c>
      <c r="AE111" s="349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</row>
    <row r="112" spans="1:47" s="319" customFormat="1" ht="14.65" hidden="1" outlineLevel="1" thickBot="1" x14ac:dyDescent="0.5">
      <c r="A112" s="320" t="s">
        <v>126</v>
      </c>
      <c r="B112" s="321"/>
      <c r="C112" s="397"/>
      <c r="D112" s="398"/>
      <c r="E112" s="399">
        <v>0</v>
      </c>
      <c r="F112" s="343"/>
      <c r="G112" s="401">
        <v>80000</v>
      </c>
      <c r="H112" s="402">
        <v>100000</v>
      </c>
      <c r="I112" s="403">
        <f>83308.8+1740.74-2560</f>
        <v>82489.540000000008</v>
      </c>
      <c r="J112" s="329"/>
      <c r="K112" s="330">
        <v>30000</v>
      </c>
      <c r="L112" s="331">
        <v>30000</v>
      </c>
      <c r="M112" s="330">
        <f>74.6+13116.87+1740.74-2560</f>
        <v>12372.210000000001</v>
      </c>
      <c r="N112" s="343"/>
      <c r="O112" s="334">
        <v>50000</v>
      </c>
      <c r="P112" s="335">
        <f>20000-13000</f>
        <v>7000</v>
      </c>
      <c r="Q112" s="336">
        <f>916.95+1740.74-1850</f>
        <v>807.69</v>
      </c>
      <c r="R112" s="461"/>
      <c r="S112" s="338"/>
      <c r="T112" s="469"/>
      <c r="U112" s="340">
        <v>50000</v>
      </c>
      <c r="V112" s="341">
        <v>50000</v>
      </c>
      <c r="W112" s="342">
        <f>6654.67+13620.56+153.5</f>
        <v>20428.73</v>
      </c>
      <c r="X112" s="333"/>
      <c r="Y112" s="344">
        <v>140000</v>
      </c>
      <c r="Z112" s="345">
        <v>140000</v>
      </c>
      <c r="AA112" s="346">
        <f>4501.03+164016.58+559.6</f>
        <v>169077.21</v>
      </c>
      <c r="AB112" s="333"/>
      <c r="AC112" s="347">
        <v>50000</v>
      </c>
      <c r="AD112" s="348">
        <v>50000</v>
      </c>
      <c r="AE112" s="349">
        <f>2793.41+9395.97+30615.68+5718.26</f>
        <v>48523.32</v>
      </c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191"/>
      <c r="AT112" s="191"/>
      <c r="AU112" s="191"/>
    </row>
    <row r="113" spans="1:47" s="319" customFormat="1" ht="14.65" hidden="1" outlineLevel="1" thickBot="1" x14ac:dyDescent="0.5">
      <c r="A113" s="353" t="s">
        <v>127</v>
      </c>
      <c r="B113" s="354"/>
      <c r="C113" s="397"/>
      <c r="D113" s="398"/>
      <c r="E113" s="399"/>
      <c r="F113" s="343"/>
      <c r="G113" s="401">
        <v>22000</v>
      </c>
      <c r="H113" s="402">
        <v>0</v>
      </c>
      <c r="I113" s="403"/>
      <c r="J113" s="343"/>
      <c r="K113" s="330">
        <v>5000</v>
      </c>
      <c r="L113" s="331">
        <v>5000</v>
      </c>
      <c r="M113" s="332"/>
      <c r="N113" s="343"/>
      <c r="O113" s="334">
        <v>5000</v>
      </c>
      <c r="P113" s="335">
        <v>5000</v>
      </c>
      <c r="Q113" s="336"/>
      <c r="R113" s="461"/>
      <c r="S113" s="338"/>
      <c r="T113" s="469"/>
      <c r="U113" s="340">
        <v>6200</v>
      </c>
      <c r="V113" s="341">
        <v>6200</v>
      </c>
      <c r="W113" s="342"/>
      <c r="X113" s="343"/>
      <c r="Y113" s="344">
        <v>14000</v>
      </c>
      <c r="Z113" s="345">
        <v>14000</v>
      </c>
      <c r="AA113" s="346"/>
      <c r="AB113" s="343"/>
      <c r="AC113" s="347">
        <v>4000</v>
      </c>
      <c r="AD113" s="348">
        <v>4000</v>
      </c>
      <c r="AE113" s="349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191"/>
      <c r="AT113" s="191"/>
      <c r="AU113" s="191"/>
    </row>
    <row r="114" spans="1:47" s="319" customFormat="1" ht="14.65" hidden="1" outlineLevel="1" thickBot="1" x14ac:dyDescent="0.5">
      <c r="A114" s="353" t="s">
        <v>128</v>
      </c>
      <c r="B114" s="354"/>
      <c r="C114" s="397"/>
      <c r="D114" s="398"/>
      <c r="E114" s="399"/>
      <c r="F114" s="343"/>
      <c r="G114" s="401"/>
      <c r="H114" s="402"/>
      <c r="I114" s="403"/>
      <c r="J114" s="343"/>
      <c r="K114" s="330"/>
      <c r="L114" s="331">
        <v>0</v>
      </c>
      <c r="M114" s="332"/>
      <c r="N114" s="343"/>
      <c r="O114" s="334"/>
      <c r="P114" s="335">
        <v>0</v>
      </c>
      <c r="Q114" s="336"/>
      <c r="R114" s="461"/>
      <c r="S114" s="338"/>
      <c r="T114" s="469"/>
      <c r="U114" s="340">
        <v>5450</v>
      </c>
      <c r="V114" s="341">
        <v>5450</v>
      </c>
      <c r="W114" s="342"/>
      <c r="X114" s="343"/>
      <c r="Y114" s="344">
        <v>14000</v>
      </c>
      <c r="Z114" s="345">
        <v>14000</v>
      </c>
      <c r="AA114" s="346"/>
      <c r="AB114" s="343"/>
      <c r="AC114" s="347">
        <v>4000</v>
      </c>
      <c r="AD114" s="348">
        <v>4000</v>
      </c>
      <c r="AE114" s="349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</row>
    <row r="115" spans="1:47" s="319" customFormat="1" ht="14.65" hidden="1" outlineLevel="1" thickBot="1" x14ac:dyDescent="0.5">
      <c r="A115" s="320" t="s">
        <v>129</v>
      </c>
      <c r="B115" s="321"/>
      <c r="C115" s="397"/>
      <c r="D115" s="398"/>
      <c r="E115" s="399"/>
      <c r="F115" s="343"/>
      <c r="G115" s="401"/>
      <c r="H115" s="402"/>
      <c r="I115" s="403"/>
      <c r="J115" s="343"/>
      <c r="K115" s="330"/>
      <c r="L115" s="331">
        <v>0</v>
      </c>
      <c r="M115" s="332"/>
      <c r="N115" s="343"/>
      <c r="O115" s="334"/>
      <c r="P115" s="335">
        <v>0</v>
      </c>
      <c r="Q115" s="336">
        <v>24.83</v>
      </c>
      <c r="R115" s="461"/>
      <c r="S115" s="338"/>
      <c r="T115" s="469"/>
      <c r="U115" s="340"/>
      <c r="V115" s="341">
        <v>0</v>
      </c>
      <c r="W115" s="342"/>
      <c r="X115" s="343"/>
      <c r="Y115" s="344"/>
      <c r="Z115" s="345">
        <v>0</v>
      </c>
      <c r="AA115" s="346"/>
      <c r="AB115" s="343"/>
      <c r="AC115" s="347"/>
      <c r="AD115" s="348">
        <v>0</v>
      </c>
      <c r="AE115" s="349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1"/>
      <c r="AT115" s="191"/>
      <c r="AU115" s="191"/>
    </row>
    <row r="116" spans="1:47" s="319" customFormat="1" ht="14.65" hidden="1" outlineLevel="1" thickBot="1" x14ac:dyDescent="0.5">
      <c r="A116" s="320" t="s">
        <v>130</v>
      </c>
      <c r="B116" s="321"/>
      <c r="C116" s="397"/>
      <c r="D116" s="398"/>
      <c r="E116" s="399"/>
      <c r="F116" s="343"/>
      <c r="G116" s="401">
        <v>5000</v>
      </c>
      <c r="H116" s="402">
        <v>5000</v>
      </c>
      <c r="I116" s="403">
        <v>2560</v>
      </c>
      <c r="J116" s="343"/>
      <c r="K116" s="330">
        <v>3000</v>
      </c>
      <c r="L116" s="331">
        <v>3000</v>
      </c>
      <c r="M116" s="332">
        <v>2560</v>
      </c>
      <c r="N116" s="343"/>
      <c r="O116" s="334">
        <v>2000</v>
      </c>
      <c r="P116" s="335">
        <v>2000</v>
      </c>
      <c r="Q116" s="336">
        <v>1850</v>
      </c>
      <c r="R116" s="461"/>
      <c r="S116" s="338"/>
      <c r="T116" s="469"/>
      <c r="U116" s="340"/>
      <c r="V116" s="341">
        <v>0</v>
      </c>
      <c r="W116" s="342"/>
      <c r="X116" s="343"/>
      <c r="Y116" s="344"/>
      <c r="Z116" s="345">
        <v>0</v>
      </c>
      <c r="AA116" s="346"/>
      <c r="AB116" s="343"/>
      <c r="AC116" s="347"/>
      <c r="AD116" s="348">
        <v>0</v>
      </c>
      <c r="AE116" s="349"/>
      <c r="AG116" s="191"/>
      <c r="AH116" s="191"/>
      <c r="AI116" s="191"/>
      <c r="AJ116" s="191"/>
      <c r="AK116" s="191"/>
      <c r="AL116" s="191"/>
      <c r="AM116" s="191"/>
      <c r="AN116" s="191"/>
      <c r="AO116" s="191"/>
      <c r="AP116" s="191"/>
      <c r="AQ116" s="191"/>
      <c r="AR116" s="191"/>
      <c r="AS116" s="191"/>
      <c r="AT116" s="191"/>
      <c r="AU116" s="191"/>
    </row>
    <row r="117" spans="1:47" s="319" customFormat="1" ht="14.65" hidden="1" outlineLevel="1" thickBot="1" x14ac:dyDescent="0.5">
      <c r="A117" s="320" t="s">
        <v>131</v>
      </c>
      <c r="B117" s="321"/>
      <c r="C117" s="397"/>
      <c r="D117" s="398"/>
      <c r="E117" s="399"/>
      <c r="F117" s="343"/>
      <c r="G117" s="401"/>
      <c r="H117" s="402"/>
      <c r="I117" s="403">
        <v>301.98</v>
      </c>
      <c r="J117" s="343"/>
      <c r="K117" s="330">
        <v>5000</v>
      </c>
      <c r="L117" s="332">
        <v>1000</v>
      </c>
      <c r="M117" s="332"/>
      <c r="N117" s="343"/>
      <c r="O117" s="334">
        <v>5000</v>
      </c>
      <c r="P117" s="335">
        <v>5000</v>
      </c>
      <c r="Q117" s="336">
        <f>73.72+482.57</f>
        <v>556.29</v>
      </c>
      <c r="R117" s="461"/>
      <c r="S117" s="338"/>
      <c r="T117" s="469"/>
      <c r="U117" s="340"/>
      <c r="V117" s="341">
        <v>0</v>
      </c>
      <c r="W117" s="342">
        <v>209.72</v>
      </c>
      <c r="X117" s="343"/>
      <c r="Y117" s="344"/>
      <c r="Z117" s="345">
        <v>0</v>
      </c>
      <c r="AA117" s="346"/>
      <c r="AB117" s="343"/>
      <c r="AC117" s="347"/>
      <c r="AD117" s="348">
        <v>0</v>
      </c>
      <c r="AE117" s="349">
        <v>299.02999999999997</v>
      </c>
      <c r="AG117" s="191"/>
      <c r="AH117" s="191"/>
      <c r="AI117" s="191"/>
      <c r="AJ117" s="191"/>
      <c r="AK117" s="191"/>
      <c r="AL117" s="191"/>
      <c r="AM117" s="191"/>
      <c r="AN117" s="191"/>
      <c r="AO117" s="191"/>
      <c r="AP117" s="191"/>
      <c r="AQ117" s="191"/>
      <c r="AR117" s="191"/>
      <c r="AS117" s="191"/>
      <c r="AT117" s="191"/>
      <c r="AU117" s="191"/>
    </row>
    <row r="118" spans="1:47" s="319" customFormat="1" ht="14.65" hidden="1" outlineLevel="1" thickBot="1" x14ac:dyDescent="0.5">
      <c r="A118" s="320" t="s">
        <v>132</v>
      </c>
      <c r="B118" s="321"/>
      <c r="C118" s="397"/>
      <c r="D118" s="398"/>
      <c r="E118" s="399"/>
      <c r="F118" s="343"/>
      <c r="G118" s="401"/>
      <c r="H118" s="402"/>
      <c r="I118" s="402"/>
      <c r="J118" s="343"/>
      <c r="K118" s="330"/>
      <c r="L118" s="331">
        <v>0</v>
      </c>
      <c r="M118" s="332"/>
      <c r="N118" s="343"/>
      <c r="O118" s="334">
        <v>500</v>
      </c>
      <c r="P118" s="335">
        <v>500</v>
      </c>
      <c r="Q118" s="336"/>
      <c r="R118" s="461"/>
      <c r="S118" s="338"/>
      <c r="T118" s="469"/>
      <c r="U118" s="340"/>
      <c r="V118" s="341">
        <v>0</v>
      </c>
      <c r="W118" s="342"/>
      <c r="X118" s="343"/>
      <c r="Y118" s="344"/>
      <c r="Z118" s="345">
        <v>0</v>
      </c>
      <c r="AA118" s="346"/>
      <c r="AB118" s="343"/>
      <c r="AC118" s="347"/>
      <c r="AD118" s="348">
        <v>0</v>
      </c>
      <c r="AE118" s="349"/>
      <c r="AG118" s="191"/>
      <c r="AH118" s="191"/>
      <c r="AI118" s="191"/>
      <c r="AJ118" s="191"/>
      <c r="AK118" s="191"/>
      <c r="AL118" s="191"/>
      <c r="AM118" s="191"/>
      <c r="AN118" s="191"/>
      <c r="AO118" s="191"/>
      <c r="AP118" s="191"/>
      <c r="AQ118" s="191"/>
      <c r="AR118" s="191"/>
      <c r="AS118" s="191"/>
      <c r="AT118" s="191"/>
      <c r="AU118" s="191"/>
    </row>
    <row r="119" spans="1:47" s="319" customFormat="1" ht="14.65" hidden="1" outlineLevel="1" thickBot="1" x14ac:dyDescent="0.5">
      <c r="A119" s="320" t="s">
        <v>133</v>
      </c>
      <c r="B119" s="321"/>
      <c r="C119" s="397"/>
      <c r="D119" s="398"/>
      <c r="E119" s="399"/>
      <c r="F119" s="343"/>
      <c r="G119" s="401"/>
      <c r="H119" s="402"/>
      <c r="I119" s="403"/>
      <c r="J119" s="343"/>
      <c r="K119" s="330"/>
      <c r="L119" s="331">
        <v>0</v>
      </c>
      <c r="M119" s="332"/>
      <c r="N119" s="343"/>
      <c r="O119" s="334"/>
      <c r="P119" s="335">
        <v>0</v>
      </c>
      <c r="Q119" s="336"/>
      <c r="R119" s="461"/>
      <c r="S119" s="338"/>
      <c r="T119" s="469"/>
      <c r="U119" s="340"/>
      <c r="V119" s="341">
        <v>0</v>
      </c>
      <c r="W119" s="342"/>
      <c r="X119" s="343"/>
      <c r="Y119" s="344"/>
      <c r="Z119" s="345">
        <v>0</v>
      </c>
      <c r="AA119" s="346"/>
      <c r="AB119" s="343"/>
      <c r="AC119" s="347"/>
      <c r="AD119" s="348">
        <v>0</v>
      </c>
      <c r="AE119" s="349"/>
      <c r="AG119" s="191"/>
      <c r="AH119" s="191"/>
      <c r="AI119" s="191"/>
      <c r="AJ119" s="191"/>
      <c r="AK119" s="191"/>
      <c r="AL119" s="191"/>
      <c r="AM119" s="191"/>
      <c r="AN119" s="191"/>
      <c r="AO119" s="191"/>
      <c r="AP119" s="191"/>
      <c r="AQ119" s="191"/>
      <c r="AR119" s="191"/>
      <c r="AS119" s="191"/>
      <c r="AT119" s="191"/>
      <c r="AU119" s="191"/>
    </row>
    <row r="120" spans="1:47" s="319" customFormat="1" ht="14.65" hidden="1" outlineLevel="1" thickBot="1" x14ac:dyDescent="0.5">
      <c r="A120" s="353" t="s">
        <v>134</v>
      </c>
      <c r="B120" s="354"/>
      <c r="C120" s="397">
        <v>10000</v>
      </c>
      <c r="D120" s="398">
        <v>0</v>
      </c>
      <c r="E120" s="399"/>
      <c r="F120" s="343"/>
      <c r="G120" s="401"/>
      <c r="H120" s="402"/>
      <c r="I120" s="403"/>
      <c r="J120" s="343"/>
      <c r="K120" s="330"/>
      <c r="L120" s="331">
        <v>0</v>
      </c>
      <c r="M120" s="332"/>
      <c r="N120" s="343"/>
      <c r="O120" s="334"/>
      <c r="P120" s="335">
        <v>0</v>
      </c>
      <c r="Q120" s="336"/>
      <c r="R120" s="461"/>
      <c r="S120" s="338"/>
      <c r="T120" s="469"/>
      <c r="U120" s="340"/>
      <c r="V120" s="341">
        <v>0</v>
      </c>
      <c r="W120" s="342"/>
      <c r="X120" s="343"/>
      <c r="Y120" s="344"/>
      <c r="Z120" s="345">
        <v>0</v>
      </c>
      <c r="AA120" s="346"/>
      <c r="AB120" s="343"/>
      <c r="AC120" s="347"/>
      <c r="AD120" s="348">
        <v>0</v>
      </c>
      <c r="AE120" s="349"/>
      <c r="AG120" s="191"/>
      <c r="AH120" s="191"/>
      <c r="AI120" s="191"/>
      <c r="AJ120" s="191"/>
      <c r="AK120" s="191"/>
      <c r="AL120" s="191"/>
      <c r="AM120" s="191"/>
      <c r="AN120" s="191"/>
      <c r="AO120" s="191"/>
      <c r="AP120" s="191"/>
      <c r="AQ120" s="191"/>
      <c r="AR120" s="191"/>
      <c r="AS120" s="191"/>
      <c r="AT120" s="191"/>
      <c r="AU120" s="191"/>
    </row>
    <row r="121" spans="1:47" s="319" customFormat="1" ht="14.65" hidden="1" outlineLevel="1" thickBot="1" x14ac:dyDescent="0.5">
      <c r="A121" s="320" t="s">
        <v>135</v>
      </c>
      <c r="B121" s="321"/>
      <c r="C121" s="397">
        <v>50000</v>
      </c>
      <c r="D121" s="398">
        <v>40000</v>
      </c>
      <c r="E121" s="399">
        <f>27.9+28258.42+7640.64+489.54-14398</f>
        <v>22018.5</v>
      </c>
      <c r="F121" s="343"/>
      <c r="G121" s="401">
        <v>40000</v>
      </c>
      <c r="H121" s="402">
        <v>27000</v>
      </c>
      <c r="I121" s="403">
        <f>19654.9+4799.33</f>
        <v>24454.230000000003</v>
      </c>
      <c r="J121" s="343"/>
      <c r="K121" s="330">
        <v>8000</v>
      </c>
      <c r="L121" s="331">
        <f>8000+5000</f>
        <v>13000</v>
      </c>
      <c r="M121" s="332">
        <f>6053.85+196.1+4799.33</f>
        <v>11049.28</v>
      </c>
      <c r="N121" s="333"/>
      <c r="O121" s="334">
        <v>40000</v>
      </c>
      <c r="P121" s="335">
        <v>20000</v>
      </c>
      <c r="Q121" s="336">
        <f>25586.2+3012.78+4799.33-14380</f>
        <v>19018.309999999998</v>
      </c>
      <c r="R121" s="461"/>
      <c r="S121" s="338"/>
      <c r="T121" s="469"/>
      <c r="U121" s="340"/>
      <c r="V121" s="341">
        <v>0</v>
      </c>
      <c r="W121" s="342"/>
      <c r="X121" s="343"/>
      <c r="Y121" s="344"/>
      <c r="Z121" s="345">
        <v>0</v>
      </c>
      <c r="AA121" s="346"/>
      <c r="AB121" s="343"/>
      <c r="AC121" s="347"/>
      <c r="AD121" s="348">
        <v>0</v>
      </c>
      <c r="AE121" s="349">
        <v>386.51</v>
      </c>
      <c r="AG121" s="191"/>
      <c r="AH121" s="191"/>
      <c r="AI121" s="191"/>
      <c r="AJ121" s="191"/>
      <c r="AK121" s="191"/>
      <c r="AL121" s="191"/>
      <c r="AM121" s="191"/>
      <c r="AN121" s="191"/>
      <c r="AO121" s="191"/>
      <c r="AP121" s="191"/>
      <c r="AQ121" s="191"/>
      <c r="AR121" s="191"/>
      <c r="AS121" s="191"/>
      <c r="AT121" s="191"/>
      <c r="AU121" s="191"/>
    </row>
    <row r="122" spans="1:47" s="319" customFormat="1" ht="14.65" hidden="1" outlineLevel="1" thickBot="1" x14ac:dyDescent="0.5">
      <c r="A122" s="353" t="s">
        <v>136</v>
      </c>
      <c r="B122" s="354"/>
      <c r="C122" s="397"/>
      <c r="D122" s="398">
        <v>10000</v>
      </c>
      <c r="E122" s="399">
        <f>60+6646.56</f>
        <v>6706.56</v>
      </c>
      <c r="F122" s="343"/>
      <c r="G122" s="401"/>
      <c r="H122" s="402"/>
      <c r="I122" s="403"/>
      <c r="J122" s="343"/>
      <c r="K122" s="330"/>
      <c r="L122" s="331">
        <v>0</v>
      </c>
      <c r="M122" s="332"/>
      <c r="N122" s="343"/>
      <c r="O122" s="334"/>
      <c r="P122" s="335">
        <v>0</v>
      </c>
      <c r="Q122" s="336"/>
      <c r="R122" s="461"/>
      <c r="S122" s="338"/>
      <c r="T122" s="469"/>
      <c r="U122" s="340">
        <v>5000</v>
      </c>
      <c r="V122" s="341">
        <v>5000</v>
      </c>
      <c r="W122" s="342">
        <v>4174.95</v>
      </c>
      <c r="X122" s="343"/>
      <c r="Y122" s="344">
        <v>10000</v>
      </c>
      <c r="Z122" s="345">
        <v>10000</v>
      </c>
      <c r="AA122" s="346">
        <f>314.2+798.04</f>
        <v>1112.24</v>
      </c>
      <c r="AB122" s="343"/>
      <c r="AC122" s="347"/>
      <c r="AD122" s="348">
        <v>0</v>
      </c>
      <c r="AE122" s="349">
        <f>1307.99+35.81+5646.61</f>
        <v>6990.41</v>
      </c>
      <c r="AG122" s="191"/>
      <c r="AH122" s="191"/>
      <c r="AI122" s="191"/>
      <c r="AJ122" s="191"/>
      <c r="AK122" s="191"/>
      <c r="AL122" s="191"/>
      <c r="AM122" s="191"/>
      <c r="AN122" s="191"/>
      <c r="AO122" s="191"/>
      <c r="AP122" s="191"/>
      <c r="AQ122" s="191"/>
      <c r="AR122" s="191"/>
      <c r="AS122" s="191"/>
      <c r="AT122" s="191"/>
      <c r="AU122" s="191"/>
    </row>
    <row r="123" spans="1:47" s="319" customFormat="1" ht="14.65" hidden="1" outlineLevel="1" thickBot="1" x14ac:dyDescent="0.5">
      <c r="A123" s="320" t="s">
        <v>137</v>
      </c>
      <c r="B123" s="321"/>
      <c r="C123" s="397"/>
      <c r="D123" s="398"/>
      <c r="E123" s="399"/>
      <c r="F123" s="343"/>
      <c r="G123" s="401">
        <v>40000</v>
      </c>
      <c r="H123" s="402">
        <f>20000-18000</f>
        <v>2000</v>
      </c>
      <c r="I123" s="403">
        <f>1130+309.96</f>
        <v>1439.96</v>
      </c>
      <c r="J123" s="343"/>
      <c r="K123" s="330">
        <v>8000</v>
      </c>
      <c r="L123" s="331">
        <v>8000</v>
      </c>
      <c r="M123" s="332">
        <v>776.92</v>
      </c>
      <c r="N123" s="343"/>
      <c r="O123" s="334"/>
      <c r="P123" s="335">
        <v>0</v>
      </c>
      <c r="Q123" s="336">
        <v>326.05</v>
      </c>
      <c r="R123" s="461"/>
      <c r="S123" s="338"/>
      <c r="T123" s="469"/>
      <c r="U123" s="340">
        <v>10000</v>
      </c>
      <c r="V123" s="341">
        <v>10000</v>
      </c>
      <c r="W123" s="342">
        <v>1009.19</v>
      </c>
      <c r="X123" s="343"/>
      <c r="Y123" s="344">
        <v>56000</v>
      </c>
      <c r="Z123" s="346">
        <v>56000</v>
      </c>
      <c r="AA123" s="346"/>
      <c r="AB123" s="343"/>
      <c r="AC123" s="347">
        <v>40000</v>
      </c>
      <c r="AD123" s="348">
        <v>40000</v>
      </c>
      <c r="AE123" s="349">
        <f>866.26+95.94</f>
        <v>962.2</v>
      </c>
      <c r="AG123" s="191"/>
      <c r="AH123" s="191"/>
      <c r="AI123" s="191"/>
      <c r="AJ123" s="191"/>
      <c r="AK123" s="191"/>
      <c r="AL123" s="191"/>
      <c r="AM123" s="191"/>
      <c r="AN123" s="191"/>
      <c r="AO123" s="191"/>
      <c r="AP123" s="191"/>
      <c r="AQ123" s="191"/>
      <c r="AR123" s="191"/>
      <c r="AS123" s="191"/>
      <c r="AT123" s="191"/>
      <c r="AU123" s="191"/>
    </row>
    <row r="124" spans="1:47" s="319" customFormat="1" ht="14.65" hidden="1" outlineLevel="1" thickBot="1" x14ac:dyDescent="0.5">
      <c r="A124" s="320" t="s">
        <v>138</v>
      </c>
      <c r="B124" s="321"/>
      <c r="C124" s="397"/>
      <c r="D124" s="398"/>
      <c r="E124" s="399"/>
      <c r="F124" s="343"/>
      <c r="G124" s="401">
        <v>40000</v>
      </c>
      <c r="H124" s="402">
        <v>35000</v>
      </c>
      <c r="I124" s="403">
        <v>5959.72</v>
      </c>
      <c r="J124" s="329"/>
      <c r="K124" s="330">
        <v>15000</v>
      </c>
      <c r="L124" s="331">
        <v>10000</v>
      </c>
      <c r="M124" s="332">
        <v>4538.2700000000004</v>
      </c>
      <c r="N124" s="333"/>
      <c r="O124" s="334">
        <v>15000</v>
      </c>
      <c r="P124" s="335">
        <f>15000+10000</f>
        <v>25000</v>
      </c>
      <c r="Q124" s="336">
        <v>16824.46</v>
      </c>
      <c r="R124" s="461"/>
      <c r="S124" s="338"/>
      <c r="T124" s="469"/>
      <c r="U124" s="340"/>
      <c r="V124" s="341">
        <v>0</v>
      </c>
      <c r="W124" s="342"/>
      <c r="X124" s="343"/>
      <c r="Y124" s="344"/>
      <c r="Z124" s="345">
        <v>0</v>
      </c>
      <c r="AA124" s="346"/>
      <c r="AB124" s="343"/>
      <c r="AC124" s="347"/>
      <c r="AD124" s="348">
        <v>13331</v>
      </c>
      <c r="AE124" s="349"/>
      <c r="AG124" s="191"/>
      <c r="AH124" s="191"/>
      <c r="AI124" s="191"/>
      <c r="AJ124" s="191"/>
      <c r="AK124" s="191"/>
      <c r="AL124" s="191"/>
      <c r="AM124" s="191"/>
      <c r="AN124" s="191"/>
      <c r="AO124" s="191"/>
      <c r="AP124" s="191"/>
      <c r="AQ124" s="191"/>
      <c r="AR124" s="191"/>
      <c r="AS124" s="191"/>
      <c r="AT124" s="191"/>
      <c r="AU124" s="191"/>
    </row>
    <row r="125" spans="1:47" s="319" customFormat="1" ht="14.65" hidden="1" outlineLevel="1" thickBot="1" x14ac:dyDescent="0.5">
      <c r="A125" s="320" t="s">
        <v>139</v>
      </c>
      <c r="B125" s="321"/>
      <c r="C125" s="397"/>
      <c r="D125" s="398"/>
      <c r="E125" s="399"/>
      <c r="F125" s="343"/>
      <c r="G125" s="401">
        <v>115000</v>
      </c>
      <c r="H125" s="402">
        <v>115000</v>
      </c>
      <c r="I125" s="403">
        <v>79505.179999999993</v>
      </c>
      <c r="J125" s="329"/>
      <c r="K125" s="330">
        <v>53780</v>
      </c>
      <c r="L125" s="331">
        <v>53780</v>
      </c>
      <c r="M125" s="332">
        <v>20597.509999999998</v>
      </c>
      <c r="N125" s="333"/>
      <c r="O125" s="334">
        <v>65000</v>
      </c>
      <c r="P125" s="335">
        <v>65000</v>
      </c>
      <c r="Q125" s="336">
        <v>48144.74</v>
      </c>
      <c r="R125" s="461"/>
      <c r="S125" s="338"/>
      <c r="T125" s="469"/>
      <c r="U125" s="340"/>
      <c r="V125" s="341">
        <v>0</v>
      </c>
      <c r="W125" s="342">
        <v>5450.92</v>
      </c>
      <c r="X125" s="343"/>
      <c r="Y125" s="344"/>
      <c r="Z125" s="345">
        <v>0</v>
      </c>
      <c r="AA125" s="346"/>
      <c r="AB125" s="343"/>
      <c r="AC125" s="347"/>
      <c r="AD125" s="348">
        <v>177000</v>
      </c>
      <c r="AE125" s="349"/>
      <c r="AG125" s="191"/>
      <c r="AH125" s="191"/>
      <c r="AI125" s="191"/>
      <c r="AJ125" s="191"/>
      <c r="AK125" s="191"/>
      <c r="AL125" s="191"/>
      <c r="AM125" s="191"/>
      <c r="AN125" s="191"/>
      <c r="AO125" s="191"/>
      <c r="AP125" s="191"/>
      <c r="AQ125" s="191"/>
      <c r="AR125" s="191"/>
      <c r="AS125" s="191"/>
      <c r="AT125" s="191"/>
      <c r="AU125" s="191"/>
    </row>
    <row r="126" spans="1:47" s="319" customFormat="1" ht="14.65" hidden="1" outlineLevel="1" thickBot="1" x14ac:dyDescent="0.5">
      <c r="A126" s="320" t="s">
        <v>140</v>
      </c>
      <c r="B126" s="321"/>
      <c r="C126" s="397"/>
      <c r="D126" s="398"/>
      <c r="E126" s="399"/>
      <c r="F126" s="343"/>
      <c r="G126" s="401"/>
      <c r="H126" s="402"/>
      <c r="I126" s="403"/>
      <c r="J126" s="343"/>
      <c r="K126" s="330"/>
      <c r="L126" s="331">
        <v>0</v>
      </c>
      <c r="M126" s="332"/>
      <c r="N126" s="343"/>
      <c r="O126" s="334">
        <v>550</v>
      </c>
      <c r="P126" s="335">
        <v>550</v>
      </c>
      <c r="Q126" s="336"/>
      <c r="R126" s="461"/>
      <c r="S126" s="338"/>
      <c r="T126" s="469"/>
      <c r="U126" s="340"/>
      <c r="V126" s="341">
        <v>0</v>
      </c>
      <c r="W126" s="342"/>
      <c r="X126" s="343"/>
      <c r="Y126" s="344"/>
      <c r="Z126" s="345">
        <v>0</v>
      </c>
      <c r="AA126" s="346"/>
      <c r="AB126" s="343"/>
      <c r="AC126" s="347"/>
      <c r="AD126" s="348">
        <v>0</v>
      </c>
      <c r="AE126" s="349"/>
      <c r="AG126" s="191"/>
      <c r="AH126" s="191"/>
      <c r="AI126" s="191"/>
      <c r="AJ126" s="191"/>
      <c r="AK126" s="191"/>
      <c r="AL126" s="191"/>
      <c r="AM126" s="191"/>
      <c r="AN126" s="191"/>
      <c r="AO126" s="191"/>
      <c r="AP126" s="191"/>
      <c r="AQ126" s="191"/>
      <c r="AR126" s="191"/>
      <c r="AS126" s="191"/>
      <c r="AT126" s="191"/>
      <c r="AU126" s="191"/>
    </row>
    <row r="127" spans="1:47" s="319" customFormat="1" ht="14.65" hidden="1" outlineLevel="1" thickBot="1" x14ac:dyDescent="0.5">
      <c r="A127" s="320" t="s">
        <v>141</v>
      </c>
      <c r="B127" s="321"/>
      <c r="C127" s="397"/>
      <c r="D127" s="398"/>
      <c r="E127" s="399"/>
      <c r="F127" s="343"/>
      <c r="G127" s="401"/>
      <c r="H127" s="402"/>
      <c r="I127" s="403"/>
      <c r="J127" s="343"/>
      <c r="K127" s="330"/>
      <c r="L127" s="331">
        <v>0</v>
      </c>
      <c r="M127" s="332"/>
      <c r="N127" s="343"/>
      <c r="O127" s="334"/>
      <c r="P127" s="335">
        <v>0</v>
      </c>
      <c r="Q127" s="336"/>
      <c r="R127" s="461"/>
      <c r="S127" s="338"/>
      <c r="T127" s="469"/>
      <c r="U127" s="340"/>
      <c r="V127" s="341">
        <v>0</v>
      </c>
      <c r="W127" s="342"/>
      <c r="X127" s="343"/>
      <c r="Y127" s="344"/>
      <c r="Z127" s="345">
        <v>0</v>
      </c>
      <c r="AA127" s="346">
        <v>5484.5</v>
      </c>
      <c r="AB127" s="343"/>
      <c r="AC127" s="347"/>
      <c r="AD127" s="348">
        <v>0</v>
      </c>
      <c r="AE127" s="349"/>
      <c r="AG127" s="191"/>
      <c r="AH127" s="191"/>
      <c r="AI127" s="191"/>
      <c r="AJ127" s="191"/>
      <c r="AK127" s="191"/>
      <c r="AL127" s="191"/>
      <c r="AM127" s="191"/>
      <c r="AN127" s="191"/>
      <c r="AO127" s="191"/>
      <c r="AP127" s="191"/>
      <c r="AQ127" s="191"/>
      <c r="AR127" s="191"/>
      <c r="AS127" s="191"/>
      <c r="AT127" s="191"/>
      <c r="AU127" s="191"/>
    </row>
    <row r="128" spans="1:47" s="319" customFormat="1" ht="14.65" hidden="1" outlineLevel="1" thickBot="1" x14ac:dyDescent="0.5">
      <c r="A128" s="477" t="s">
        <v>142</v>
      </c>
      <c r="B128" s="478"/>
      <c r="C128" s="406"/>
      <c r="D128" s="398">
        <f>60000+10000+10000+5000+3147</f>
        <v>88147</v>
      </c>
      <c r="E128" s="408">
        <f>99450.59+618.01+12459.38+22000-41700.59-12459.38</f>
        <v>80368.00999999998</v>
      </c>
      <c r="F128" s="367"/>
      <c r="G128" s="409">
        <v>30000</v>
      </c>
      <c r="H128" s="410">
        <v>30000</v>
      </c>
      <c r="I128" s="411">
        <f>249+13900.19+14128</f>
        <v>28277.190000000002</v>
      </c>
      <c r="J128" s="367"/>
      <c r="K128" s="364"/>
      <c r="L128" s="365">
        <v>0</v>
      </c>
      <c r="M128" s="366">
        <v>0</v>
      </c>
      <c r="N128" s="367"/>
      <c r="O128" s="368">
        <v>30000</v>
      </c>
      <c r="P128" s="335">
        <f>10000+15234</f>
        <v>25234</v>
      </c>
      <c r="Q128" s="370">
        <f>228+13900.19</f>
        <v>14128.19</v>
      </c>
      <c r="R128" s="463"/>
      <c r="S128" s="372"/>
      <c r="T128" s="472"/>
      <c r="U128" s="374">
        <v>20000</v>
      </c>
      <c r="V128" s="375">
        <v>20000</v>
      </c>
      <c r="W128" s="376">
        <f>420.48+7600.84</f>
        <v>8021.32</v>
      </c>
      <c r="X128" s="367"/>
      <c r="Y128" s="377">
        <v>30000</v>
      </c>
      <c r="Z128" s="378">
        <v>30000</v>
      </c>
      <c r="AA128" s="379">
        <f>7600.83</f>
        <v>7600.83</v>
      </c>
      <c r="AB128" s="367"/>
      <c r="AC128" s="381"/>
      <c r="AD128" s="382">
        <v>0</v>
      </c>
      <c r="AE128" s="383">
        <f>7600.83</f>
        <v>7600.83</v>
      </c>
      <c r="AG128" s="191"/>
      <c r="AH128" s="191"/>
      <c r="AI128" s="191"/>
      <c r="AJ128" s="191"/>
      <c r="AK128" s="191"/>
      <c r="AL128" s="191"/>
      <c r="AM128" s="191"/>
      <c r="AN128" s="191"/>
      <c r="AO128" s="191"/>
      <c r="AP128" s="191"/>
      <c r="AQ128" s="191"/>
      <c r="AR128" s="191"/>
      <c r="AS128" s="191"/>
      <c r="AT128" s="191"/>
      <c r="AU128" s="191"/>
    </row>
    <row r="129" spans="1:47" s="458" customFormat="1" ht="14.65" collapsed="1" thickBot="1" x14ac:dyDescent="0.5">
      <c r="A129" s="278" t="s">
        <v>143</v>
      </c>
      <c r="B129" s="279"/>
      <c r="C129" s="280">
        <f t="shared" ref="C129:I129" si="30">SUM(C90:C128)</f>
        <v>270000</v>
      </c>
      <c r="D129" s="281">
        <f t="shared" si="30"/>
        <v>278147</v>
      </c>
      <c r="E129" s="282">
        <f t="shared" si="30"/>
        <v>184426.94</v>
      </c>
      <c r="F129" s="283">
        <f t="shared" si="30"/>
        <v>0</v>
      </c>
      <c r="G129" s="284">
        <f t="shared" si="30"/>
        <v>546000</v>
      </c>
      <c r="H129" s="285">
        <f t="shared" si="30"/>
        <v>506119</v>
      </c>
      <c r="I129" s="286">
        <f t="shared" si="30"/>
        <v>370860.76</v>
      </c>
      <c r="J129" s="283"/>
      <c r="K129" s="284">
        <f>SUM(K90:K128)</f>
        <v>187780</v>
      </c>
      <c r="L129" s="285">
        <f>SUM(L90:L128)</f>
        <v>215826</v>
      </c>
      <c r="M129" s="286">
        <f>SUM(M90:M128)</f>
        <v>108033.20999999999</v>
      </c>
      <c r="N129" s="283"/>
      <c r="O129" s="284">
        <f>SUM(O90:O128)</f>
        <v>457056</v>
      </c>
      <c r="P129" s="285">
        <f>SUM(P90:P128)</f>
        <v>293888</v>
      </c>
      <c r="Q129" s="286">
        <f>SUM(Q90:Q128)</f>
        <v>180740.22</v>
      </c>
      <c r="R129" s="283"/>
      <c r="S129" s="285"/>
      <c r="T129" s="285"/>
      <c r="U129" s="284">
        <f>SUM(U90:U128)</f>
        <v>177325</v>
      </c>
      <c r="V129" s="285">
        <f>SUM(V90:V128)</f>
        <v>227325</v>
      </c>
      <c r="W129" s="286">
        <f>SUM(W90:W128)</f>
        <v>122516.04999999999</v>
      </c>
      <c r="X129" s="283"/>
      <c r="Y129" s="284">
        <f>SUM(Y90:Y128)</f>
        <v>1044000</v>
      </c>
      <c r="Z129" s="285">
        <f>SUM(Z90:Z128)</f>
        <v>1074000</v>
      </c>
      <c r="AA129" s="286">
        <f>SUM(AA90:AA128)</f>
        <v>353766.98</v>
      </c>
      <c r="AB129" s="283"/>
      <c r="AC129" s="284">
        <f>SUM(AC90:AC128)</f>
        <v>783000</v>
      </c>
      <c r="AD129" s="285">
        <f>SUM(AD90:AD128)</f>
        <v>615331</v>
      </c>
      <c r="AE129" s="286">
        <f>SUM(AE90:AE128)</f>
        <v>244020.67</v>
      </c>
      <c r="AG129" s="191"/>
      <c r="AH129" s="191"/>
      <c r="AI129" s="191"/>
      <c r="AJ129" s="191"/>
      <c r="AK129" s="191"/>
      <c r="AL129" s="191"/>
      <c r="AM129" s="191"/>
      <c r="AN129" s="191"/>
      <c r="AO129" s="191"/>
      <c r="AP129" s="191"/>
      <c r="AQ129" s="191"/>
      <c r="AR129" s="191"/>
      <c r="AS129" s="191"/>
      <c r="AT129" s="191"/>
      <c r="AU129" s="191"/>
    </row>
    <row r="130" spans="1:47" s="319" customFormat="1" ht="14.65" hidden="1" outlineLevel="1" thickBot="1" x14ac:dyDescent="0.5">
      <c r="A130" s="290" t="s">
        <v>144</v>
      </c>
      <c r="B130" s="291"/>
      <c r="C130" s="292"/>
      <c r="D130" s="293">
        <v>0</v>
      </c>
      <c r="E130" s="294"/>
      <c r="F130" s="295"/>
      <c r="G130" s="440">
        <v>80000</v>
      </c>
      <c r="H130" s="441">
        <v>80000</v>
      </c>
      <c r="I130" s="441"/>
      <c r="J130" s="299"/>
      <c r="K130" s="300">
        <v>40000</v>
      </c>
      <c r="L130" s="301">
        <v>40000</v>
      </c>
      <c r="M130" s="302"/>
      <c r="N130" s="295"/>
      <c r="O130" s="304">
        <v>60000</v>
      </c>
      <c r="P130" s="336">
        <v>60000</v>
      </c>
      <c r="Q130" s="395"/>
      <c r="R130" s="459"/>
      <c r="S130" s="308"/>
      <c r="T130" s="468"/>
      <c r="U130" s="310">
        <v>60000</v>
      </c>
      <c r="V130" s="311">
        <v>60000</v>
      </c>
      <c r="W130" s="312">
        <v>391</v>
      </c>
      <c r="X130" s="303"/>
      <c r="Y130" s="313">
        <v>120000</v>
      </c>
      <c r="Z130" s="314">
        <v>120000</v>
      </c>
      <c r="AA130" s="315"/>
      <c r="AB130" s="295"/>
      <c r="AC130" s="316">
        <v>80000</v>
      </c>
      <c r="AD130" s="317">
        <v>80000</v>
      </c>
      <c r="AE130" s="318">
        <v>25</v>
      </c>
      <c r="AG130" s="191"/>
      <c r="AH130" s="191"/>
      <c r="AI130" s="191"/>
      <c r="AJ130" s="191"/>
      <c r="AK130" s="191"/>
      <c r="AL130" s="191"/>
      <c r="AM130" s="191"/>
      <c r="AN130" s="191"/>
      <c r="AO130" s="191"/>
      <c r="AP130" s="191"/>
      <c r="AQ130" s="191"/>
      <c r="AR130" s="191"/>
      <c r="AS130" s="191"/>
      <c r="AT130" s="191"/>
      <c r="AU130" s="191"/>
    </row>
    <row r="131" spans="1:47" s="319" customFormat="1" ht="14.65" hidden="1" outlineLevel="1" thickBot="1" x14ac:dyDescent="0.5">
      <c r="A131" s="320" t="s">
        <v>145</v>
      </c>
      <c r="B131" s="321"/>
      <c r="C131" s="397"/>
      <c r="D131" s="398"/>
      <c r="E131" s="399"/>
      <c r="F131" s="343"/>
      <c r="G131" s="401">
        <v>15000</v>
      </c>
      <c r="H131" s="402">
        <v>15000</v>
      </c>
      <c r="I131" s="441">
        <v>1245</v>
      </c>
      <c r="J131" s="329"/>
      <c r="K131" s="330">
        <v>10000</v>
      </c>
      <c r="L131" s="331">
        <v>10000</v>
      </c>
      <c r="M131" s="332"/>
      <c r="N131" s="343"/>
      <c r="O131" s="334">
        <v>15000</v>
      </c>
      <c r="P131" s="336">
        <v>15000</v>
      </c>
      <c r="Q131" s="336"/>
      <c r="R131" s="461"/>
      <c r="S131" s="338"/>
      <c r="T131" s="469"/>
      <c r="U131" s="340">
        <v>12000</v>
      </c>
      <c r="V131" s="341">
        <v>12000</v>
      </c>
      <c r="W131" s="342"/>
      <c r="X131" s="343"/>
      <c r="Y131" s="344">
        <v>20000</v>
      </c>
      <c r="Z131" s="345">
        <v>20000</v>
      </c>
      <c r="AA131" s="346"/>
      <c r="AB131" s="343"/>
      <c r="AC131" s="347">
        <v>40000</v>
      </c>
      <c r="AD131" s="348">
        <v>40000</v>
      </c>
      <c r="AE131" s="349"/>
      <c r="AG131" s="191"/>
      <c r="AH131" s="191"/>
      <c r="AI131" s="191"/>
      <c r="AJ131" s="191"/>
      <c r="AK131" s="191"/>
      <c r="AL131" s="191"/>
      <c r="AM131" s="191"/>
      <c r="AN131" s="191"/>
      <c r="AO131" s="191"/>
      <c r="AP131" s="191"/>
      <c r="AQ131" s="191"/>
      <c r="AR131" s="191"/>
      <c r="AS131" s="191"/>
      <c r="AT131" s="191"/>
      <c r="AU131" s="191"/>
    </row>
    <row r="132" spans="1:47" s="319" customFormat="1" ht="14.65" hidden="1" outlineLevel="1" thickBot="1" x14ac:dyDescent="0.5">
      <c r="A132" s="353" t="s">
        <v>146</v>
      </c>
      <c r="B132" s="354"/>
      <c r="C132" s="397">
        <v>20000</v>
      </c>
      <c r="D132" s="398">
        <v>20000</v>
      </c>
      <c r="E132" s="399"/>
      <c r="F132" s="343"/>
      <c r="G132" s="401"/>
      <c r="H132" s="402"/>
      <c r="I132" s="441"/>
      <c r="J132" s="343"/>
      <c r="K132" s="330"/>
      <c r="L132" s="331">
        <v>0</v>
      </c>
      <c r="M132" s="332"/>
      <c r="N132" s="343"/>
      <c r="O132" s="334"/>
      <c r="P132" s="335">
        <v>0</v>
      </c>
      <c r="Q132" s="336"/>
      <c r="R132" s="461"/>
      <c r="S132" s="338"/>
      <c r="T132" s="469"/>
      <c r="U132" s="340"/>
      <c r="V132" s="341">
        <v>0</v>
      </c>
      <c r="W132" s="342"/>
      <c r="X132" s="343"/>
      <c r="Y132" s="344"/>
      <c r="Z132" s="345">
        <v>0</v>
      </c>
      <c r="AA132" s="346"/>
      <c r="AB132" s="343"/>
      <c r="AC132" s="347"/>
      <c r="AD132" s="348">
        <v>0</v>
      </c>
      <c r="AE132" s="349"/>
      <c r="AG132" s="191"/>
      <c r="AH132" s="191"/>
      <c r="AI132" s="191"/>
      <c r="AJ132" s="191"/>
      <c r="AK132" s="191"/>
      <c r="AL132" s="191"/>
      <c r="AM132" s="191"/>
      <c r="AN132" s="191"/>
      <c r="AO132" s="191"/>
      <c r="AP132" s="191"/>
      <c r="AQ132" s="191"/>
      <c r="AR132" s="191"/>
      <c r="AS132" s="191"/>
      <c r="AT132" s="191"/>
      <c r="AU132" s="191"/>
    </row>
    <row r="133" spans="1:47" s="319" customFormat="1" ht="14.65" hidden="1" outlineLevel="1" thickBot="1" x14ac:dyDescent="0.5">
      <c r="A133" s="353" t="s">
        <v>147</v>
      </c>
      <c r="B133" s="354"/>
      <c r="C133" s="397">
        <v>150000</v>
      </c>
      <c r="D133" s="398">
        <f>150000+100000+50000+5000-1586</f>
        <v>303414</v>
      </c>
      <c r="E133" s="399">
        <f>151836.92+85043.27+3413</f>
        <v>240293.19</v>
      </c>
      <c r="F133" s="343"/>
      <c r="G133" s="401"/>
      <c r="H133" s="402"/>
      <c r="I133" s="441"/>
      <c r="J133" s="343"/>
      <c r="K133" s="330"/>
      <c r="L133" s="331">
        <v>0</v>
      </c>
      <c r="M133" s="332"/>
      <c r="N133" s="343"/>
      <c r="O133" s="334"/>
      <c r="P133" s="336">
        <v>0</v>
      </c>
      <c r="Q133" s="336">
        <v>774.13</v>
      </c>
      <c r="R133" s="461"/>
      <c r="S133" s="338"/>
      <c r="T133" s="469"/>
      <c r="U133" s="340"/>
      <c r="V133" s="341">
        <v>0</v>
      </c>
      <c r="W133" s="342"/>
      <c r="X133" s="343"/>
      <c r="Y133" s="344">
        <v>30000</v>
      </c>
      <c r="Z133" s="345">
        <v>30000</v>
      </c>
      <c r="AA133" s="346">
        <v>1986.93</v>
      </c>
      <c r="AB133" s="343"/>
      <c r="AC133" s="347"/>
      <c r="AD133" s="348">
        <v>0</v>
      </c>
      <c r="AE133" s="349">
        <v>524.95000000000005</v>
      </c>
      <c r="AG133" s="191"/>
      <c r="AH133" s="191"/>
      <c r="AI133" s="191"/>
      <c r="AJ133" s="191"/>
      <c r="AK133" s="191"/>
      <c r="AL133" s="191"/>
      <c r="AM133" s="191"/>
      <c r="AN133" s="191"/>
      <c r="AO133" s="191"/>
      <c r="AP133" s="191"/>
      <c r="AQ133" s="191"/>
      <c r="AR133" s="191"/>
      <c r="AS133" s="191"/>
      <c r="AT133" s="191"/>
      <c r="AU133" s="191"/>
    </row>
    <row r="134" spans="1:47" s="319" customFormat="1" ht="14.65" hidden="1" outlineLevel="1" thickBot="1" x14ac:dyDescent="0.5">
      <c r="A134" s="320" t="s">
        <v>148</v>
      </c>
      <c r="B134" s="321"/>
      <c r="C134" s="397"/>
      <c r="D134" s="398"/>
      <c r="E134" s="399"/>
      <c r="F134" s="343"/>
      <c r="G134" s="401">
        <v>7400</v>
      </c>
      <c r="H134" s="402">
        <v>6975</v>
      </c>
      <c r="I134" s="441">
        <v>5020.4399999999996</v>
      </c>
      <c r="J134" s="329"/>
      <c r="K134" s="330"/>
      <c r="L134" s="331">
        <v>0</v>
      </c>
      <c r="M134" s="332"/>
      <c r="N134" s="343"/>
      <c r="O134" s="334">
        <v>3000</v>
      </c>
      <c r="P134" s="335">
        <v>3000</v>
      </c>
      <c r="Q134" s="336"/>
      <c r="R134" s="461"/>
      <c r="S134" s="338"/>
      <c r="T134" s="469"/>
      <c r="U134" s="340"/>
      <c r="V134" s="341">
        <v>0</v>
      </c>
      <c r="W134" s="342"/>
      <c r="X134" s="343"/>
      <c r="Y134" s="344"/>
      <c r="Z134" s="345">
        <v>0</v>
      </c>
      <c r="AA134" s="346"/>
      <c r="AB134" s="343"/>
      <c r="AC134" s="347"/>
      <c r="AD134" s="348">
        <v>0</v>
      </c>
      <c r="AE134" s="349"/>
      <c r="AG134" s="191"/>
      <c r="AH134" s="191"/>
      <c r="AI134" s="191"/>
      <c r="AJ134" s="191"/>
      <c r="AK134" s="191"/>
      <c r="AL134" s="191"/>
      <c r="AM134" s="191"/>
      <c r="AN134" s="191"/>
      <c r="AO134" s="191"/>
      <c r="AP134" s="191"/>
      <c r="AQ134" s="191"/>
      <c r="AR134" s="191"/>
      <c r="AS134" s="191"/>
      <c r="AT134" s="191"/>
      <c r="AU134" s="191"/>
    </row>
    <row r="135" spans="1:47" s="319" customFormat="1" ht="14.65" hidden="1" outlineLevel="1" thickBot="1" x14ac:dyDescent="0.5">
      <c r="A135" s="320" t="s">
        <v>149</v>
      </c>
      <c r="B135" s="321"/>
      <c r="C135" s="397"/>
      <c r="D135" s="398"/>
      <c r="E135" s="399"/>
      <c r="F135" s="343"/>
      <c r="G135" s="401">
        <v>0</v>
      </c>
      <c r="H135" s="402">
        <f>15597-2651</f>
        <v>12946</v>
      </c>
      <c r="I135" s="441">
        <v>3899.22</v>
      </c>
      <c r="J135" s="329"/>
      <c r="K135" s="330"/>
      <c r="L135" s="331">
        <v>0</v>
      </c>
      <c r="M135" s="332"/>
      <c r="N135" s="343"/>
      <c r="O135" s="334"/>
      <c r="P135" s="335">
        <v>0</v>
      </c>
      <c r="Q135" s="336"/>
      <c r="R135" s="461"/>
      <c r="S135" s="338"/>
      <c r="T135" s="469"/>
      <c r="U135" s="340"/>
      <c r="V135" s="341">
        <v>0</v>
      </c>
      <c r="W135" s="342"/>
      <c r="X135" s="343"/>
      <c r="Y135" s="344"/>
      <c r="Z135" s="345"/>
      <c r="AA135" s="346"/>
      <c r="AB135" s="343"/>
      <c r="AC135" s="347"/>
      <c r="AD135" s="348">
        <v>0</v>
      </c>
      <c r="AE135" s="349"/>
      <c r="AG135" s="191"/>
      <c r="AH135" s="191"/>
      <c r="AI135" s="191"/>
      <c r="AJ135" s="191"/>
      <c r="AK135" s="191"/>
      <c r="AL135" s="191"/>
      <c r="AM135" s="191"/>
      <c r="AN135" s="191"/>
      <c r="AO135" s="191"/>
      <c r="AP135" s="191"/>
      <c r="AQ135" s="191"/>
      <c r="AR135" s="191"/>
      <c r="AS135" s="191"/>
      <c r="AT135" s="191"/>
      <c r="AU135" s="191"/>
    </row>
    <row r="136" spans="1:47" s="319" customFormat="1" ht="14.65" hidden="1" outlineLevel="1" thickBot="1" x14ac:dyDescent="0.5">
      <c r="A136" s="320" t="s">
        <v>150</v>
      </c>
      <c r="B136" s="321" t="s">
        <v>151</v>
      </c>
      <c r="C136" s="397"/>
      <c r="D136" s="398"/>
      <c r="E136" s="399"/>
      <c r="F136" s="343"/>
      <c r="G136" s="401">
        <v>45000</v>
      </c>
      <c r="H136" s="402">
        <f>45000+27000+28000</f>
        <v>100000</v>
      </c>
      <c r="I136" s="441">
        <f>13082.73+20228.88+42287.13+17846.4-42287.15+28032</f>
        <v>79189.989999999991</v>
      </c>
      <c r="J136" s="329"/>
      <c r="K136" s="330"/>
      <c r="L136" s="331">
        <f>10000+5000</f>
        <v>15000</v>
      </c>
      <c r="M136" s="332">
        <f>901.6+37.37+9536</f>
        <v>10474.969999999999</v>
      </c>
      <c r="N136" s="343"/>
      <c r="O136" s="334"/>
      <c r="P136" s="335">
        <f>10000+5000</f>
        <v>15000</v>
      </c>
      <c r="Q136" s="336">
        <f>2968.15+46.36+1127+9530</f>
        <v>13671.51</v>
      </c>
      <c r="R136" s="461"/>
      <c r="S136" s="338"/>
      <c r="T136" s="469"/>
      <c r="U136" s="340"/>
      <c r="V136" s="341">
        <v>0</v>
      </c>
      <c r="W136" s="342">
        <v>93.99</v>
      </c>
      <c r="X136" s="343"/>
      <c r="Y136" s="344"/>
      <c r="Z136" s="345">
        <v>0</v>
      </c>
      <c r="AA136" s="346">
        <v>2347.36</v>
      </c>
      <c r="AB136" s="343"/>
      <c r="AC136" s="347"/>
      <c r="AD136" s="348">
        <v>0</v>
      </c>
      <c r="AE136" s="349">
        <v>140.94</v>
      </c>
      <c r="AG136" s="191"/>
      <c r="AH136" s="191"/>
      <c r="AI136" s="191"/>
      <c r="AJ136" s="191"/>
      <c r="AK136" s="191"/>
      <c r="AL136" s="191"/>
      <c r="AM136" s="191"/>
      <c r="AN136" s="191"/>
      <c r="AO136" s="191"/>
      <c r="AP136" s="191"/>
      <c r="AQ136" s="191"/>
      <c r="AR136" s="191"/>
      <c r="AS136" s="191"/>
      <c r="AT136" s="191"/>
      <c r="AU136" s="191"/>
    </row>
    <row r="137" spans="1:47" s="319" customFormat="1" ht="14.65" hidden="1" outlineLevel="1" thickBot="1" x14ac:dyDescent="0.5">
      <c r="A137" s="320" t="s">
        <v>152</v>
      </c>
      <c r="B137" s="321"/>
      <c r="C137" s="397"/>
      <c r="D137" s="398"/>
      <c r="E137" s="399"/>
      <c r="F137" s="343"/>
      <c r="G137" s="401"/>
      <c r="H137" s="402">
        <v>15000</v>
      </c>
      <c r="I137" s="402">
        <f>530+10613</f>
        <v>11143</v>
      </c>
      <c r="J137" s="329"/>
      <c r="K137" s="330"/>
      <c r="L137" s="331">
        <v>1500</v>
      </c>
      <c r="M137" s="332">
        <v>564.91999999999996</v>
      </c>
      <c r="N137" s="343"/>
      <c r="O137" s="334"/>
      <c r="P137" s="335">
        <v>0</v>
      </c>
      <c r="Q137" s="336">
        <v>86.15</v>
      </c>
      <c r="R137" s="461"/>
      <c r="S137" s="338"/>
      <c r="T137" s="469"/>
      <c r="U137" s="340">
        <v>2621</v>
      </c>
      <c r="V137" s="341">
        <v>2621</v>
      </c>
      <c r="W137" s="342"/>
      <c r="X137" s="343"/>
      <c r="Y137" s="344">
        <v>15000</v>
      </c>
      <c r="Z137" s="345">
        <v>15000</v>
      </c>
      <c r="AA137" s="346"/>
      <c r="AB137" s="343"/>
      <c r="AC137" s="347"/>
      <c r="AD137" s="348">
        <v>0</v>
      </c>
      <c r="AE137" s="349"/>
      <c r="AG137" s="191"/>
      <c r="AH137" s="191"/>
      <c r="AI137" s="191"/>
      <c r="AJ137" s="191"/>
      <c r="AK137" s="191"/>
      <c r="AL137" s="191"/>
      <c r="AM137" s="191"/>
      <c r="AN137" s="191"/>
      <c r="AO137" s="191"/>
      <c r="AP137" s="191"/>
      <c r="AQ137" s="191"/>
      <c r="AR137" s="191"/>
      <c r="AS137" s="191"/>
      <c r="AT137" s="191"/>
      <c r="AU137" s="191"/>
    </row>
    <row r="138" spans="1:47" s="319" customFormat="1" ht="14.65" hidden="1" outlineLevel="1" thickBot="1" x14ac:dyDescent="0.5">
      <c r="A138" s="320" t="s">
        <v>153</v>
      </c>
      <c r="B138" s="321"/>
      <c r="C138" s="397">
        <v>65000</v>
      </c>
      <c r="D138" s="398">
        <v>45000</v>
      </c>
      <c r="E138" s="399">
        <v>42287.13</v>
      </c>
      <c r="F138" s="343"/>
      <c r="G138" s="401"/>
      <c r="H138" s="402"/>
      <c r="I138" s="402"/>
      <c r="J138" s="343"/>
      <c r="K138" s="330"/>
      <c r="L138" s="331">
        <v>0</v>
      </c>
      <c r="M138" s="332"/>
      <c r="N138" s="343"/>
      <c r="O138" s="334"/>
      <c r="P138" s="335">
        <v>0</v>
      </c>
      <c r="Q138" s="336"/>
      <c r="R138" s="461"/>
      <c r="S138" s="338"/>
      <c r="T138" s="469"/>
      <c r="U138" s="340"/>
      <c r="V138" s="341">
        <v>0</v>
      </c>
      <c r="W138" s="342"/>
      <c r="X138" s="343"/>
      <c r="Y138" s="344"/>
      <c r="Z138" s="345">
        <v>0</v>
      </c>
      <c r="AA138" s="346"/>
      <c r="AB138" s="343"/>
      <c r="AC138" s="347"/>
      <c r="AD138" s="348">
        <v>0</v>
      </c>
      <c r="AE138" s="349"/>
      <c r="AG138" s="191"/>
      <c r="AH138" s="191"/>
      <c r="AI138" s="191"/>
      <c r="AJ138" s="191"/>
      <c r="AK138" s="191"/>
      <c r="AL138" s="191"/>
      <c r="AM138" s="191"/>
      <c r="AN138" s="191"/>
      <c r="AO138" s="191"/>
      <c r="AP138" s="191"/>
      <c r="AQ138" s="191"/>
      <c r="AR138" s="191"/>
      <c r="AS138" s="191"/>
      <c r="AT138" s="191"/>
      <c r="AU138" s="191"/>
    </row>
    <row r="139" spans="1:47" s="319" customFormat="1" ht="14.65" hidden="1" outlineLevel="1" thickBot="1" x14ac:dyDescent="0.5">
      <c r="A139" s="320" t="s">
        <v>154</v>
      </c>
      <c r="B139" s="321"/>
      <c r="C139" s="397">
        <v>8700</v>
      </c>
      <c r="D139" s="398">
        <v>8700</v>
      </c>
      <c r="E139" s="399">
        <v>2520.1999999999998</v>
      </c>
      <c r="F139" s="343"/>
      <c r="G139" s="401"/>
      <c r="H139" s="402"/>
      <c r="I139" s="402"/>
      <c r="J139" s="329"/>
      <c r="K139" s="330"/>
      <c r="L139" s="331">
        <v>0</v>
      </c>
      <c r="M139" s="332"/>
      <c r="N139" s="343"/>
      <c r="O139" s="334"/>
      <c r="P139" s="335">
        <v>0</v>
      </c>
      <c r="Q139" s="336"/>
      <c r="R139" s="461"/>
      <c r="S139" s="338"/>
      <c r="T139" s="469"/>
      <c r="U139" s="340"/>
      <c r="V139" s="341">
        <v>0</v>
      </c>
      <c r="W139" s="342"/>
      <c r="X139" s="343"/>
      <c r="Y139" s="344"/>
      <c r="Z139" s="345">
        <v>0</v>
      </c>
      <c r="AA139" s="346"/>
      <c r="AB139" s="343"/>
      <c r="AC139" s="347"/>
      <c r="AD139" s="348">
        <v>0</v>
      </c>
      <c r="AE139" s="349"/>
      <c r="AG139" s="191"/>
      <c r="AH139" s="191"/>
      <c r="AI139" s="191"/>
      <c r="AJ139" s="191"/>
      <c r="AK139" s="191"/>
      <c r="AL139" s="191"/>
      <c r="AM139" s="191"/>
      <c r="AN139" s="191"/>
      <c r="AO139" s="191"/>
      <c r="AP139" s="191"/>
      <c r="AQ139" s="191"/>
      <c r="AR139" s="191"/>
      <c r="AS139" s="191"/>
      <c r="AT139" s="191"/>
      <c r="AU139" s="191"/>
    </row>
    <row r="140" spans="1:47" s="319" customFormat="1" ht="14.65" hidden="1" outlineLevel="1" thickBot="1" x14ac:dyDescent="0.5">
      <c r="A140" s="320" t="s">
        <v>155</v>
      </c>
      <c r="B140" s="321"/>
      <c r="C140" s="397"/>
      <c r="D140" s="398"/>
      <c r="E140" s="399"/>
      <c r="F140" s="343"/>
      <c r="G140" s="401">
        <v>20000</v>
      </c>
      <c r="H140" s="402"/>
      <c r="I140" s="402">
        <v>0</v>
      </c>
      <c r="J140" s="329"/>
      <c r="K140" s="330">
        <v>10000</v>
      </c>
      <c r="L140" s="331">
        <v>0</v>
      </c>
      <c r="M140" s="332"/>
      <c r="N140" s="333"/>
      <c r="O140" s="334">
        <v>10000</v>
      </c>
      <c r="P140" s="335">
        <v>0</v>
      </c>
      <c r="Q140" s="336">
        <v>0</v>
      </c>
      <c r="R140" s="461"/>
      <c r="S140" s="338"/>
      <c r="T140" s="469"/>
      <c r="U140" s="340">
        <v>20000</v>
      </c>
      <c r="V140" s="341">
        <v>0</v>
      </c>
      <c r="W140" s="342">
        <v>0</v>
      </c>
      <c r="X140" s="343"/>
      <c r="Y140" s="344">
        <v>30000</v>
      </c>
      <c r="Z140" s="345">
        <v>30000</v>
      </c>
      <c r="AA140" s="346"/>
      <c r="AB140" s="343"/>
      <c r="AC140" s="347">
        <v>20000</v>
      </c>
      <c r="AD140" s="348">
        <v>20000</v>
      </c>
      <c r="AE140" s="349"/>
      <c r="AG140" s="191"/>
      <c r="AH140" s="191"/>
      <c r="AI140" s="191"/>
      <c r="AJ140" s="191"/>
      <c r="AK140" s="191"/>
      <c r="AL140" s="191"/>
      <c r="AM140" s="191"/>
      <c r="AN140" s="191"/>
      <c r="AO140" s="191"/>
      <c r="AP140" s="191"/>
      <c r="AQ140" s="191"/>
      <c r="AR140" s="191"/>
      <c r="AS140" s="191"/>
      <c r="AT140" s="191"/>
      <c r="AU140" s="191"/>
    </row>
    <row r="141" spans="1:47" s="319" customFormat="1" ht="14.65" hidden="1" outlineLevel="1" thickBot="1" x14ac:dyDescent="0.5">
      <c r="A141" s="320" t="s">
        <v>156</v>
      </c>
      <c r="B141" s="321" t="s">
        <v>157</v>
      </c>
      <c r="C141" s="397"/>
      <c r="D141" s="398"/>
      <c r="E141" s="399"/>
      <c r="F141" s="343"/>
      <c r="G141" s="401">
        <v>65000</v>
      </c>
      <c r="H141" s="402">
        <f>65000+18000</f>
        <v>83000</v>
      </c>
      <c r="I141" s="402">
        <f>41805+30605</f>
        <v>72410</v>
      </c>
      <c r="J141" s="329"/>
      <c r="K141" s="330">
        <v>36500</v>
      </c>
      <c r="L141" s="331">
        <f>36500+10000</f>
        <v>46500</v>
      </c>
      <c r="M141" s="332">
        <f>26101.75+255.5+9583</f>
        <v>35940.25</v>
      </c>
      <c r="N141" s="333"/>
      <c r="O141" s="334">
        <v>30000</v>
      </c>
      <c r="P141" s="335">
        <v>30000</v>
      </c>
      <c r="Q141" s="336">
        <f>37723.79+18764</f>
        <v>56487.79</v>
      </c>
      <c r="R141" s="461"/>
      <c r="S141" s="338"/>
      <c r="T141" s="469"/>
      <c r="U141" s="340">
        <v>60000</v>
      </c>
      <c r="V141" s="341">
        <v>60000</v>
      </c>
      <c r="W141" s="342">
        <f>51862.5+9346.5+21134</f>
        <v>82343</v>
      </c>
      <c r="X141" s="333"/>
      <c r="Y141" s="344">
        <v>120000</v>
      </c>
      <c r="Z141" s="345">
        <v>120000</v>
      </c>
      <c r="AA141" s="346">
        <v>32450</v>
      </c>
      <c r="AB141" s="333"/>
      <c r="AC141" s="347">
        <v>60000</v>
      </c>
      <c r="AD141" s="348">
        <v>60000</v>
      </c>
      <c r="AE141" s="349">
        <v>9677.2900000000009</v>
      </c>
      <c r="AG141" s="191"/>
      <c r="AH141" s="191"/>
      <c r="AI141" s="191"/>
      <c r="AJ141" s="191"/>
      <c r="AK141" s="191"/>
      <c r="AL141" s="191"/>
      <c r="AM141" s="191"/>
      <c r="AN141" s="191"/>
      <c r="AO141" s="191"/>
      <c r="AP141" s="191"/>
      <c r="AQ141" s="191"/>
      <c r="AR141" s="191"/>
      <c r="AS141" s="191"/>
      <c r="AT141" s="191"/>
      <c r="AU141" s="191"/>
    </row>
    <row r="142" spans="1:47" s="319" customFormat="1" ht="14.65" hidden="1" outlineLevel="1" thickBot="1" x14ac:dyDescent="0.5">
      <c r="A142" s="353" t="s">
        <v>158</v>
      </c>
      <c r="B142" s="354"/>
      <c r="C142" s="397"/>
      <c r="D142" s="398"/>
      <c r="E142" s="399"/>
      <c r="F142" s="343"/>
      <c r="G142" s="401"/>
      <c r="H142" s="402"/>
      <c r="I142" s="402"/>
      <c r="J142" s="343"/>
      <c r="K142" s="330"/>
      <c r="L142" s="331">
        <v>0</v>
      </c>
      <c r="M142" s="332"/>
      <c r="N142" s="343"/>
      <c r="O142" s="334"/>
      <c r="P142" s="335">
        <v>0</v>
      </c>
      <c r="Q142" s="336"/>
      <c r="R142" s="461"/>
      <c r="S142" s="338"/>
      <c r="T142" s="469"/>
      <c r="U142" s="340"/>
      <c r="V142" s="341">
        <v>0</v>
      </c>
      <c r="W142" s="342"/>
      <c r="X142" s="343"/>
      <c r="Y142" s="344">
        <v>30000</v>
      </c>
      <c r="Z142" s="345">
        <v>30000</v>
      </c>
      <c r="AA142" s="346"/>
      <c r="AB142" s="343"/>
      <c r="AC142" s="347">
        <v>115000</v>
      </c>
      <c r="AD142" s="348">
        <v>50000</v>
      </c>
      <c r="AE142" s="349">
        <f>448.79+663.52</f>
        <v>1112.31</v>
      </c>
      <c r="AG142" s="191"/>
      <c r="AH142" s="191"/>
      <c r="AI142" s="191"/>
      <c r="AJ142" s="191"/>
      <c r="AK142" s="191"/>
      <c r="AL142" s="191"/>
      <c r="AM142" s="191"/>
      <c r="AN142" s="191"/>
      <c r="AO142" s="191"/>
      <c r="AP142" s="191"/>
      <c r="AQ142" s="191"/>
      <c r="AR142" s="191"/>
      <c r="AS142" s="191"/>
      <c r="AT142" s="191"/>
      <c r="AU142" s="191"/>
    </row>
    <row r="143" spans="1:47" s="319" customFormat="1" ht="14.65" hidden="1" outlineLevel="1" thickBot="1" x14ac:dyDescent="0.5">
      <c r="A143" s="320" t="s">
        <v>159</v>
      </c>
      <c r="B143" s="321"/>
      <c r="C143" s="397">
        <v>5000</v>
      </c>
      <c r="D143" s="398">
        <v>10000</v>
      </c>
      <c r="E143" s="399">
        <v>10097</v>
      </c>
      <c r="F143" s="343"/>
      <c r="G143" s="401">
        <v>48000</v>
      </c>
      <c r="H143" s="402">
        <f>48000</f>
        <v>48000</v>
      </c>
      <c r="I143" s="402">
        <f>60388.3-15097</f>
        <v>45291.3</v>
      </c>
      <c r="J143" s="329"/>
      <c r="K143" s="330">
        <v>10000</v>
      </c>
      <c r="L143" s="331">
        <v>10000</v>
      </c>
      <c r="M143" s="332">
        <f>3321.75+1423.88+15097</f>
        <v>19842.63</v>
      </c>
      <c r="N143" s="333"/>
      <c r="O143" s="334">
        <v>34330</v>
      </c>
      <c r="P143" s="335">
        <f>34330-10000</f>
        <v>24330</v>
      </c>
      <c r="Q143" s="336">
        <f>3321.75+1877.95+261.35+15097</f>
        <v>20558.05</v>
      </c>
      <c r="R143" s="461"/>
      <c r="S143" s="338"/>
      <c r="T143" s="469"/>
      <c r="U143" s="340">
        <v>10000</v>
      </c>
      <c r="V143" s="341">
        <v>10000</v>
      </c>
      <c r="W143" s="342">
        <v>25709</v>
      </c>
      <c r="X143" s="343"/>
      <c r="Y143" s="344">
        <v>20000</v>
      </c>
      <c r="Z143" s="345">
        <v>20000</v>
      </c>
      <c r="AA143" s="346"/>
      <c r="AB143" s="343"/>
      <c r="AC143" s="347">
        <v>25000</v>
      </c>
      <c r="AD143" s="348">
        <v>25000</v>
      </c>
      <c r="AE143" s="349"/>
      <c r="AG143" s="191"/>
      <c r="AH143" s="191"/>
      <c r="AI143" s="191"/>
      <c r="AJ143" s="191"/>
      <c r="AK143" s="191"/>
      <c r="AL143" s="191"/>
      <c r="AM143" s="191"/>
      <c r="AN143" s="191"/>
      <c r="AO143" s="191"/>
      <c r="AP143" s="191"/>
      <c r="AQ143" s="191"/>
      <c r="AR143" s="191"/>
      <c r="AS143" s="191"/>
      <c r="AT143" s="191"/>
      <c r="AU143" s="191"/>
    </row>
    <row r="144" spans="1:47" s="319" customFormat="1" ht="14.65" hidden="1" outlineLevel="1" thickBot="1" x14ac:dyDescent="0.5">
      <c r="A144" s="353" t="s">
        <v>160</v>
      </c>
      <c r="B144" s="354"/>
      <c r="C144" s="397">
        <v>5000</v>
      </c>
      <c r="D144" s="398">
        <v>5000</v>
      </c>
      <c r="E144" s="399">
        <v>5000</v>
      </c>
      <c r="F144" s="343"/>
      <c r="G144" s="401"/>
      <c r="H144" s="402"/>
      <c r="I144" s="402"/>
      <c r="J144" s="343"/>
      <c r="K144" s="330"/>
      <c r="L144" s="331">
        <v>0</v>
      </c>
      <c r="M144" s="332"/>
      <c r="N144" s="343"/>
      <c r="O144" s="334"/>
      <c r="P144" s="335">
        <v>0</v>
      </c>
      <c r="Q144" s="336"/>
      <c r="R144" s="461"/>
      <c r="S144" s="338"/>
      <c r="T144" s="469"/>
      <c r="U144" s="340"/>
      <c r="V144" s="341">
        <v>0</v>
      </c>
      <c r="W144" s="342"/>
      <c r="X144" s="343"/>
      <c r="Y144" s="344"/>
      <c r="Z144" s="345">
        <v>0</v>
      </c>
      <c r="AA144" s="346"/>
      <c r="AB144" s="343"/>
      <c r="AC144" s="347"/>
      <c r="AD144" s="348">
        <v>0</v>
      </c>
      <c r="AE144" s="349"/>
      <c r="AG144" s="191"/>
      <c r="AH144" s="191"/>
      <c r="AI144" s="191"/>
      <c r="AJ144" s="191"/>
      <c r="AK144" s="191"/>
      <c r="AL144" s="191"/>
      <c r="AM144" s="191"/>
      <c r="AN144" s="191"/>
      <c r="AO144" s="191"/>
      <c r="AP144" s="191"/>
      <c r="AQ144" s="191"/>
      <c r="AR144" s="191"/>
      <c r="AS144" s="191"/>
      <c r="AT144" s="191"/>
      <c r="AU144" s="191"/>
    </row>
    <row r="145" spans="1:47" s="319" customFormat="1" ht="14.65" hidden="1" outlineLevel="1" thickBot="1" x14ac:dyDescent="0.5">
      <c r="A145" s="320" t="s">
        <v>161</v>
      </c>
      <c r="B145" s="321"/>
      <c r="C145" s="397"/>
      <c r="D145" s="398"/>
      <c r="E145" s="399"/>
      <c r="F145" s="343"/>
      <c r="G145" s="401"/>
      <c r="H145" s="402"/>
      <c r="I145" s="402"/>
      <c r="J145" s="343"/>
      <c r="K145" s="330">
        <v>2100</v>
      </c>
      <c r="L145" s="331"/>
      <c r="M145" s="332"/>
      <c r="N145" s="343"/>
      <c r="O145" s="334">
        <v>20000</v>
      </c>
      <c r="P145" s="335">
        <f>10000-5000-2500</f>
        <v>2500</v>
      </c>
      <c r="Q145" s="336">
        <v>900</v>
      </c>
      <c r="R145" s="461"/>
      <c r="S145" s="338"/>
      <c r="T145" s="469"/>
      <c r="U145" s="340"/>
      <c r="V145" s="341">
        <v>0</v>
      </c>
      <c r="W145" s="342"/>
      <c r="X145" s="343"/>
      <c r="Y145" s="344"/>
      <c r="Z145" s="345">
        <v>0</v>
      </c>
      <c r="AA145" s="346"/>
      <c r="AB145" s="343"/>
      <c r="AC145" s="347"/>
      <c r="AD145" s="348">
        <v>0</v>
      </c>
      <c r="AE145" s="349"/>
      <c r="AG145" s="191"/>
      <c r="AH145" s="191"/>
      <c r="AI145" s="191"/>
      <c r="AJ145" s="191"/>
      <c r="AK145" s="191"/>
      <c r="AL145" s="191"/>
      <c r="AM145" s="191"/>
      <c r="AN145" s="191"/>
      <c r="AO145" s="191"/>
      <c r="AP145" s="191"/>
      <c r="AQ145" s="191"/>
      <c r="AR145" s="191"/>
      <c r="AS145" s="191"/>
      <c r="AT145" s="191"/>
      <c r="AU145" s="191"/>
    </row>
    <row r="146" spans="1:47" s="319" customFormat="1" ht="14.65" hidden="1" outlineLevel="1" thickBot="1" x14ac:dyDescent="0.5">
      <c r="A146" s="320" t="s">
        <v>162</v>
      </c>
      <c r="B146" s="321"/>
      <c r="C146" s="397"/>
      <c r="D146" s="398"/>
      <c r="E146" s="399">
        <v>0</v>
      </c>
      <c r="F146" s="343"/>
      <c r="G146" s="401">
        <v>30000</v>
      </c>
      <c r="H146" s="402">
        <f>10000-5000</f>
        <v>5000</v>
      </c>
      <c r="I146" s="402">
        <v>3330</v>
      </c>
      <c r="J146" s="343"/>
      <c r="K146" s="330"/>
      <c r="L146" s="331">
        <v>2500</v>
      </c>
      <c r="M146" s="332">
        <v>1856</v>
      </c>
      <c r="N146" s="343"/>
      <c r="O146" s="334"/>
      <c r="P146" s="335">
        <v>2500</v>
      </c>
      <c r="Q146" s="336">
        <v>1856</v>
      </c>
      <c r="R146" s="461"/>
      <c r="S146" s="338"/>
      <c r="T146" s="469"/>
      <c r="U146" s="340"/>
      <c r="V146" s="340">
        <v>0</v>
      </c>
      <c r="W146" s="342">
        <v>7601</v>
      </c>
      <c r="X146" s="343"/>
      <c r="Y146" s="344">
        <v>40000</v>
      </c>
      <c r="Z146" s="345">
        <v>40000</v>
      </c>
      <c r="AA146" s="346">
        <v>7601</v>
      </c>
      <c r="AB146" s="343"/>
      <c r="AC146" s="347">
        <v>20000</v>
      </c>
      <c r="AD146" s="348">
        <v>0</v>
      </c>
      <c r="AE146" s="349">
        <v>7601</v>
      </c>
      <c r="AG146" s="191"/>
      <c r="AH146" s="191"/>
      <c r="AI146" s="191"/>
      <c r="AJ146" s="191"/>
      <c r="AK146" s="191"/>
      <c r="AL146" s="191"/>
      <c r="AM146" s="191"/>
      <c r="AN146" s="191"/>
      <c r="AO146" s="191"/>
      <c r="AP146" s="191"/>
      <c r="AQ146" s="191"/>
      <c r="AR146" s="191"/>
      <c r="AS146" s="191"/>
      <c r="AT146" s="191"/>
      <c r="AU146" s="191"/>
    </row>
    <row r="147" spans="1:47" s="319" customFormat="1" ht="14.65" hidden="1" outlineLevel="1" thickBot="1" x14ac:dyDescent="0.5">
      <c r="A147" s="320" t="s">
        <v>163</v>
      </c>
      <c r="B147" s="321"/>
      <c r="C147" s="397">
        <v>5000</v>
      </c>
      <c r="D147" s="398"/>
      <c r="E147" s="399">
        <v>0</v>
      </c>
      <c r="F147" s="343"/>
      <c r="G147" s="401">
        <v>7500</v>
      </c>
      <c r="H147" s="402">
        <v>10450</v>
      </c>
      <c r="I147" s="402">
        <v>7000</v>
      </c>
      <c r="J147" s="343"/>
      <c r="K147" s="330">
        <v>5000</v>
      </c>
      <c r="L147" s="331">
        <v>8700</v>
      </c>
      <c r="M147" s="332">
        <v>6700</v>
      </c>
      <c r="N147" s="343"/>
      <c r="O147" s="334">
        <v>5000</v>
      </c>
      <c r="P147" s="335">
        <v>6500</v>
      </c>
      <c r="Q147" s="336">
        <v>6500</v>
      </c>
      <c r="R147" s="461"/>
      <c r="S147" s="338"/>
      <c r="T147" s="469"/>
      <c r="U147" s="340">
        <v>15000</v>
      </c>
      <c r="V147" s="340">
        <v>15000</v>
      </c>
      <c r="W147" s="342"/>
      <c r="X147" s="343"/>
      <c r="Y147" s="344">
        <v>20000</v>
      </c>
      <c r="Z147" s="345">
        <v>20000</v>
      </c>
      <c r="AA147" s="346"/>
      <c r="AB147" s="343"/>
      <c r="AC147" s="347">
        <v>20000</v>
      </c>
      <c r="AD147" s="348">
        <v>20000</v>
      </c>
      <c r="AE147" s="349"/>
      <c r="AG147" s="191"/>
      <c r="AH147" s="191"/>
      <c r="AI147" s="191"/>
      <c r="AJ147" s="191"/>
      <c r="AK147" s="191"/>
      <c r="AL147" s="191"/>
      <c r="AM147" s="191"/>
      <c r="AN147" s="191"/>
      <c r="AO147" s="191"/>
      <c r="AP147" s="191"/>
      <c r="AQ147" s="191"/>
      <c r="AR147" s="191"/>
      <c r="AS147" s="191"/>
      <c r="AT147" s="191"/>
      <c r="AU147" s="191"/>
    </row>
    <row r="148" spans="1:47" s="319" customFormat="1" ht="14.65" hidden="1" outlineLevel="1" thickBot="1" x14ac:dyDescent="0.5">
      <c r="A148" s="320" t="s">
        <v>164</v>
      </c>
      <c r="B148" s="321"/>
      <c r="C148" s="397"/>
      <c r="D148" s="398"/>
      <c r="E148" s="399"/>
      <c r="F148" s="343"/>
      <c r="G148" s="401">
        <v>5000</v>
      </c>
      <c r="H148" s="402">
        <v>5000</v>
      </c>
      <c r="I148" s="402">
        <v>7575.14</v>
      </c>
      <c r="J148" s="329"/>
      <c r="K148" s="330"/>
      <c r="L148" s="331">
        <v>0</v>
      </c>
      <c r="M148" s="332"/>
      <c r="N148" s="343"/>
      <c r="O148" s="334"/>
      <c r="P148" s="335"/>
      <c r="Q148" s="336"/>
      <c r="R148" s="461"/>
      <c r="S148" s="338"/>
      <c r="T148" s="469"/>
      <c r="U148" s="340"/>
      <c r="V148" s="340">
        <v>0</v>
      </c>
      <c r="W148" s="342"/>
      <c r="X148" s="343"/>
      <c r="Y148" s="344"/>
      <c r="Z148" s="345">
        <f>5000+26000+1000</f>
        <v>32000</v>
      </c>
      <c r="AA148" s="346"/>
      <c r="AB148" s="343"/>
      <c r="AC148" s="347"/>
      <c r="AD148" s="348">
        <v>0</v>
      </c>
      <c r="AE148" s="349"/>
      <c r="AG148" s="191"/>
      <c r="AH148" s="191"/>
      <c r="AI148" s="191"/>
      <c r="AJ148" s="191"/>
      <c r="AK148" s="191"/>
      <c r="AL148" s="191"/>
      <c r="AM148" s="191"/>
      <c r="AN148" s="191"/>
      <c r="AO148" s="191"/>
      <c r="AP148" s="191"/>
      <c r="AQ148" s="191"/>
      <c r="AR148" s="191"/>
      <c r="AS148" s="191"/>
      <c r="AT148" s="191"/>
      <c r="AU148" s="191"/>
    </row>
    <row r="149" spans="1:47" s="319" customFormat="1" ht="14.65" hidden="1" outlineLevel="1" thickBot="1" x14ac:dyDescent="0.5">
      <c r="A149" s="320" t="s">
        <v>165</v>
      </c>
      <c r="B149" s="321"/>
      <c r="C149" s="397">
        <v>2000</v>
      </c>
      <c r="D149" s="398">
        <v>2000</v>
      </c>
      <c r="E149" s="399">
        <f>224.24</f>
        <v>224.24</v>
      </c>
      <c r="F149" s="343"/>
      <c r="G149" s="401">
        <v>1550</v>
      </c>
      <c r="H149" s="402">
        <v>1550</v>
      </c>
      <c r="I149" s="402">
        <v>5283.25</v>
      </c>
      <c r="J149" s="329"/>
      <c r="K149" s="330">
        <v>1550</v>
      </c>
      <c r="L149" s="331">
        <f>1550+1500</f>
        <v>3050</v>
      </c>
      <c r="M149" s="332">
        <f>977.25+1228.22</f>
        <v>2205.4700000000003</v>
      </c>
      <c r="N149" s="333"/>
      <c r="O149" s="334">
        <v>3000</v>
      </c>
      <c r="P149" s="335">
        <v>3000</v>
      </c>
      <c r="Q149" s="336">
        <f>35.05+1645.84</f>
        <v>1680.8899999999999</v>
      </c>
      <c r="R149" s="461"/>
      <c r="S149" s="338"/>
      <c r="T149" s="469"/>
      <c r="U149" s="340">
        <v>300</v>
      </c>
      <c r="V149" s="340">
        <v>3000</v>
      </c>
      <c r="W149" s="342">
        <v>2069.29</v>
      </c>
      <c r="X149" s="333"/>
      <c r="Y149" s="344"/>
      <c r="Z149" s="345">
        <v>1000</v>
      </c>
      <c r="AA149" s="346">
        <v>3047.56</v>
      </c>
      <c r="AB149" s="333"/>
      <c r="AC149" s="347"/>
      <c r="AD149" s="348">
        <v>1000</v>
      </c>
      <c r="AE149" s="349">
        <v>1706.19</v>
      </c>
      <c r="AG149" s="191"/>
      <c r="AH149" s="191"/>
      <c r="AI149" s="191"/>
      <c r="AJ149" s="191"/>
      <c r="AK149" s="191"/>
      <c r="AL149" s="191"/>
      <c r="AM149" s="191"/>
      <c r="AN149" s="191"/>
      <c r="AO149" s="191"/>
      <c r="AP149" s="191"/>
      <c r="AQ149" s="191"/>
      <c r="AR149" s="191"/>
      <c r="AS149" s="191"/>
      <c r="AT149" s="191"/>
      <c r="AU149" s="191"/>
    </row>
    <row r="150" spans="1:47" s="319" customFormat="1" ht="14.65" hidden="1" outlineLevel="1" thickBot="1" x14ac:dyDescent="0.5">
      <c r="A150" s="353" t="s">
        <v>166</v>
      </c>
      <c r="B150" s="354"/>
      <c r="C150" s="397"/>
      <c r="D150" s="398"/>
      <c r="E150" s="399"/>
      <c r="F150" s="343"/>
      <c r="G150" s="401"/>
      <c r="H150" s="402"/>
      <c r="I150" s="402"/>
      <c r="J150" s="343"/>
      <c r="K150" s="330"/>
      <c r="L150" s="331">
        <v>0</v>
      </c>
      <c r="M150" s="332"/>
      <c r="N150" s="343"/>
      <c r="O150" s="334"/>
      <c r="P150" s="335"/>
      <c r="Q150" s="336"/>
      <c r="R150" s="461"/>
      <c r="S150" s="338"/>
      <c r="T150" s="469"/>
      <c r="U150" s="340"/>
      <c r="V150" s="340">
        <v>0</v>
      </c>
      <c r="W150" s="342"/>
      <c r="X150" s="343"/>
      <c r="Y150" s="344"/>
      <c r="Z150" s="345">
        <v>0</v>
      </c>
      <c r="AA150" s="346"/>
      <c r="AB150" s="343"/>
      <c r="AC150" s="347"/>
      <c r="AD150" s="348">
        <v>0</v>
      </c>
      <c r="AE150" s="349"/>
      <c r="AG150" s="191"/>
      <c r="AH150" s="191"/>
      <c r="AI150" s="191"/>
      <c r="AJ150" s="191"/>
      <c r="AK150" s="191"/>
      <c r="AL150" s="191"/>
      <c r="AM150" s="191"/>
      <c r="AN150" s="191"/>
      <c r="AO150" s="191"/>
      <c r="AP150" s="191"/>
      <c r="AQ150" s="191"/>
      <c r="AR150" s="191"/>
      <c r="AS150" s="191"/>
      <c r="AT150" s="191"/>
      <c r="AU150" s="191"/>
    </row>
    <row r="151" spans="1:47" s="319" customFormat="1" ht="14.65" hidden="1" outlineLevel="1" thickBot="1" x14ac:dyDescent="0.5">
      <c r="A151" s="320" t="s">
        <v>167</v>
      </c>
      <c r="B151" s="321"/>
      <c r="C151" s="397">
        <v>20000</v>
      </c>
      <c r="D151" s="398">
        <v>16853</v>
      </c>
      <c r="E151" s="399">
        <f>78969-62116.38</f>
        <v>16852.620000000003</v>
      </c>
      <c r="F151" s="343"/>
      <c r="G151" s="401">
        <v>75000</v>
      </c>
      <c r="H151" s="402">
        <v>22651</v>
      </c>
      <c r="I151" s="402">
        <v>22650.83</v>
      </c>
      <c r="J151" s="343"/>
      <c r="K151" s="330">
        <v>20000</v>
      </c>
      <c r="L151" s="331">
        <f>5000+10000</f>
        <v>15000</v>
      </c>
      <c r="M151" s="332">
        <v>14342.92</v>
      </c>
      <c r="N151" s="343"/>
      <c r="O151" s="334">
        <v>32000</v>
      </c>
      <c r="P151" s="335">
        <f>5000+1950+2766</f>
        <v>9716</v>
      </c>
      <c r="Q151" s="336">
        <v>9716.2800000000007</v>
      </c>
      <c r="R151" s="461"/>
      <c r="S151" s="338"/>
      <c r="T151" s="469"/>
      <c r="U151" s="340"/>
      <c r="V151" s="340">
        <v>0</v>
      </c>
      <c r="W151" s="342">
        <v>6935.33</v>
      </c>
      <c r="X151" s="343"/>
      <c r="Y151" s="346"/>
      <c r="Z151" s="346">
        <v>0</v>
      </c>
      <c r="AA151" s="346">
        <v>20885.32</v>
      </c>
      <c r="AB151" s="343"/>
      <c r="AC151" s="347"/>
      <c r="AD151" s="347">
        <v>0</v>
      </c>
      <c r="AE151" s="347">
        <v>3237.54</v>
      </c>
      <c r="AG151" s="191"/>
      <c r="AH151" s="191"/>
      <c r="AI151" s="191"/>
      <c r="AJ151" s="191"/>
      <c r="AK151" s="191"/>
      <c r="AL151" s="191"/>
      <c r="AM151" s="191"/>
      <c r="AN151" s="191"/>
      <c r="AO151" s="191"/>
      <c r="AP151" s="191"/>
      <c r="AQ151" s="191"/>
      <c r="AR151" s="191"/>
      <c r="AS151" s="191"/>
      <c r="AT151" s="191"/>
      <c r="AU151" s="191"/>
    </row>
    <row r="152" spans="1:47" s="319" customFormat="1" ht="14.65" hidden="1" outlineLevel="1" thickBot="1" x14ac:dyDescent="0.5">
      <c r="A152" s="320" t="s">
        <v>168</v>
      </c>
      <c r="B152" s="321"/>
      <c r="C152" s="397"/>
      <c r="D152" s="398"/>
      <c r="E152" s="399">
        <v>0</v>
      </c>
      <c r="F152" s="343"/>
      <c r="G152" s="401">
        <v>13000</v>
      </c>
      <c r="H152" s="402">
        <v>13000</v>
      </c>
      <c r="I152" s="402">
        <f>2704.98+4508</f>
        <v>7212.98</v>
      </c>
      <c r="J152" s="329"/>
      <c r="K152" s="330"/>
      <c r="L152" s="331">
        <v>5000</v>
      </c>
      <c r="M152" s="332">
        <v>4508</v>
      </c>
      <c r="N152" s="343"/>
      <c r="O152" s="334">
        <v>500</v>
      </c>
      <c r="P152" s="335">
        <f>500+5000</f>
        <v>5500</v>
      </c>
      <c r="Q152" s="336">
        <v>4508</v>
      </c>
      <c r="R152" s="461"/>
      <c r="S152" s="338"/>
      <c r="T152" s="469"/>
      <c r="U152" s="340"/>
      <c r="V152" s="341">
        <v>0</v>
      </c>
      <c r="W152" s="342">
        <v>4526</v>
      </c>
      <c r="X152" s="343"/>
      <c r="Y152" s="346">
        <v>15000</v>
      </c>
      <c r="Z152" s="346">
        <v>15000</v>
      </c>
      <c r="AA152" s="346">
        <f>44756.25+4526.5</f>
        <v>49282.75</v>
      </c>
      <c r="AB152" s="343"/>
      <c r="AC152" s="347">
        <v>10000</v>
      </c>
      <c r="AD152" s="347">
        <v>10000</v>
      </c>
      <c r="AE152" s="347">
        <f>63210+4526</f>
        <v>67736</v>
      </c>
      <c r="AG152" s="191"/>
      <c r="AH152" s="191"/>
      <c r="AI152" s="191"/>
      <c r="AJ152" s="191"/>
      <c r="AK152" s="191"/>
      <c r="AL152" s="191"/>
      <c r="AM152" s="191"/>
      <c r="AN152" s="191"/>
      <c r="AO152" s="191"/>
      <c r="AP152" s="191"/>
      <c r="AQ152" s="191"/>
      <c r="AR152" s="191"/>
      <c r="AS152" s="191"/>
      <c r="AT152" s="191"/>
      <c r="AU152" s="191"/>
    </row>
    <row r="153" spans="1:47" s="319" customFormat="1" ht="14.65" hidden="1" outlineLevel="1" thickBot="1" x14ac:dyDescent="0.5">
      <c r="A153" s="353" t="s">
        <v>169</v>
      </c>
      <c r="B153" s="354"/>
      <c r="C153" s="397">
        <v>30000</v>
      </c>
      <c r="D153" s="398"/>
      <c r="E153" s="399"/>
      <c r="F153" s="343"/>
      <c r="G153" s="401"/>
      <c r="H153" s="402"/>
      <c r="I153" s="402">
        <v>-5.24</v>
      </c>
      <c r="J153" s="343"/>
      <c r="K153" s="330"/>
      <c r="L153" s="331">
        <v>0</v>
      </c>
      <c r="M153" s="332"/>
      <c r="N153" s="343"/>
      <c r="O153" s="334"/>
      <c r="P153" s="335"/>
      <c r="Q153" s="336"/>
      <c r="R153" s="461"/>
      <c r="S153" s="338"/>
      <c r="T153" s="469"/>
      <c r="U153" s="340"/>
      <c r="V153" s="341">
        <v>0</v>
      </c>
      <c r="W153" s="342"/>
      <c r="X153" s="343"/>
      <c r="Y153" s="344"/>
      <c r="Z153" s="345">
        <v>0</v>
      </c>
      <c r="AA153" s="346"/>
      <c r="AB153" s="343"/>
      <c r="AC153" s="347"/>
      <c r="AD153" s="348">
        <v>0</v>
      </c>
      <c r="AE153" s="349"/>
      <c r="AG153" s="191"/>
      <c r="AH153" s="191"/>
      <c r="AI153" s="191"/>
      <c r="AJ153" s="191"/>
      <c r="AK153" s="191"/>
      <c r="AL153" s="191"/>
      <c r="AM153" s="191"/>
      <c r="AN153" s="191"/>
      <c r="AO153" s="191"/>
      <c r="AP153" s="191"/>
      <c r="AQ153" s="191"/>
      <c r="AR153" s="191"/>
      <c r="AS153" s="191"/>
      <c r="AT153" s="191"/>
      <c r="AU153" s="191"/>
    </row>
    <row r="154" spans="1:47" s="319" customFormat="1" ht="14.65" hidden="1" outlineLevel="1" thickBot="1" x14ac:dyDescent="0.5">
      <c r="A154" s="477" t="s">
        <v>170</v>
      </c>
      <c r="B154" s="478"/>
      <c r="C154" s="406">
        <v>5000</v>
      </c>
      <c r="D154" s="398"/>
      <c r="E154" s="408"/>
      <c r="F154" s="367"/>
      <c r="G154" s="409">
        <v>110000</v>
      </c>
      <c r="H154" s="410">
        <v>110000</v>
      </c>
      <c r="I154" s="402">
        <v>52610.559999999998</v>
      </c>
      <c r="J154" s="454"/>
      <c r="K154" s="364">
        <v>28000</v>
      </c>
      <c r="L154" s="331">
        <f>28000+10000</f>
        <v>38000</v>
      </c>
      <c r="M154" s="332">
        <v>28668.52</v>
      </c>
      <c r="N154" s="455"/>
      <c r="O154" s="368">
        <v>63000</v>
      </c>
      <c r="P154" s="369">
        <v>40000</v>
      </c>
      <c r="Q154" s="370">
        <f>17213.74+479</f>
        <v>17692.740000000002</v>
      </c>
      <c r="R154" s="463"/>
      <c r="S154" s="372"/>
      <c r="T154" s="472"/>
      <c r="U154" s="374"/>
      <c r="V154" s="375">
        <v>0</v>
      </c>
      <c r="W154" s="376">
        <v>17163.91</v>
      </c>
      <c r="X154" s="367"/>
      <c r="Y154" s="377"/>
      <c r="Z154" s="378">
        <v>0</v>
      </c>
      <c r="AA154" s="379">
        <v>12083.57</v>
      </c>
      <c r="AB154" s="367"/>
      <c r="AC154" s="381"/>
      <c r="AD154" s="382">
        <v>0</v>
      </c>
      <c r="AE154" s="383"/>
      <c r="AG154" s="191"/>
      <c r="AH154" s="191"/>
      <c r="AI154" s="191"/>
      <c r="AJ154" s="191"/>
      <c r="AK154" s="191"/>
      <c r="AL154" s="191"/>
      <c r="AM154" s="191"/>
      <c r="AN154" s="191"/>
      <c r="AO154" s="191"/>
      <c r="AP154" s="191"/>
      <c r="AQ154" s="191"/>
      <c r="AR154" s="191"/>
      <c r="AS154" s="191"/>
      <c r="AT154" s="191"/>
      <c r="AU154" s="191"/>
    </row>
    <row r="155" spans="1:47" s="458" customFormat="1" ht="14.65" collapsed="1" thickBot="1" x14ac:dyDescent="0.5">
      <c r="A155" s="278" t="s">
        <v>171</v>
      </c>
      <c r="B155" s="279"/>
      <c r="C155" s="280">
        <f t="shared" ref="C155:I155" si="31">SUM(C130:C154)</f>
        <v>315700</v>
      </c>
      <c r="D155" s="281">
        <f t="shared" si="31"/>
        <v>410967</v>
      </c>
      <c r="E155" s="282">
        <f t="shared" si="31"/>
        <v>317274.38</v>
      </c>
      <c r="F155" s="283">
        <f t="shared" si="31"/>
        <v>0</v>
      </c>
      <c r="G155" s="284">
        <f t="shared" si="31"/>
        <v>522450</v>
      </c>
      <c r="H155" s="285">
        <f t="shared" si="31"/>
        <v>528572</v>
      </c>
      <c r="I155" s="286">
        <f t="shared" si="31"/>
        <v>323856.47000000003</v>
      </c>
      <c r="J155" s="283"/>
      <c r="K155" s="284">
        <f>SUM(K130:K154)</f>
        <v>163150</v>
      </c>
      <c r="L155" s="285">
        <f>SUM(L130:L154)</f>
        <v>195250</v>
      </c>
      <c r="M155" s="286">
        <f>SUM(M130:M154)</f>
        <v>125103.68000000001</v>
      </c>
      <c r="N155" s="283"/>
      <c r="O155" s="284">
        <f>SUM(O130:O154)</f>
        <v>275830</v>
      </c>
      <c r="P155" s="285">
        <f>SUM(P130:P154)</f>
        <v>217046</v>
      </c>
      <c r="Q155" s="286">
        <f>SUM(Q130:Q154)</f>
        <v>134431.54</v>
      </c>
      <c r="R155" s="283"/>
      <c r="S155" s="285"/>
      <c r="T155" s="285"/>
      <c r="U155" s="284">
        <f>SUM(U130:U154)</f>
        <v>179921</v>
      </c>
      <c r="V155" s="285">
        <f>SUM(V130:V154)</f>
        <v>162621</v>
      </c>
      <c r="W155" s="286">
        <f>SUM(W130:W154)</f>
        <v>146832.51999999999</v>
      </c>
      <c r="X155" s="283"/>
      <c r="Y155" s="284">
        <f>SUM(Y130:Y154)</f>
        <v>460000</v>
      </c>
      <c r="Z155" s="285">
        <f>SUM(Z130:Z154)</f>
        <v>493000</v>
      </c>
      <c r="AA155" s="286">
        <f>SUM(AA130:AA154)</f>
        <v>129684.48999999999</v>
      </c>
      <c r="AB155" s="283"/>
      <c r="AC155" s="284">
        <f>SUM(AC130:AC154)</f>
        <v>390000</v>
      </c>
      <c r="AD155" s="285">
        <f>SUM(AD130:AD154)</f>
        <v>306000</v>
      </c>
      <c r="AE155" s="286">
        <f>SUM(AE130:AE154)</f>
        <v>91761.22</v>
      </c>
      <c r="AG155" s="191"/>
      <c r="AH155" s="191"/>
      <c r="AI155" s="191"/>
      <c r="AJ155" s="191"/>
      <c r="AK155" s="191"/>
      <c r="AL155" s="191"/>
      <c r="AM155" s="191"/>
      <c r="AN155" s="191"/>
      <c r="AO155" s="191"/>
      <c r="AP155" s="191"/>
      <c r="AQ155" s="191"/>
      <c r="AR155" s="191"/>
      <c r="AS155" s="191"/>
      <c r="AT155" s="191"/>
      <c r="AU155" s="191"/>
    </row>
    <row r="156" spans="1:47" s="319" customFormat="1" ht="14.65" hidden="1" outlineLevel="1" thickBot="1" x14ac:dyDescent="0.5">
      <c r="A156" s="479" t="s">
        <v>172</v>
      </c>
      <c r="B156" s="480"/>
      <c r="C156" s="292"/>
      <c r="D156" s="293"/>
      <c r="E156" s="294"/>
      <c r="F156" s="295"/>
      <c r="G156" s="440"/>
      <c r="H156" s="441"/>
      <c r="I156" s="402"/>
      <c r="J156" s="295"/>
      <c r="K156" s="300"/>
      <c r="L156" s="301">
        <v>0</v>
      </c>
      <c r="M156" s="302"/>
      <c r="N156" s="295"/>
      <c r="O156" s="304"/>
      <c r="P156" s="305">
        <v>0</v>
      </c>
      <c r="Q156" s="395"/>
      <c r="R156" s="459"/>
      <c r="S156" s="308"/>
      <c r="T156" s="468"/>
      <c r="U156" s="310">
        <v>5500</v>
      </c>
      <c r="V156" s="311">
        <v>5500</v>
      </c>
      <c r="W156" s="312"/>
      <c r="X156" s="295"/>
      <c r="Y156" s="313">
        <v>80000</v>
      </c>
      <c r="Z156" s="314">
        <f>29000+19068</f>
        <v>48068</v>
      </c>
      <c r="AA156" s="315"/>
      <c r="AB156" s="295"/>
      <c r="AC156" s="316">
        <v>20000</v>
      </c>
      <c r="AD156" s="317">
        <v>20000</v>
      </c>
      <c r="AE156" s="318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</row>
    <row r="157" spans="1:47" s="319" customFormat="1" ht="14.65" hidden="1" outlineLevel="1" thickBot="1" x14ac:dyDescent="0.5">
      <c r="A157" s="320" t="s">
        <v>173</v>
      </c>
      <c r="B157" s="321"/>
      <c r="C157" s="397"/>
      <c r="D157" s="398"/>
      <c r="E157" s="399"/>
      <c r="F157" s="343"/>
      <c r="G157" s="401">
        <v>32000</v>
      </c>
      <c r="H157" s="402">
        <v>32000</v>
      </c>
      <c r="I157" s="402">
        <v>12381</v>
      </c>
      <c r="J157" s="329"/>
      <c r="K157" s="330"/>
      <c r="L157" s="331">
        <v>0</v>
      </c>
      <c r="M157" s="332"/>
      <c r="N157" s="343"/>
      <c r="O157" s="334">
        <v>34000</v>
      </c>
      <c r="P157" s="335">
        <v>34000</v>
      </c>
      <c r="Q157" s="336">
        <v>13850</v>
      </c>
      <c r="R157" s="461"/>
      <c r="S157" s="338"/>
      <c r="T157" s="469"/>
      <c r="U157" s="340"/>
      <c r="V157" s="341">
        <v>0</v>
      </c>
      <c r="W157" s="342"/>
      <c r="X157" s="343"/>
      <c r="Y157" s="344"/>
      <c r="Z157" s="345">
        <v>0</v>
      </c>
      <c r="AA157" s="346"/>
      <c r="AB157" s="343"/>
      <c r="AC157" s="347"/>
      <c r="AD157" s="348">
        <v>0</v>
      </c>
      <c r="AE157" s="349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</row>
    <row r="158" spans="1:47" s="319" customFormat="1" ht="14.65" hidden="1" outlineLevel="1" thickBot="1" x14ac:dyDescent="0.5">
      <c r="A158" s="446" t="s">
        <v>174</v>
      </c>
      <c r="B158" s="447"/>
      <c r="C158" s="397"/>
      <c r="D158" s="398"/>
      <c r="E158" s="399"/>
      <c r="F158" s="343"/>
      <c r="G158" s="401">
        <v>275000</v>
      </c>
      <c r="H158" s="402">
        <v>275000</v>
      </c>
      <c r="I158" s="402">
        <v>132945.79999999999</v>
      </c>
      <c r="J158" s="329"/>
      <c r="K158" s="330">
        <v>66000</v>
      </c>
      <c r="L158" s="331">
        <v>66000</v>
      </c>
      <c r="M158" s="332">
        <v>34650.69</v>
      </c>
      <c r="N158" s="333"/>
      <c r="O158" s="334">
        <v>70000</v>
      </c>
      <c r="P158" s="335">
        <v>70000</v>
      </c>
      <c r="Q158" s="336">
        <f>35568+8568</f>
        <v>44136</v>
      </c>
      <c r="R158" s="461"/>
      <c r="S158" s="338"/>
      <c r="T158" s="469"/>
      <c r="U158" s="340"/>
      <c r="V158" s="341">
        <v>0</v>
      </c>
      <c r="W158" s="342"/>
      <c r="X158" s="343"/>
      <c r="Y158" s="344">
        <v>338000</v>
      </c>
      <c r="Z158" s="345">
        <v>380000</v>
      </c>
      <c r="AA158" s="346"/>
      <c r="AB158" s="343"/>
      <c r="AC158" s="347">
        <v>150000</v>
      </c>
      <c r="AD158" s="348">
        <v>292380</v>
      </c>
      <c r="AE158" s="349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</row>
    <row r="159" spans="1:47" s="319" customFormat="1" ht="14.65" hidden="1" outlineLevel="1" thickBot="1" x14ac:dyDescent="0.5">
      <c r="A159" s="446" t="s">
        <v>175</v>
      </c>
      <c r="B159" s="447"/>
      <c r="C159" s="397"/>
      <c r="D159" s="398"/>
      <c r="E159" s="399"/>
      <c r="F159" s="343"/>
      <c r="G159" s="401">
        <v>7000</v>
      </c>
      <c r="H159" s="402">
        <v>7000</v>
      </c>
      <c r="I159" s="402">
        <v>755.52</v>
      </c>
      <c r="J159" s="329"/>
      <c r="K159" s="330">
        <v>5500</v>
      </c>
      <c r="L159" s="331">
        <f>5500+5000</f>
        <v>10500</v>
      </c>
      <c r="M159" s="332">
        <v>5820.11</v>
      </c>
      <c r="N159" s="333"/>
      <c r="O159" s="334">
        <v>2100</v>
      </c>
      <c r="P159" s="335">
        <v>2100</v>
      </c>
      <c r="Q159" s="336">
        <v>1679.32</v>
      </c>
      <c r="R159" s="461"/>
      <c r="S159" s="338"/>
      <c r="T159" s="469"/>
      <c r="U159" s="340"/>
      <c r="V159" s="341">
        <v>0</v>
      </c>
      <c r="W159" s="342"/>
      <c r="X159" s="343"/>
      <c r="Y159" s="344"/>
      <c r="Z159" s="345">
        <v>0</v>
      </c>
      <c r="AA159" s="346"/>
      <c r="AB159" s="343"/>
      <c r="AC159" s="347"/>
      <c r="AD159" s="348">
        <v>0</v>
      </c>
      <c r="AE159" s="349"/>
      <c r="AG159" s="191"/>
      <c r="AH159" s="191"/>
      <c r="AI159" s="191"/>
      <c r="AJ159" s="191"/>
      <c r="AK159" s="191"/>
      <c r="AL159" s="191"/>
      <c r="AM159" s="191"/>
      <c r="AN159" s="191"/>
      <c r="AO159" s="191"/>
      <c r="AP159" s="191"/>
      <c r="AQ159" s="191"/>
      <c r="AR159" s="191"/>
      <c r="AS159" s="191"/>
      <c r="AT159" s="191"/>
      <c r="AU159" s="191"/>
    </row>
    <row r="160" spans="1:47" s="319" customFormat="1" ht="14.65" hidden="1" outlineLevel="1" thickBot="1" x14ac:dyDescent="0.5">
      <c r="A160" s="446" t="s">
        <v>176</v>
      </c>
      <c r="B160" s="447"/>
      <c r="C160" s="397"/>
      <c r="D160" s="398"/>
      <c r="E160" s="399"/>
      <c r="F160" s="343"/>
      <c r="G160" s="401">
        <v>25000</v>
      </c>
      <c r="H160" s="402">
        <v>25000</v>
      </c>
      <c r="I160" s="402">
        <v>18078.96</v>
      </c>
      <c r="J160" s="329"/>
      <c r="K160" s="330">
        <v>5750</v>
      </c>
      <c r="L160" s="331">
        <v>5750</v>
      </c>
      <c r="M160" s="332">
        <v>2001.73</v>
      </c>
      <c r="N160" s="333"/>
      <c r="O160" s="334">
        <v>6000</v>
      </c>
      <c r="P160" s="335">
        <v>6000</v>
      </c>
      <c r="Q160" s="336">
        <v>1047.96</v>
      </c>
      <c r="R160" s="461"/>
      <c r="S160" s="338"/>
      <c r="T160" s="469"/>
      <c r="U160" s="340"/>
      <c r="V160" s="341">
        <v>0</v>
      </c>
      <c r="W160" s="342"/>
      <c r="X160" s="343"/>
      <c r="Y160" s="344"/>
      <c r="Z160" s="345">
        <v>0</v>
      </c>
      <c r="AA160" s="346"/>
      <c r="AB160" s="343"/>
      <c r="AC160" s="347"/>
      <c r="AD160" s="348">
        <v>0</v>
      </c>
      <c r="AE160" s="349"/>
      <c r="AG160" s="191"/>
      <c r="AH160" s="191"/>
      <c r="AI160" s="191"/>
      <c r="AJ160" s="191"/>
      <c r="AK160" s="191"/>
      <c r="AL160" s="191"/>
      <c r="AM160" s="191"/>
      <c r="AN160" s="191"/>
      <c r="AO160" s="191"/>
      <c r="AP160" s="191"/>
      <c r="AQ160" s="191"/>
      <c r="AR160" s="191"/>
      <c r="AS160" s="191"/>
      <c r="AT160" s="191"/>
      <c r="AU160" s="191"/>
    </row>
    <row r="161" spans="1:47" s="319" customFormat="1" ht="14.65" hidden="1" outlineLevel="1" thickBot="1" x14ac:dyDescent="0.5">
      <c r="A161" s="446" t="s">
        <v>177</v>
      </c>
      <c r="B161" s="447"/>
      <c r="C161" s="397"/>
      <c r="D161" s="398"/>
      <c r="E161" s="399"/>
      <c r="F161" s="343"/>
      <c r="G161" s="401">
        <v>1500</v>
      </c>
      <c r="H161" s="402">
        <f>1500+5000+10000</f>
        <v>16500</v>
      </c>
      <c r="I161" s="402">
        <v>16629.84</v>
      </c>
      <c r="J161" s="329"/>
      <c r="K161" s="330">
        <v>4400</v>
      </c>
      <c r="L161" s="332"/>
      <c r="M161" s="332"/>
      <c r="N161" s="343"/>
      <c r="O161" s="334"/>
      <c r="P161" s="335">
        <v>0</v>
      </c>
      <c r="Q161" s="336">
        <v>3593.03</v>
      </c>
      <c r="R161" s="461"/>
      <c r="S161" s="338"/>
      <c r="T161" s="469"/>
      <c r="U161" s="340"/>
      <c r="V161" s="341">
        <v>0</v>
      </c>
      <c r="W161" s="342"/>
      <c r="X161" s="343"/>
      <c r="Y161" s="344"/>
      <c r="Z161" s="345">
        <v>0</v>
      </c>
      <c r="AA161" s="346"/>
      <c r="AB161" s="343"/>
      <c r="AC161" s="347"/>
      <c r="AD161" s="348">
        <v>0</v>
      </c>
      <c r="AE161" s="349"/>
      <c r="AG161" s="191"/>
      <c r="AH161" s="191"/>
      <c r="AI161" s="191"/>
      <c r="AJ161" s="191"/>
      <c r="AK161" s="191"/>
      <c r="AL161" s="191"/>
      <c r="AM161" s="191"/>
      <c r="AN161" s="191"/>
      <c r="AO161" s="191"/>
      <c r="AP161" s="191"/>
      <c r="AQ161" s="191"/>
      <c r="AR161" s="191"/>
      <c r="AS161" s="191"/>
      <c r="AT161" s="191"/>
      <c r="AU161" s="191"/>
    </row>
    <row r="162" spans="1:47" s="319" customFormat="1" ht="14.65" hidden="1" outlineLevel="1" thickBot="1" x14ac:dyDescent="0.5">
      <c r="A162" s="446" t="s">
        <v>178</v>
      </c>
      <c r="B162" s="447"/>
      <c r="C162" s="397"/>
      <c r="D162" s="398"/>
      <c r="E162" s="399"/>
      <c r="F162" s="343"/>
      <c r="G162" s="401"/>
      <c r="H162" s="402"/>
      <c r="I162" s="402"/>
      <c r="J162" s="343"/>
      <c r="K162" s="330">
        <v>8000</v>
      </c>
      <c r="L162" s="332">
        <f>8000-3000</f>
        <v>5000</v>
      </c>
      <c r="M162" s="332">
        <v>877.95</v>
      </c>
      <c r="N162" s="333"/>
      <c r="O162" s="334">
        <v>45000</v>
      </c>
      <c r="P162" s="335">
        <v>20000</v>
      </c>
      <c r="Q162" s="336">
        <v>2642.22</v>
      </c>
      <c r="R162" s="461"/>
      <c r="S162" s="338"/>
      <c r="T162" s="469"/>
      <c r="U162" s="340"/>
      <c r="V162" s="341">
        <v>0</v>
      </c>
      <c r="W162" s="342"/>
      <c r="X162" s="343"/>
      <c r="Y162" s="344"/>
      <c r="Z162" s="345">
        <v>0</v>
      </c>
      <c r="AA162" s="346"/>
      <c r="AB162" s="343"/>
      <c r="AC162" s="347"/>
      <c r="AD162" s="348">
        <v>0</v>
      </c>
      <c r="AE162" s="349"/>
      <c r="AG162" s="191"/>
      <c r="AH162" s="191"/>
      <c r="AI162" s="191"/>
      <c r="AJ162" s="191"/>
      <c r="AK162" s="191"/>
      <c r="AL162" s="191"/>
      <c r="AM162" s="191"/>
      <c r="AN162" s="191"/>
      <c r="AO162" s="191"/>
      <c r="AP162" s="191"/>
      <c r="AQ162" s="191"/>
      <c r="AR162" s="191"/>
      <c r="AS162" s="191"/>
      <c r="AT162" s="191"/>
      <c r="AU162" s="191"/>
    </row>
    <row r="163" spans="1:47" s="319" customFormat="1" ht="14.65" hidden="1" outlineLevel="1" thickBot="1" x14ac:dyDescent="0.5">
      <c r="A163" s="320" t="s">
        <v>179</v>
      </c>
      <c r="B163" s="476" t="s">
        <v>180</v>
      </c>
      <c r="C163" s="397"/>
      <c r="D163" s="398"/>
      <c r="E163" s="399"/>
      <c r="F163" s="343"/>
      <c r="G163" s="401">
        <v>40000</v>
      </c>
      <c r="H163" s="402">
        <v>40000</v>
      </c>
      <c r="I163" s="402">
        <f>27608.99+31655</f>
        <v>59263.990000000005</v>
      </c>
      <c r="J163" s="329"/>
      <c r="K163" s="330">
        <v>10000</v>
      </c>
      <c r="L163" s="332">
        <f>10000+3000</f>
        <v>13000</v>
      </c>
      <c r="M163" s="332">
        <f>13328.66</f>
        <v>13328.66</v>
      </c>
      <c r="N163" s="333"/>
      <c r="O163" s="334">
        <v>10000</v>
      </c>
      <c r="P163" s="335">
        <v>10000</v>
      </c>
      <c r="Q163" s="336">
        <f>40689.56+450</f>
        <v>41139.56</v>
      </c>
      <c r="R163" s="461"/>
      <c r="S163" s="338"/>
      <c r="T163" s="469"/>
      <c r="U163" s="340"/>
      <c r="V163" s="341">
        <v>0</v>
      </c>
      <c r="W163" s="342"/>
      <c r="X163" s="343"/>
      <c r="Y163" s="344"/>
      <c r="Z163" s="345">
        <v>0</v>
      </c>
      <c r="AA163" s="346">
        <v>115.02</v>
      </c>
      <c r="AB163" s="343"/>
      <c r="AC163" s="347"/>
      <c r="AD163" s="348">
        <v>0</v>
      </c>
      <c r="AE163" s="349">
        <v>2000</v>
      </c>
      <c r="AG163" s="191"/>
      <c r="AH163" s="191"/>
      <c r="AI163" s="191"/>
      <c r="AJ163" s="191"/>
      <c r="AK163" s="191"/>
      <c r="AL163" s="191"/>
      <c r="AM163" s="191"/>
      <c r="AN163" s="191"/>
      <c r="AO163" s="191"/>
      <c r="AP163" s="191"/>
      <c r="AQ163" s="191"/>
      <c r="AR163" s="191"/>
      <c r="AS163" s="191"/>
      <c r="AT163" s="191"/>
      <c r="AU163" s="191"/>
    </row>
    <row r="164" spans="1:47" s="319" customFormat="1" ht="14.65" hidden="1" outlineLevel="1" thickBot="1" x14ac:dyDescent="0.5">
      <c r="A164" s="320" t="s">
        <v>181</v>
      </c>
      <c r="B164" s="321"/>
      <c r="C164" s="397"/>
      <c r="D164" s="398"/>
      <c r="E164" s="399"/>
      <c r="F164" s="343"/>
      <c r="G164" s="401">
        <f>824284+540000</f>
        <v>1364284</v>
      </c>
      <c r="H164" s="402">
        <f>824260+377488+529145</f>
        <v>1730893</v>
      </c>
      <c r="I164" s="402">
        <f>207428.04+379565.31+188993.74</f>
        <v>775987.09</v>
      </c>
      <c r="J164" s="329"/>
      <c r="K164" s="330">
        <v>250000</v>
      </c>
      <c r="L164" s="331">
        <v>286562.52</v>
      </c>
      <c r="M164" s="332">
        <v>120151.05</v>
      </c>
      <c r="N164" s="333"/>
      <c r="O164" s="334">
        <v>531831</v>
      </c>
      <c r="P164" s="335">
        <f>'[1]Leases &amp; Debt'!I15</f>
        <v>522035</v>
      </c>
      <c r="Q164" s="336">
        <v>217514.8</v>
      </c>
      <c r="R164" s="461"/>
      <c r="S164" s="338"/>
      <c r="T164" s="469"/>
      <c r="U164" s="340"/>
      <c r="V164" s="341">
        <v>0</v>
      </c>
      <c r="W164" s="342"/>
      <c r="X164" s="343"/>
      <c r="Y164" s="344"/>
      <c r="Z164" s="345">
        <v>0</v>
      </c>
      <c r="AA164" s="346"/>
      <c r="AB164" s="343"/>
      <c r="AC164" s="347"/>
      <c r="AD164" s="348">
        <v>0</v>
      </c>
      <c r="AE164" s="349"/>
      <c r="AG164" s="191"/>
      <c r="AH164" s="191"/>
      <c r="AI164" s="191"/>
      <c r="AJ164" s="191"/>
      <c r="AK164" s="191"/>
      <c r="AL164" s="191"/>
      <c r="AM164" s="191"/>
      <c r="AN164" s="191"/>
      <c r="AO164" s="191"/>
      <c r="AP164" s="191"/>
      <c r="AQ164" s="191"/>
      <c r="AR164" s="191"/>
      <c r="AS164" s="191"/>
      <c r="AT164" s="191"/>
      <c r="AU164" s="191"/>
    </row>
    <row r="165" spans="1:47" s="319" customFormat="1" ht="14.65" hidden="1" outlineLevel="1" thickBot="1" x14ac:dyDescent="0.5">
      <c r="A165" s="320" t="s">
        <v>182</v>
      </c>
      <c r="B165" s="321"/>
      <c r="C165" s="397"/>
      <c r="D165" s="398"/>
      <c r="E165" s="399"/>
      <c r="F165" s="343"/>
      <c r="G165" s="401">
        <f>288000+373000</f>
        <v>661000</v>
      </c>
      <c r="H165" s="402">
        <v>325000</v>
      </c>
      <c r="I165" s="402">
        <f>4185.74+271547.26</f>
        <v>275733</v>
      </c>
      <c r="J165" s="329"/>
      <c r="K165" s="330">
        <v>0</v>
      </c>
      <c r="L165" s="331">
        <v>0</v>
      </c>
      <c r="M165" s="332"/>
      <c r="N165" s="343"/>
      <c r="O165" s="334"/>
      <c r="P165" s="335">
        <f>'[1]Leases &amp; Debt'!I16</f>
        <v>117372</v>
      </c>
      <c r="Q165" s="336">
        <f>15869.09+23254.91</f>
        <v>39124</v>
      </c>
      <c r="R165" s="461"/>
      <c r="S165" s="338"/>
      <c r="T165" s="469"/>
      <c r="U165" s="340"/>
      <c r="V165" s="341">
        <v>0</v>
      </c>
      <c r="W165" s="342"/>
      <c r="X165" s="343"/>
      <c r="Y165" s="344"/>
      <c r="Z165" s="345">
        <v>0</v>
      </c>
      <c r="AA165" s="346"/>
      <c r="AB165" s="343"/>
      <c r="AC165" s="347"/>
      <c r="AD165" s="348">
        <v>0</v>
      </c>
      <c r="AE165" s="349"/>
      <c r="AG165" s="191"/>
      <c r="AH165" s="191"/>
      <c r="AI165" s="191"/>
      <c r="AJ165" s="191"/>
      <c r="AK165" s="191"/>
      <c r="AL165" s="191"/>
      <c r="AM165" s="191"/>
      <c r="AN165" s="191"/>
      <c r="AO165" s="191"/>
      <c r="AP165" s="191"/>
      <c r="AQ165" s="191"/>
      <c r="AR165" s="191"/>
      <c r="AS165" s="191"/>
      <c r="AT165" s="191"/>
      <c r="AU165" s="191"/>
    </row>
    <row r="166" spans="1:47" s="319" customFormat="1" ht="14.65" hidden="1" outlineLevel="1" thickBot="1" x14ac:dyDescent="0.5">
      <c r="A166" s="477" t="s">
        <v>183</v>
      </c>
      <c r="B166" s="478"/>
      <c r="C166" s="406">
        <v>100000</v>
      </c>
      <c r="D166" s="398">
        <f>100000-50000</f>
        <v>50000</v>
      </c>
      <c r="E166" s="408">
        <f>41560.9</f>
        <v>41560.9</v>
      </c>
      <c r="F166" s="367"/>
      <c r="G166" s="409"/>
      <c r="H166" s="409">
        <v>10000</v>
      </c>
      <c r="I166" s="402">
        <v>16761.009999999998</v>
      </c>
      <c r="J166" s="454"/>
      <c r="K166" s="364">
        <v>6100</v>
      </c>
      <c r="L166" s="365">
        <v>10661.01</v>
      </c>
      <c r="M166" s="366">
        <v>437.17</v>
      </c>
      <c r="N166" s="367"/>
      <c r="O166" s="368">
        <v>0</v>
      </c>
      <c r="P166" s="369">
        <v>5587.003333333334</v>
      </c>
      <c r="Q166" s="370">
        <v>532.91</v>
      </c>
      <c r="R166" s="371"/>
      <c r="S166" s="372"/>
      <c r="T166" s="373"/>
      <c r="U166" s="374">
        <v>0</v>
      </c>
      <c r="V166" s="375">
        <v>16761.010000000002</v>
      </c>
      <c r="W166" s="376"/>
      <c r="X166" s="367"/>
      <c r="Y166" s="377"/>
      <c r="Z166" s="378">
        <v>0</v>
      </c>
      <c r="AA166" s="379"/>
      <c r="AB166" s="367"/>
      <c r="AC166" s="381"/>
      <c r="AD166" s="382">
        <v>0</v>
      </c>
      <c r="AE166" s="383"/>
      <c r="AG166" s="191"/>
      <c r="AH166" s="191"/>
      <c r="AI166" s="191"/>
      <c r="AJ166" s="191"/>
      <c r="AK166" s="191"/>
      <c r="AL166" s="191"/>
      <c r="AM166" s="191"/>
      <c r="AN166" s="191"/>
      <c r="AO166" s="191"/>
      <c r="AP166" s="191"/>
      <c r="AQ166" s="191"/>
      <c r="AR166" s="191"/>
      <c r="AS166" s="191"/>
      <c r="AT166" s="191"/>
      <c r="AU166" s="191"/>
    </row>
    <row r="167" spans="1:47" s="458" customFormat="1" ht="14.65" collapsed="1" thickBot="1" x14ac:dyDescent="0.5">
      <c r="A167" s="414" t="s">
        <v>184</v>
      </c>
      <c r="B167" s="415"/>
      <c r="C167" s="416">
        <f>SUM(C156:C166)</f>
        <v>100000</v>
      </c>
      <c r="D167" s="417">
        <f t="shared" ref="D167:I167" si="32">SUM(D156:D166)</f>
        <v>50000</v>
      </c>
      <c r="E167" s="418">
        <f t="shared" si="32"/>
        <v>41560.9</v>
      </c>
      <c r="F167" s="467">
        <f t="shared" si="32"/>
        <v>0</v>
      </c>
      <c r="G167" s="420">
        <f t="shared" si="32"/>
        <v>2405784</v>
      </c>
      <c r="H167" s="421">
        <f t="shared" si="32"/>
        <v>2461393</v>
      </c>
      <c r="I167" s="422">
        <f t="shared" si="32"/>
        <v>1308536.21</v>
      </c>
      <c r="J167" s="467"/>
      <c r="K167" s="420">
        <f t="shared" ref="K167:M167" si="33">SUM(K156:K166)</f>
        <v>355750</v>
      </c>
      <c r="L167" s="421">
        <f t="shared" si="33"/>
        <v>397473.53</v>
      </c>
      <c r="M167" s="422">
        <f t="shared" si="33"/>
        <v>177267.36000000002</v>
      </c>
      <c r="N167" s="467"/>
      <c r="O167" s="420">
        <f t="shared" ref="O167:Q167" si="34">SUM(O156:O166)</f>
        <v>698931</v>
      </c>
      <c r="P167" s="421">
        <f t="shared" si="34"/>
        <v>787094.0033333333</v>
      </c>
      <c r="Q167" s="422">
        <f t="shared" si="34"/>
        <v>365259.8</v>
      </c>
      <c r="R167" s="467"/>
      <c r="S167" s="421"/>
      <c r="T167" s="421"/>
      <c r="U167" s="420">
        <f t="shared" ref="U167:W167" si="35">SUM(U156:U166)</f>
        <v>5500</v>
      </c>
      <c r="V167" s="421">
        <f t="shared" si="35"/>
        <v>22261.010000000002</v>
      </c>
      <c r="W167" s="422">
        <f t="shared" si="35"/>
        <v>0</v>
      </c>
      <c r="X167" s="467"/>
      <c r="Y167" s="420">
        <f t="shared" ref="Y167:AA167" si="36">SUM(Y156:Y166)</f>
        <v>418000</v>
      </c>
      <c r="Z167" s="421">
        <f t="shared" si="36"/>
        <v>428068</v>
      </c>
      <c r="AA167" s="422">
        <f t="shared" si="36"/>
        <v>115.02</v>
      </c>
      <c r="AB167" s="467"/>
      <c r="AC167" s="420">
        <f t="shared" ref="AC167:AE167" si="37">SUM(AC156:AC166)</f>
        <v>170000</v>
      </c>
      <c r="AD167" s="421">
        <f t="shared" si="37"/>
        <v>312380</v>
      </c>
      <c r="AE167" s="422">
        <f t="shared" si="37"/>
        <v>2000</v>
      </c>
      <c r="AG167" s="191"/>
      <c r="AH167" s="191"/>
      <c r="AI167" s="191"/>
      <c r="AJ167" s="191"/>
      <c r="AK167" s="191"/>
      <c r="AL167" s="191"/>
      <c r="AM167" s="191"/>
      <c r="AN167" s="191"/>
      <c r="AO167" s="191"/>
      <c r="AP167" s="191"/>
      <c r="AQ167" s="191"/>
      <c r="AR167" s="191"/>
      <c r="AS167" s="191"/>
      <c r="AT167" s="191"/>
      <c r="AU167" s="191"/>
    </row>
    <row r="168" spans="1:47" s="434" customFormat="1" ht="18.399999999999999" thickBot="1" x14ac:dyDescent="0.6">
      <c r="A168" s="481" t="s">
        <v>185</v>
      </c>
      <c r="B168" s="482"/>
      <c r="C168" s="483">
        <f t="shared" ref="C168:I168" si="38">C167+C155+C129+C89+C76</f>
        <v>5679464</v>
      </c>
      <c r="D168" s="484">
        <f t="shared" si="38"/>
        <v>6689062.1200000001</v>
      </c>
      <c r="E168" s="485">
        <f t="shared" si="38"/>
        <v>2974204.04</v>
      </c>
      <c r="F168" s="486">
        <f t="shared" si="38"/>
        <v>0</v>
      </c>
      <c r="G168" s="482">
        <f t="shared" si="38"/>
        <v>12670356</v>
      </c>
      <c r="H168" s="487">
        <f t="shared" si="38"/>
        <v>12298913.054000001</v>
      </c>
      <c r="I168" s="488">
        <f t="shared" si="38"/>
        <v>5659979.7200000007</v>
      </c>
      <c r="J168" s="486"/>
      <c r="K168" s="482">
        <f>K167+K155+K129+K89+K76</f>
        <v>3061232</v>
      </c>
      <c r="L168" s="487">
        <f>L167+L155+L129+L89+L76</f>
        <v>3469174.4676000001</v>
      </c>
      <c r="M168" s="488">
        <f>M167+M155+M129+M89+M76</f>
        <v>1360959.6</v>
      </c>
      <c r="N168" s="486"/>
      <c r="O168" s="482">
        <f>O167+O155+O129+O89+O76</f>
        <v>5134976</v>
      </c>
      <c r="P168" s="487">
        <f>P167+P155+P129+P89+P76</f>
        <v>4663215.8761333339</v>
      </c>
      <c r="Q168" s="488">
        <f>Q167+Q155+Q129+Q89+Q76</f>
        <v>2037929.2799999998</v>
      </c>
      <c r="R168" s="486"/>
      <c r="S168" s="487"/>
      <c r="T168" s="487"/>
      <c r="U168" s="482">
        <f>U167+U155+U129+U89+U76</f>
        <v>5421862</v>
      </c>
      <c r="V168" s="487">
        <f>V167+V155+V129+V89+V76</f>
        <v>5967624.9641558956</v>
      </c>
      <c r="W168" s="488">
        <f>W167+W155+W129+W89+W76</f>
        <v>1653273.76</v>
      </c>
      <c r="X168" s="486"/>
      <c r="Y168" s="482">
        <f>Y167+Y155+Y129+Y89+Y76</f>
        <v>15795777</v>
      </c>
      <c r="Z168" s="487">
        <f>Z167+Z155+Z129+Z89+Z76</f>
        <v>16901295.173343338</v>
      </c>
      <c r="AA168" s="488">
        <f>AA167+AA155+AA129+AA89+AA76</f>
        <v>3418158.54</v>
      </c>
      <c r="AB168" s="486"/>
      <c r="AC168" s="482">
        <f>AC167+AC155+AC129+AC89+AC76</f>
        <v>5334360</v>
      </c>
      <c r="AD168" s="487">
        <f>AD167+AD155+AD129+AD89+AD76</f>
        <v>5509169.4825602835</v>
      </c>
      <c r="AE168" s="488">
        <f>AE167+AE155+AE129+AE89+AE76</f>
        <v>1602454.45</v>
      </c>
      <c r="AG168" s="435"/>
      <c r="AH168" s="435"/>
      <c r="AI168" s="435"/>
      <c r="AJ168" s="435"/>
      <c r="AK168" s="435"/>
      <c r="AL168" s="435"/>
      <c r="AM168" s="435"/>
      <c r="AN168" s="435"/>
      <c r="AO168" s="435"/>
      <c r="AP168" s="435"/>
      <c r="AQ168" s="435"/>
      <c r="AR168" s="435"/>
      <c r="AS168" s="435"/>
      <c r="AT168" s="435"/>
      <c r="AU168" s="435"/>
    </row>
    <row r="169" spans="1:47" s="500" customFormat="1" ht="7.5" customHeight="1" x14ac:dyDescent="0.5">
      <c r="A169" s="489"/>
      <c r="B169" s="490"/>
      <c r="C169" s="491"/>
      <c r="D169" s="492"/>
      <c r="E169" s="493"/>
      <c r="F169" s="494"/>
      <c r="G169" s="495"/>
      <c r="H169" s="496"/>
      <c r="I169" s="497"/>
      <c r="J169" s="494"/>
      <c r="K169" s="495"/>
      <c r="L169" s="496"/>
      <c r="M169" s="497"/>
      <c r="N169" s="494"/>
      <c r="O169" s="495"/>
      <c r="P169" s="496"/>
      <c r="Q169" s="497"/>
      <c r="R169" s="497"/>
      <c r="S169" s="496"/>
      <c r="T169" s="498"/>
      <c r="U169" s="495"/>
      <c r="V169" s="496"/>
      <c r="W169" s="497"/>
      <c r="X169" s="494"/>
      <c r="Y169" s="495"/>
      <c r="Z169" s="496"/>
      <c r="AA169" s="497"/>
      <c r="AB169" s="494"/>
      <c r="AC169" s="495"/>
      <c r="AD169" s="496"/>
      <c r="AE169" s="499"/>
      <c r="AG169" s="435"/>
      <c r="AH169" s="435"/>
      <c r="AI169" s="435"/>
      <c r="AJ169" s="435"/>
      <c r="AK169" s="435"/>
      <c r="AL169" s="435"/>
      <c r="AM169" s="435"/>
      <c r="AN169" s="435"/>
      <c r="AO169" s="435"/>
      <c r="AP169" s="435"/>
      <c r="AQ169" s="435"/>
      <c r="AR169" s="435"/>
      <c r="AS169" s="435"/>
      <c r="AT169" s="435"/>
      <c r="AU169" s="435"/>
    </row>
    <row r="170" spans="1:47" s="525" customFormat="1" ht="15.75" x14ac:dyDescent="0.5">
      <c r="A170" s="501" t="s">
        <v>186</v>
      </c>
      <c r="B170" s="502"/>
      <c r="C170" s="503">
        <f>C54-C168</f>
        <v>370536</v>
      </c>
      <c r="D170" s="504">
        <f>D54-D168</f>
        <v>215429.84245951846</v>
      </c>
      <c r="E170" s="504">
        <f>E54-E168</f>
        <v>-557828.33000000007</v>
      </c>
      <c r="F170" s="505"/>
      <c r="G170" s="352">
        <f>G54-G168</f>
        <v>1497375</v>
      </c>
      <c r="H170" s="506">
        <f>H54-H168</f>
        <v>45659.046000000089</v>
      </c>
      <c r="I170" s="507">
        <f>I54-I168</f>
        <v>345545.53999999911</v>
      </c>
      <c r="J170" s="505"/>
      <c r="K170" s="508">
        <f>K54-K168</f>
        <v>66375</v>
      </c>
      <c r="L170" s="509">
        <f>L54-L168</f>
        <v>57195.272400000133</v>
      </c>
      <c r="M170" s="510">
        <f>M54-M168</f>
        <v>-336378.36</v>
      </c>
      <c r="N170" s="505"/>
      <c r="O170" s="511">
        <f>O54-O168</f>
        <v>69422</v>
      </c>
      <c r="P170" s="512">
        <f>P54-P168</f>
        <v>575.04386666603386</v>
      </c>
      <c r="Q170" s="512">
        <f>Q54-Q168</f>
        <v>10634.490000000224</v>
      </c>
      <c r="R170" s="513"/>
      <c r="S170" s="514"/>
      <c r="T170" s="515"/>
      <c r="U170" s="516">
        <f>U54-U168</f>
        <v>50672</v>
      </c>
      <c r="V170" s="517">
        <f>V54-V168</f>
        <v>65972.713966374286</v>
      </c>
      <c r="W170" s="518">
        <f>W54-W168</f>
        <v>101759.28000000003</v>
      </c>
      <c r="X170" s="505"/>
      <c r="Y170" s="519">
        <f>Y54-Y168</f>
        <v>1759091</v>
      </c>
      <c r="Z170" s="520">
        <f>Z54-Z168</f>
        <v>1546480.1663868539</v>
      </c>
      <c r="AA170" s="521">
        <f>AA54-AA168</f>
        <v>3087603.76</v>
      </c>
      <c r="AB170" s="505"/>
      <c r="AC170" s="522">
        <f>AC54-AC168</f>
        <v>481619</v>
      </c>
      <c r="AD170" s="523">
        <f>AD54-AD168</f>
        <v>49765.599443262443</v>
      </c>
      <c r="AE170" s="524">
        <f>AE54-AE168</f>
        <v>-223584.03000000003</v>
      </c>
      <c r="AG170" s="435"/>
      <c r="AH170" s="435"/>
      <c r="AI170" s="435"/>
      <c r="AJ170" s="435"/>
      <c r="AK170" s="435"/>
      <c r="AL170" s="435"/>
      <c r="AM170" s="435"/>
      <c r="AN170" s="435"/>
      <c r="AO170" s="435"/>
      <c r="AP170" s="435"/>
      <c r="AQ170" s="435"/>
      <c r="AR170" s="435"/>
      <c r="AS170" s="435"/>
      <c r="AT170" s="435"/>
      <c r="AU170" s="435"/>
    </row>
    <row r="171" spans="1:47" s="445" customFormat="1" x14ac:dyDescent="0.45">
      <c r="A171" s="526" t="s">
        <v>187</v>
      </c>
      <c r="B171" s="527"/>
      <c r="C171" s="528">
        <v>200000</v>
      </c>
      <c r="D171" s="529"/>
      <c r="E171" s="530"/>
      <c r="F171" s="531"/>
      <c r="G171" s="352">
        <v>1823958</v>
      </c>
      <c r="H171" s="506">
        <v>2375688</v>
      </c>
      <c r="I171" s="507"/>
      <c r="J171" s="505"/>
      <c r="K171" s="532">
        <v>280209</v>
      </c>
      <c r="L171" s="533">
        <v>97564</v>
      </c>
      <c r="M171" s="534"/>
      <c r="N171" s="531"/>
      <c r="O171" s="535">
        <v>262137</v>
      </c>
      <c r="P171" s="536">
        <v>277227</v>
      </c>
      <c r="Q171" s="537"/>
      <c r="R171" s="337"/>
      <c r="S171" s="449"/>
      <c r="T171" s="450"/>
      <c r="U171" s="538">
        <v>441727</v>
      </c>
      <c r="V171" s="539"/>
      <c r="W171" s="540"/>
      <c r="X171" s="531"/>
      <c r="Y171" s="541">
        <v>1110185</v>
      </c>
      <c r="Z171" s="542">
        <v>966984</v>
      </c>
      <c r="AA171" s="543"/>
      <c r="AB171" s="531"/>
      <c r="AC171" s="544">
        <f>'[1]Mendez FY23-FY27 Budget'!D161</f>
        <v>0</v>
      </c>
      <c r="AD171" s="545">
        <f>'[1]Mendez FY23-FY27 Budget'!D161</f>
        <v>0</v>
      </c>
      <c r="AE171" s="546">
        <v>0</v>
      </c>
      <c r="AG171" s="191"/>
      <c r="AH171" s="191"/>
      <c r="AI171" s="191"/>
      <c r="AJ171" s="191"/>
      <c r="AK171" s="191"/>
      <c r="AL171" s="191"/>
      <c r="AM171" s="191"/>
      <c r="AN171" s="191"/>
      <c r="AO171" s="191"/>
      <c r="AP171" s="191"/>
      <c r="AQ171" s="191"/>
      <c r="AR171" s="191"/>
      <c r="AS171" s="191"/>
      <c r="AT171" s="191"/>
      <c r="AU171" s="191"/>
    </row>
    <row r="172" spans="1:47" s="445" customFormat="1" ht="14.65" thickBot="1" x14ac:dyDescent="0.5">
      <c r="A172" s="547" t="s">
        <v>188</v>
      </c>
      <c r="B172" s="548"/>
      <c r="C172" s="549">
        <f>C171+C170</f>
        <v>570536</v>
      </c>
      <c r="D172" s="550">
        <v>0</v>
      </c>
      <c r="E172" s="551"/>
      <c r="F172" s="552"/>
      <c r="G172" s="255">
        <f>G171+G170</f>
        <v>3321333</v>
      </c>
      <c r="H172" s="256">
        <v>1916685</v>
      </c>
      <c r="I172" s="553"/>
      <c r="J172" s="554"/>
      <c r="K172" s="259">
        <f>K171+K170</f>
        <v>346584</v>
      </c>
      <c r="L172" s="260">
        <v>126000</v>
      </c>
      <c r="M172" s="555"/>
      <c r="N172" s="552"/>
      <c r="O172" s="263">
        <f>O171+O170</f>
        <v>331559</v>
      </c>
      <c r="P172" s="264">
        <v>177930</v>
      </c>
      <c r="Q172" s="556"/>
      <c r="R172" s="557"/>
      <c r="S172" s="558"/>
      <c r="T172" s="559"/>
      <c r="U172" s="269">
        <f>U171+U170</f>
        <v>492399</v>
      </c>
      <c r="V172" s="270">
        <f t="shared" ref="V172:AD172" si="39">+(V170+V171)</f>
        <v>65972.713966374286</v>
      </c>
      <c r="W172" s="560"/>
      <c r="X172" s="552"/>
      <c r="Y172" s="272">
        <f t="shared" si="39"/>
        <v>2869276</v>
      </c>
      <c r="Z172" s="273">
        <f t="shared" si="39"/>
        <v>2513464.1663868539</v>
      </c>
      <c r="AA172" s="561"/>
      <c r="AB172" s="552"/>
      <c r="AC172" s="275">
        <f t="shared" si="39"/>
        <v>481619</v>
      </c>
      <c r="AD172" s="562">
        <f t="shared" si="39"/>
        <v>49765.599443262443</v>
      </c>
      <c r="AE172" s="563"/>
      <c r="AG172" s="191"/>
      <c r="AH172" s="191"/>
      <c r="AI172" s="191"/>
      <c r="AJ172" s="191"/>
      <c r="AK172" s="191"/>
      <c r="AL172" s="191"/>
      <c r="AM172" s="191"/>
      <c r="AN172" s="191"/>
      <c r="AO172" s="191"/>
      <c r="AP172" s="191"/>
      <c r="AQ172" s="191"/>
      <c r="AR172" s="191"/>
      <c r="AS172" s="191"/>
      <c r="AT172" s="191"/>
      <c r="AU172" s="191"/>
    </row>
    <row r="173" spans="1:47" s="445" customFormat="1" x14ac:dyDescent="0.45">
      <c r="A173" s="564" t="s">
        <v>189</v>
      </c>
      <c r="B173" s="565"/>
      <c r="C173" s="566" t="s">
        <v>190</v>
      </c>
      <c r="D173" s="566" t="s">
        <v>190</v>
      </c>
      <c r="E173" s="567"/>
      <c r="F173" s="568"/>
      <c r="G173" s="569">
        <f>0.03*G54</f>
        <v>425031.93</v>
      </c>
      <c r="H173" s="570">
        <f>0.03*H54</f>
        <v>370337.16300000006</v>
      </c>
      <c r="I173" s="571"/>
      <c r="J173" s="568"/>
      <c r="K173" s="572">
        <f>0.03*K54</f>
        <v>93828.209999999992</v>
      </c>
      <c r="L173" s="573">
        <f>0.03*L54</f>
        <v>105791.0922</v>
      </c>
      <c r="M173" s="574"/>
      <c r="N173" s="568"/>
      <c r="O173" s="575">
        <f>0.03*O54</f>
        <v>156131.94</v>
      </c>
      <c r="P173" s="576">
        <f>0.03*P54</f>
        <v>139913.72759999998</v>
      </c>
      <c r="Q173" s="577"/>
      <c r="R173" s="568"/>
      <c r="S173" s="578"/>
      <c r="T173" s="579"/>
      <c r="U173" s="580"/>
      <c r="V173" s="581" t="s">
        <v>190</v>
      </c>
      <c r="W173" s="582"/>
      <c r="X173" s="568"/>
      <c r="Y173" s="583"/>
      <c r="Z173" s="584" t="s">
        <v>190</v>
      </c>
      <c r="AA173" s="585"/>
      <c r="AB173" s="568"/>
      <c r="AC173" s="586"/>
      <c r="AD173" s="587" t="s">
        <v>190</v>
      </c>
      <c r="AE173" s="588"/>
      <c r="AG173" s="191"/>
      <c r="AH173" s="191"/>
      <c r="AI173" s="191"/>
      <c r="AJ173" s="191"/>
      <c r="AK173" s="191"/>
      <c r="AL173" s="191"/>
      <c r="AM173" s="191"/>
      <c r="AN173" s="191"/>
      <c r="AO173" s="191"/>
      <c r="AP173" s="191"/>
      <c r="AQ173" s="191"/>
      <c r="AR173" s="191"/>
      <c r="AS173" s="191"/>
      <c r="AT173" s="191"/>
      <c r="AU173" s="191"/>
    </row>
    <row r="174" spans="1:47" s="445" customFormat="1" ht="14.65" thickBot="1" x14ac:dyDescent="0.5">
      <c r="A174" s="589" t="s">
        <v>191</v>
      </c>
      <c r="B174" s="590"/>
      <c r="C174" s="591" t="s">
        <v>190</v>
      </c>
      <c r="D174" s="591" t="s">
        <v>190</v>
      </c>
      <c r="E174" s="592"/>
      <c r="F174" s="593"/>
      <c r="G174" s="594">
        <f>0.01*G54</f>
        <v>141677.31</v>
      </c>
      <c r="H174" s="595">
        <f>0.01*H54</f>
        <v>123445.72100000002</v>
      </c>
      <c r="I174" s="596"/>
      <c r="J174" s="593"/>
      <c r="K174" s="597">
        <f>0.01*K54</f>
        <v>31276.07</v>
      </c>
      <c r="L174" s="598">
        <f>0.01*L54</f>
        <v>35263.697400000005</v>
      </c>
      <c r="M174" s="599"/>
      <c r="N174" s="593"/>
      <c r="O174" s="600">
        <f>0.01*O54</f>
        <v>52043.98</v>
      </c>
      <c r="P174" s="601">
        <f>0.01*P54</f>
        <v>46637.909200000002</v>
      </c>
      <c r="Q174" s="602"/>
      <c r="R174" s="593"/>
      <c r="S174" s="603"/>
      <c r="T174" s="604"/>
      <c r="U174" s="605"/>
      <c r="V174" s="606" t="s">
        <v>190</v>
      </c>
      <c r="W174" s="607"/>
      <c r="X174" s="593"/>
      <c r="Y174" s="608"/>
      <c r="Z174" s="609" t="s">
        <v>190</v>
      </c>
      <c r="AA174" s="610"/>
      <c r="AB174" s="593"/>
      <c r="AC174" s="611"/>
      <c r="AD174" s="612" t="s">
        <v>190</v>
      </c>
      <c r="AE174" s="613"/>
      <c r="AG174" s="191"/>
      <c r="AH174" s="191"/>
      <c r="AI174" s="191"/>
      <c r="AJ174" s="191"/>
      <c r="AK174" s="191"/>
      <c r="AL174" s="191"/>
      <c r="AM174" s="191"/>
      <c r="AN174" s="191"/>
      <c r="AO174" s="191"/>
      <c r="AP174" s="191"/>
      <c r="AQ174" s="191"/>
      <c r="AR174" s="191"/>
      <c r="AS174" s="191"/>
      <c r="AT174" s="191"/>
      <c r="AU174" s="191"/>
    </row>
    <row r="175" spans="1:47" s="445" customFormat="1" ht="14.65" thickBot="1" x14ac:dyDescent="0.5">
      <c r="A175" s="614" t="s">
        <v>192</v>
      </c>
      <c r="B175" s="615"/>
      <c r="C175" s="616">
        <f>C172</f>
        <v>570536</v>
      </c>
      <c r="D175" s="616"/>
      <c r="E175" s="616"/>
      <c r="F175" s="617"/>
      <c r="G175" s="618">
        <f t="shared" ref="G175:N175" si="40">(G170+G171)-(G173+G174)</f>
        <v>2754623.76</v>
      </c>
      <c r="H175" s="618">
        <f t="shared" si="40"/>
        <v>1927564.162</v>
      </c>
      <c r="I175" s="618">
        <f t="shared" si="40"/>
        <v>345545.53999999911</v>
      </c>
      <c r="J175" s="617">
        <f t="shared" si="40"/>
        <v>0</v>
      </c>
      <c r="K175" s="619">
        <f t="shared" si="40"/>
        <v>221479.72</v>
      </c>
      <c r="L175" s="619">
        <f t="shared" si="40"/>
        <v>13704.482800000114</v>
      </c>
      <c r="M175" s="619">
        <f t="shared" si="40"/>
        <v>-336378.36</v>
      </c>
      <c r="N175" s="617">
        <f t="shared" si="40"/>
        <v>0</v>
      </c>
      <c r="O175" s="620">
        <f>(O170+O171)-(O173+O174)</f>
        <v>123383.07999999999</v>
      </c>
      <c r="P175" s="620">
        <f>(P170+P171)-(P173+P174)</f>
        <v>91250.407066666055</v>
      </c>
      <c r="Q175" s="620">
        <f>(Q170+Q171)-(Q173+Q174)</f>
        <v>10634.490000000224</v>
      </c>
      <c r="R175" s="617"/>
      <c r="S175" s="621"/>
      <c r="T175" s="622"/>
      <c r="U175" s="623">
        <f t="shared" ref="U175:Y175" si="41">U170+U171</f>
        <v>492399</v>
      </c>
      <c r="V175" s="623">
        <f>V172</f>
        <v>65972.713966374286</v>
      </c>
      <c r="W175" s="623"/>
      <c r="X175" s="617"/>
      <c r="Y175" s="624">
        <f t="shared" si="41"/>
        <v>2869276</v>
      </c>
      <c r="Z175" s="624">
        <f>Z172</f>
        <v>2513464.1663868539</v>
      </c>
      <c r="AA175" s="624"/>
      <c r="AB175" s="617"/>
      <c r="AC175" s="625"/>
      <c r="AD175" s="625"/>
      <c r="AE175" s="626"/>
      <c r="AG175" s="191"/>
      <c r="AH175" s="191"/>
      <c r="AI175" s="191"/>
      <c r="AJ175" s="191"/>
      <c r="AK175" s="191"/>
      <c r="AL175" s="191"/>
      <c r="AM175" s="191"/>
      <c r="AN175" s="191"/>
      <c r="AO175" s="191"/>
      <c r="AP175" s="191"/>
      <c r="AQ175" s="191"/>
      <c r="AR175" s="191"/>
      <c r="AS175" s="191"/>
      <c r="AT175" s="191"/>
      <c r="AU175" s="191"/>
    </row>
  </sheetData>
  <protectedRanges>
    <protectedRange algorithmName="SHA-512" hashValue="sib5Nlt62x8Cjehj5QpvQOfZQRWFyVXdW4ymlOfnLMMNdxZw1XVdONARla6+9R164l5kN77+d8cnUihMlL+w0A==" saltValue="TiYlffcKhraV9z9Br0ykmA==" spinCount="100000" sqref="H11 G10:G11 J56 J59 J66 J69 J90 J95 J97 J102 J108 J111:J112 J124:J125 J130:J131 J134:J137 J139:J141 J143 J148:J149 J152 J154 J157:J161 J163:J166 G171:G172 J78:J87 J61:J62 G55 J11:J13 G12:H13 G45:H49 J15:J43 G169:H169 J45:J49 X169:Z169 J169:L169 G15:H43 N169:P169 AB169:AD169 R169:V169" name="Range1_3"/>
    <protectedRange algorithmName="SHA-512" hashValue="sib5Nlt62x8Cjehj5QpvQOfZQRWFyVXdW4ymlOfnLMMNdxZw1XVdONARla6+9R164l5kN77+d8cnUihMlL+w0A==" saltValue="TiYlffcKhraV9z9Br0ykmA==" spinCount="100000" sqref="I11:I13 I45:I49 I15:I43 I169" name="Range1_3_1"/>
    <protectedRange algorithmName="SHA-512" hashValue="sib5Nlt62x8Cjehj5QpvQOfZQRWFyVXdW4ymlOfnLMMNdxZw1XVdONARla6+9R164l5kN77+d8cnUihMlL+w0A==" saltValue="TiYlffcKhraV9z9Br0ykmA==" spinCount="100000" sqref="M169" name="Range1_3_2"/>
    <protectedRange algorithmName="SHA-512" hashValue="sib5Nlt62x8Cjehj5QpvQOfZQRWFyVXdW4ymlOfnLMMNdxZw1XVdONARla6+9R164l5kN77+d8cnUihMlL+w0A==" saltValue="TiYlffcKhraV9z9Br0ykmA==" spinCount="100000" sqref="Q169" name="Range1_3_3"/>
    <protectedRange algorithmName="SHA-512" hashValue="sib5Nlt62x8Cjehj5QpvQOfZQRWFyVXdW4ymlOfnLMMNdxZw1XVdONARla6+9R164l5kN77+d8cnUihMlL+w0A==" saltValue="TiYlffcKhraV9z9Br0ykmA==" spinCount="100000" sqref="W169" name="Range1_3_4"/>
    <protectedRange algorithmName="SHA-512" hashValue="sib5Nlt62x8Cjehj5QpvQOfZQRWFyVXdW4ymlOfnLMMNdxZw1XVdONARla6+9R164l5kN77+d8cnUihMlL+w0A==" saltValue="TiYlffcKhraV9z9Br0ykmA==" spinCount="100000" sqref="AA169" name="Range1_3_5"/>
  </protectedRanges>
  <mergeCells count="7">
    <mergeCell ref="AC1:AE1"/>
    <mergeCell ref="C1:E1"/>
    <mergeCell ref="G1:I1"/>
    <mergeCell ref="K1:M1"/>
    <mergeCell ref="O1:Q1"/>
    <mergeCell ref="U1:W1"/>
    <mergeCell ref="Y1:AA1"/>
  </mergeCells>
  <pageMargins left="0.25" right="0.2" top="0.75" bottom="0.75" header="0.3" footer="0.3"/>
  <pageSetup paperSize="3" scale="4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Budgets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Miles</dc:creator>
  <cp:lastModifiedBy>Mike Miles</cp:lastModifiedBy>
  <dcterms:created xsi:type="dcterms:W3CDTF">2023-01-15T19:50:35Z</dcterms:created>
  <dcterms:modified xsi:type="dcterms:W3CDTF">2023-01-15T19:51:22Z</dcterms:modified>
</cp:coreProperties>
</file>